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EstaPastaDeTrabalho" defaultThemeVersion="166925"/>
  <mc:AlternateContent xmlns:mc="http://schemas.openxmlformats.org/markup-compatibility/2006">
    <mc:Choice Requires="x15">
      <x15ac:absPath xmlns:x15ac="http://schemas.microsoft.com/office/spreadsheetml/2010/11/ac" url="https://uolinc.sharepoint.com/sites/DRI/Documentos Compartilhados/RI/dcf_pags_ri/Earnings Results/2025/2Q25/Spreadsheet/"/>
    </mc:Choice>
  </mc:AlternateContent>
  <xr:revisionPtr revIDLastSave="244" documentId="8_{9D54AD44-A0D9-45E0-94EB-3A57E38B4C8A}" xr6:coauthVersionLast="47" xr6:coauthVersionMax="47" xr10:uidLastSave="{2C8C51F4-D21F-470F-B0A7-A960235EBE15}"/>
  <bookViews>
    <workbookView xWindow="-110" yWindow="-110" windowWidth="19420" windowHeight="10300" tabRatio="858" activeTab="5" xr2:uid="{7F61F97D-F849-4632-B5EF-346B7A49B2BF}"/>
  </bookViews>
  <sheets>
    <sheet name="Summary" sheetId="43" r:id="rId1"/>
    <sheet name="Operating Metrics - New_View" sheetId="44" r:id="rId2"/>
    <sheet name="Operating Metrics - Old_View" sheetId="8" state="hidden" r:id="rId3"/>
    <sheet name="Balance Sheet" sheetId="36" r:id="rId4"/>
    <sheet name="Opex and Capex" sheetId="10" r:id="rId5"/>
    <sheet name="Income Statement" sheetId="38" r:id="rId6"/>
    <sheet name="Capital Structure" sheetId="45" r:id="rId7"/>
    <sheet name="Cash Flow" sheetId="12" r:id="rId8"/>
    <sheet name="Corporate Structure" sheetId="33" r:id="rId9"/>
    <sheet name="Ratings" sheetId="35" r:id="rId10"/>
    <sheet name="ESG I Environmental" sheetId="40" r:id="rId11"/>
    <sheet name="ESG I Social" sheetId="41" r:id="rId12"/>
    <sheet name="ESG I Governance" sheetId="42"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6" i="44" l="1"/>
  <c r="AD13" i="45"/>
  <c r="AC13" i="45"/>
  <c r="M10" i="45"/>
  <c r="L10" i="45"/>
  <c r="K10" i="45"/>
  <c r="M9" i="45"/>
  <c r="L9" i="45"/>
  <c r="K9" i="45"/>
  <c r="M8" i="45"/>
  <c r="L8" i="45"/>
  <c r="K8" i="45"/>
  <c r="M7" i="45"/>
  <c r="L7" i="45"/>
  <c r="K7" i="45"/>
  <c r="M6" i="45"/>
  <c r="L6" i="45"/>
  <c r="K6" i="45"/>
  <c r="AB10" i="45"/>
  <c r="AB9" i="45"/>
  <c r="AB8" i="45"/>
  <c r="AB7" i="45"/>
  <c r="AC12" i="45" s="1"/>
  <c r="AB6" i="45"/>
  <c r="N6" i="45"/>
  <c r="N7" i="45"/>
  <c r="N8" i="45"/>
  <c r="N9" i="45"/>
  <c r="N10" i="45"/>
  <c r="AD6" i="45"/>
  <c r="AC6" i="45"/>
  <c r="V6" i="45"/>
  <c r="W6" i="45"/>
  <c r="AD10" i="45"/>
  <c r="AC10" i="45"/>
  <c r="AD9" i="45"/>
  <c r="AC9" i="45"/>
  <c r="P9" i="45"/>
  <c r="Q9" i="45"/>
  <c r="R9" i="45"/>
  <c r="S9" i="45"/>
  <c r="T9" i="45"/>
  <c r="U9" i="45"/>
  <c r="V9" i="45"/>
  <c r="W9" i="45"/>
  <c r="P10" i="45"/>
  <c r="Q10" i="45"/>
  <c r="R10" i="45"/>
  <c r="S10" i="45"/>
  <c r="T10" i="45"/>
  <c r="U10" i="45"/>
  <c r="V10" i="45"/>
  <c r="W10" i="45"/>
  <c r="O10" i="45"/>
  <c r="O9" i="45"/>
  <c r="AD8" i="45"/>
  <c r="AC8" i="45"/>
  <c r="P8" i="45"/>
  <c r="Q8" i="45"/>
  <c r="R8" i="45"/>
  <c r="S8" i="45"/>
  <c r="T8" i="45"/>
  <c r="U8" i="45"/>
  <c r="V8" i="45"/>
  <c r="W8" i="45"/>
  <c r="O8" i="45"/>
  <c r="AD7" i="45"/>
  <c r="AC7" i="45"/>
  <c r="AD12" i="45" s="1"/>
  <c r="P7" i="45"/>
  <c r="Q7" i="45"/>
  <c r="R7" i="45"/>
  <c r="S7" i="45"/>
  <c r="T7" i="45"/>
  <c r="U7" i="45"/>
  <c r="V7" i="45"/>
  <c r="V11" i="45" s="1"/>
  <c r="W7" i="45"/>
  <c r="O7" i="45"/>
  <c r="AD59" i="10"/>
  <c r="AC59" i="10"/>
  <c r="AB59" i="10"/>
  <c r="AD58" i="10"/>
  <c r="AC58" i="10"/>
  <c r="AB58" i="10"/>
  <c r="AD57" i="10"/>
  <c r="AC57" i="10"/>
  <c r="AB57" i="10"/>
  <c r="AD56" i="10"/>
  <c r="AC56" i="10"/>
  <c r="AB56" i="10"/>
  <c r="K56" i="10"/>
  <c r="L56" i="10"/>
  <c r="M56" i="10"/>
  <c r="N56" i="10"/>
  <c r="O56" i="10"/>
  <c r="P56" i="10"/>
  <c r="Q56" i="10"/>
  <c r="R56" i="10"/>
  <c r="S56" i="10"/>
  <c r="T56" i="10"/>
  <c r="U56" i="10"/>
  <c r="V56" i="10"/>
  <c r="W56" i="10"/>
  <c r="K57" i="10"/>
  <c r="L57" i="10"/>
  <c r="M57" i="10"/>
  <c r="N57" i="10"/>
  <c r="O57" i="10"/>
  <c r="P57" i="10"/>
  <c r="Q57" i="10"/>
  <c r="R57" i="10"/>
  <c r="S57" i="10"/>
  <c r="T57" i="10"/>
  <c r="U57" i="10"/>
  <c r="V57" i="10"/>
  <c r="W57" i="10"/>
  <c r="K58" i="10"/>
  <c r="L58" i="10"/>
  <c r="M58" i="10"/>
  <c r="N58" i="10"/>
  <c r="O58" i="10"/>
  <c r="P58" i="10"/>
  <c r="Q58" i="10"/>
  <c r="R58" i="10"/>
  <c r="S58" i="10"/>
  <c r="T58" i="10"/>
  <c r="U58" i="10"/>
  <c r="V58" i="10"/>
  <c r="W58" i="10"/>
  <c r="K59" i="10"/>
  <c r="L59" i="10"/>
  <c r="M59" i="10"/>
  <c r="N59" i="10"/>
  <c r="O59" i="10"/>
  <c r="P59" i="10"/>
  <c r="Q59" i="10"/>
  <c r="R59" i="10"/>
  <c r="S59" i="10"/>
  <c r="T59" i="10"/>
  <c r="U59" i="10"/>
  <c r="V59" i="10"/>
  <c r="W59" i="10"/>
  <c r="AB47" i="10"/>
  <c r="AB48" i="10"/>
  <c r="AB49" i="10"/>
  <c r="AB51" i="10"/>
  <c r="AC38" i="10"/>
  <c r="AC39" i="10"/>
  <c r="AC47" i="10"/>
  <c r="AC48" i="10"/>
  <c r="AC49" i="10"/>
  <c r="AC51" i="10"/>
  <c r="AD38" i="10"/>
  <c r="AD39" i="10"/>
  <c r="AD47" i="10"/>
  <c r="AD48" i="10"/>
  <c r="AD49" i="10"/>
  <c r="AD51" i="10"/>
  <c r="AD11" i="45" l="1"/>
  <c r="AC11" i="45"/>
  <c r="AC61" i="10"/>
  <c r="AC46" i="10"/>
  <c r="AC60" i="10"/>
  <c r="AD60" i="10"/>
  <c r="AB46" i="10"/>
  <c r="AD46" i="10"/>
  <c r="W11" i="45"/>
  <c r="AB61" i="10"/>
  <c r="AB60" i="10"/>
  <c r="AD61" i="10"/>
  <c r="K51" i="10" l="1"/>
  <c r="L51" i="10"/>
  <c r="M51" i="10"/>
  <c r="N51" i="10"/>
  <c r="O51" i="10"/>
  <c r="P51" i="10"/>
  <c r="Q51" i="10"/>
  <c r="R51" i="10"/>
  <c r="S51" i="10"/>
  <c r="T51" i="10"/>
  <c r="U51" i="10"/>
  <c r="V51" i="10"/>
  <c r="W51" i="10"/>
  <c r="K47" i="10"/>
  <c r="L47" i="10"/>
  <c r="M47" i="10"/>
  <c r="N47" i="10"/>
  <c r="O47" i="10"/>
  <c r="P47" i="10"/>
  <c r="Q47" i="10"/>
  <c r="R47" i="10"/>
  <c r="S47" i="10"/>
  <c r="T47" i="10"/>
  <c r="U47" i="10"/>
  <c r="V47" i="10"/>
  <c r="W47" i="10"/>
  <c r="K48" i="10"/>
  <c r="L48" i="10"/>
  <c r="M48" i="10"/>
  <c r="N48" i="10"/>
  <c r="O48" i="10"/>
  <c r="P48" i="10"/>
  <c r="Q48" i="10"/>
  <c r="R48" i="10"/>
  <c r="S48" i="10"/>
  <c r="T48" i="10"/>
  <c r="U48" i="10"/>
  <c r="V48" i="10"/>
  <c r="K49" i="10"/>
  <c r="L49" i="10"/>
  <c r="M49" i="10"/>
  <c r="N49" i="10"/>
  <c r="O49" i="10"/>
  <c r="P49" i="10"/>
  <c r="Q49" i="10"/>
  <c r="R49" i="10"/>
  <c r="S49" i="10"/>
  <c r="T49" i="10"/>
  <c r="U49" i="10"/>
  <c r="V49" i="10"/>
  <c r="W49" i="10"/>
  <c r="O39" i="10"/>
  <c r="P39" i="10"/>
  <c r="Q39" i="10"/>
  <c r="R39" i="10"/>
  <c r="S39" i="10"/>
  <c r="T39" i="10"/>
  <c r="U39" i="10"/>
  <c r="V39" i="10"/>
  <c r="W39" i="10"/>
  <c r="O38" i="10"/>
  <c r="P38" i="10"/>
  <c r="Q38" i="10"/>
  <c r="R38" i="10"/>
  <c r="S38" i="10"/>
  <c r="T38" i="10"/>
  <c r="U38" i="10"/>
  <c r="V38" i="10"/>
  <c r="W38" i="10"/>
  <c r="L62" i="10"/>
  <c r="M62" i="10"/>
  <c r="N62" i="10"/>
  <c r="P62" i="10"/>
  <c r="Q62" i="10"/>
  <c r="R62" i="10"/>
  <c r="T62" i="10"/>
  <c r="U62" i="10"/>
  <c r="V62" i="10"/>
  <c r="W62" i="10"/>
  <c r="T70" i="10"/>
  <c r="U70" i="10"/>
  <c r="O73" i="10"/>
  <c r="P73" i="10"/>
  <c r="Q73" i="10"/>
  <c r="R73" i="10"/>
  <c r="S73" i="10"/>
  <c r="T73" i="10"/>
  <c r="U73" i="10"/>
  <c r="O76" i="10"/>
  <c r="O77" i="10" s="1"/>
  <c r="P76" i="10"/>
  <c r="P77" i="10" s="1"/>
  <c r="Q76" i="10"/>
  <c r="Q77" i="10" s="1"/>
  <c r="R76" i="10"/>
  <c r="R77" i="10" s="1"/>
  <c r="S76" i="10"/>
  <c r="S77" i="10" s="1"/>
  <c r="T76" i="10"/>
  <c r="T77" i="10" s="1"/>
  <c r="U76" i="10"/>
  <c r="U77" i="10" s="1"/>
  <c r="AC45" i="10" l="1"/>
  <c r="AC44" i="10"/>
  <c r="M42" i="10"/>
  <c r="M52" i="10" s="1"/>
  <c r="M64" i="10" s="1"/>
  <c r="M63" i="10" s="1"/>
  <c r="L42" i="10"/>
  <c r="L52" i="10" s="1"/>
  <c r="L64" i="10" s="1"/>
  <c r="L63" i="10" s="1"/>
  <c r="AB50" i="10"/>
  <c r="AB43" i="10"/>
  <c r="AB44" i="10"/>
  <c r="AC41" i="10"/>
  <c r="O62" i="10"/>
  <c r="AC62" i="10" s="1"/>
  <c r="AB45" i="10"/>
  <c r="AD50" i="10"/>
  <c r="K62" i="10"/>
  <c r="AB62" i="10" s="1"/>
  <c r="AB41" i="10"/>
  <c r="AD43" i="10"/>
  <c r="K42" i="10"/>
  <c r="K52" i="10" s="1"/>
  <c r="AD44" i="10"/>
  <c r="AD45" i="10"/>
  <c r="AC50" i="10"/>
  <c r="AB39" i="10"/>
  <c r="AC43" i="10"/>
  <c r="AD41" i="10"/>
  <c r="S62" i="10"/>
  <c r="AD62" i="10" s="1"/>
  <c r="AC37" i="10"/>
  <c r="AB37" i="10"/>
  <c r="Q40" i="10"/>
  <c r="P40" i="10"/>
  <c r="AD37" i="10"/>
  <c r="N42" i="10"/>
  <c r="N52" i="10" s="1"/>
  <c r="T42" i="10"/>
  <c r="T52" i="10" s="1"/>
  <c r="S42" i="10"/>
  <c r="S52" i="10" s="1"/>
  <c r="P42" i="10"/>
  <c r="P52" i="10" s="1"/>
  <c r="P64" i="10" s="1"/>
  <c r="O42" i="10"/>
  <c r="O52" i="10" s="1"/>
  <c r="W40" i="10"/>
  <c r="V40" i="10"/>
  <c r="R42" i="10"/>
  <c r="R52" i="10" s="1"/>
  <c r="R64" i="10" s="1"/>
  <c r="R63" i="10" s="1"/>
  <c r="Q42" i="10"/>
  <c r="Q52" i="10" s="1"/>
  <c r="V42" i="10"/>
  <c r="V52" i="10" s="1"/>
  <c r="U40" i="10"/>
  <c r="U42" i="10"/>
  <c r="U52" i="10" s="1"/>
  <c r="U64" i="10" s="1"/>
  <c r="U63" i="10" s="1"/>
  <c r="O40" i="10"/>
  <c r="W42" i="10"/>
  <c r="W52" i="10" s="1"/>
  <c r="T40" i="10"/>
  <c r="S40" i="10"/>
  <c r="R40" i="10"/>
  <c r="P53" i="10" l="1"/>
  <c r="P65" i="10" s="1"/>
  <c r="U53" i="10"/>
  <c r="U65" i="10" s="1"/>
  <c r="AD40" i="10"/>
  <c r="W64" i="10"/>
  <c r="W63" i="10" s="1"/>
  <c r="W53" i="10"/>
  <c r="W65" i="10" s="1"/>
  <c r="V64" i="10"/>
  <c r="V63" i="10" s="1"/>
  <c r="V53" i="10"/>
  <c r="V65" i="10" s="1"/>
  <c r="Q64" i="10"/>
  <c r="Q63" i="10" s="1"/>
  <c r="Q53" i="10"/>
  <c r="Q65" i="10" s="1"/>
  <c r="AD52" i="10"/>
  <c r="S64" i="10"/>
  <c r="S53" i="10"/>
  <c r="S65" i="10" s="1"/>
  <c r="T64" i="10"/>
  <c r="T63" i="10" s="1"/>
  <c r="T53" i="10"/>
  <c r="T65" i="10" s="1"/>
  <c r="N64" i="10"/>
  <c r="N63" i="10" s="1"/>
  <c r="AC40" i="10"/>
  <c r="AC42" i="10"/>
  <c r="P63" i="10"/>
  <c r="R53" i="10"/>
  <c r="R65" i="10" s="1"/>
  <c r="AC52" i="10"/>
  <c r="O64" i="10"/>
  <c r="O63" i="10" s="1"/>
  <c r="AD42" i="10"/>
  <c r="AB52" i="10"/>
  <c r="K64" i="10"/>
  <c r="AB42" i="10"/>
  <c r="O53" i="10"/>
  <c r="O65" i="10" s="1"/>
  <c r="AC63" i="10" l="1"/>
  <c r="AC65" i="10"/>
  <c r="AD53" i="10"/>
  <c r="K63" i="10"/>
  <c r="AB63" i="10" s="1"/>
  <c r="AB64" i="10"/>
  <c r="AD65" i="10"/>
  <c r="AD64" i="10"/>
  <c r="S63" i="10"/>
  <c r="AD63" i="10" s="1"/>
  <c r="AC64" i="10"/>
  <c r="AC53" i="10"/>
  <c r="W48" i="10"/>
  <c r="U33" i="10" l="1"/>
  <c r="U21" i="10" s="1"/>
  <c r="U22" i="10" s="1"/>
  <c r="T33" i="10"/>
  <c r="T21" i="10" s="1"/>
  <c r="T22" i="10" s="1"/>
  <c r="S33" i="10"/>
  <c r="R33" i="10"/>
  <c r="R21" i="10" s="1"/>
  <c r="R22" i="10" s="1"/>
  <c r="Q33" i="10"/>
  <c r="Q21" i="10" s="1"/>
  <c r="Q22" i="10" s="1"/>
  <c r="P33" i="10"/>
  <c r="O33" i="10"/>
  <c r="O21" i="10" s="1"/>
  <c r="O22" i="10" s="1"/>
  <c r="U27" i="10"/>
  <c r="T27" i="10"/>
  <c r="S27" i="10"/>
  <c r="R27" i="10"/>
  <c r="Q27" i="10"/>
  <c r="P27" i="10"/>
  <c r="O27" i="10"/>
  <c r="U26" i="10"/>
  <c r="T26" i="10"/>
  <c r="S26" i="10"/>
  <c r="R26" i="10"/>
  <c r="Q26" i="10"/>
  <c r="P26" i="10"/>
  <c r="O26" i="10"/>
  <c r="O28" i="10" s="1"/>
  <c r="U24" i="10"/>
  <c r="T24" i="10"/>
  <c r="U16" i="10"/>
  <c r="T16" i="10"/>
  <c r="S16" i="10"/>
  <c r="R16" i="10"/>
  <c r="Q16" i="10"/>
  <c r="P16" i="10"/>
  <c r="O16" i="10"/>
  <c r="U11" i="10"/>
  <c r="T11" i="10"/>
  <c r="S11" i="10"/>
  <c r="R11" i="10"/>
  <c r="Q11" i="10"/>
  <c r="P11" i="10"/>
  <c r="O11" i="10"/>
  <c r="U9" i="10"/>
  <c r="T9" i="10"/>
  <c r="S9" i="10"/>
  <c r="R9" i="10"/>
  <c r="Q9" i="10"/>
  <c r="P9" i="10"/>
  <c r="O9" i="10"/>
  <c r="X64" i="38"/>
  <c r="X112" i="38" s="1"/>
  <c r="X63" i="38"/>
  <c r="X111" i="38" s="1"/>
  <c r="X33" i="38"/>
  <c r="X31" i="38"/>
  <c r="X6" i="45"/>
  <c r="X34" i="38"/>
  <c r="X62" i="38"/>
  <c r="X110" i="38" s="1"/>
  <c r="X61" i="38"/>
  <c r="X10" i="45"/>
  <c r="X9" i="45"/>
  <c r="X8" i="45"/>
  <c r="X7" i="45"/>
  <c r="X65" i="38" l="1"/>
  <c r="X88" i="38" s="1"/>
  <c r="X109" i="38"/>
  <c r="X113" i="38"/>
  <c r="X140" i="38" s="1"/>
  <c r="X138" i="38" s="1"/>
  <c r="X84" i="38"/>
  <c r="X85" i="38"/>
  <c r="X32" i="38"/>
  <c r="X86" i="38"/>
  <c r="X87" i="38"/>
  <c r="X35" i="38"/>
  <c r="X18" i="38"/>
  <c r="X21" i="38" s="1"/>
  <c r="X11" i="45"/>
  <c r="X67" i="36"/>
  <c r="X66" i="36"/>
  <c r="X148" i="38"/>
  <c r="P28" i="10"/>
  <c r="Q28" i="10"/>
  <c r="R28" i="10"/>
  <c r="S28" i="10"/>
  <c r="T28" i="10"/>
  <c r="P34" i="10"/>
  <c r="U28" i="10"/>
  <c r="O34" i="10"/>
  <c r="S34" i="10"/>
  <c r="P21" i="10"/>
  <c r="P22" i="10" s="1"/>
  <c r="Q34" i="10"/>
  <c r="R34" i="10"/>
  <c r="S21" i="10"/>
  <c r="S22" i="10" s="1"/>
  <c r="T34" i="10"/>
  <c r="U34" i="10"/>
  <c r="X65" i="36" l="1"/>
  <c r="U16" i="44"/>
  <c r="T16" i="44"/>
  <c r="S16" i="44"/>
  <c r="AD19" i="44" s="1"/>
  <c r="R16" i="44"/>
  <c r="Q16" i="44"/>
  <c r="P16" i="44"/>
  <c r="O16" i="44"/>
  <c r="AD38" i="44"/>
  <c r="S38" i="44"/>
  <c r="AB38" i="44"/>
  <c r="AC38" i="44"/>
  <c r="V38" i="44"/>
  <c r="U38" i="44"/>
  <c r="T38" i="44"/>
  <c r="R38" i="44"/>
  <c r="Q38" i="44"/>
  <c r="P38" i="44"/>
  <c r="O38" i="44"/>
  <c r="AD54" i="44"/>
  <c r="AC54" i="44"/>
  <c r="AB54" i="44"/>
  <c r="N54" i="44"/>
  <c r="M54" i="44"/>
  <c r="L54" i="44"/>
  <c r="K54" i="44"/>
  <c r="V54" i="44"/>
  <c r="U54" i="44"/>
  <c r="T54" i="44"/>
  <c r="S54" i="44"/>
  <c r="R54" i="44"/>
  <c r="Q54" i="44"/>
  <c r="P54" i="44"/>
  <c r="O54" i="44"/>
  <c r="X16" i="44" l="1"/>
  <c r="X12" i="44"/>
  <c r="X24" i="44" s="1"/>
  <c r="X11" i="44"/>
  <c r="X29" i="44" s="1"/>
  <c r="X7" i="44"/>
  <c r="X55" i="44"/>
  <c r="N24" i="44"/>
  <c r="M24" i="44"/>
  <c r="L24" i="44"/>
  <c r="N23" i="44"/>
  <c r="M23" i="44"/>
  <c r="L23" i="44"/>
  <c r="K24" i="44"/>
  <c r="AD39" i="44"/>
  <c r="AC39" i="44"/>
  <c r="AB39" i="44"/>
  <c r="AA39" i="44"/>
  <c r="Z39" i="44"/>
  <c r="V39" i="44"/>
  <c r="E39" i="44"/>
  <c r="D39" i="44"/>
  <c r="C39" i="44"/>
  <c r="AD55" i="44"/>
  <c r="AC55" i="44"/>
  <c r="AB55" i="44"/>
  <c r="AA55" i="44"/>
  <c r="Z55" i="44"/>
  <c r="V55" i="44"/>
  <c r="U55" i="44"/>
  <c r="T55" i="44"/>
  <c r="S55" i="44"/>
  <c r="R55" i="44"/>
  <c r="Q55" i="44"/>
  <c r="P55" i="44"/>
  <c r="O55" i="44"/>
  <c r="N55" i="44"/>
  <c r="M55" i="44"/>
  <c r="L55" i="44"/>
  <c r="K55" i="44"/>
  <c r="J55" i="44"/>
  <c r="I55" i="44"/>
  <c r="H55" i="44"/>
  <c r="G55" i="44"/>
  <c r="F55" i="44"/>
  <c r="E55" i="44"/>
  <c r="D55" i="44"/>
  <c r="C55" i="44"/>
  <c r="X23" i="44" l="1"/>
  <c r="X153" i="38"/>
  <c r="M25" i="44"/>
  <c r="N25" i="44"/>
  <c r="L25" i="44"/>
  <c r="C23" i="44" l="1"/>
  <c r="D23" i="44"/>
  <c r="E23" i="44"/>
  <c r="F23" i="44"/>
  <c r="G23" i="44"/>
  <c r="H23" i="44"/>
  <c r="I23" i="44"/>
  <c r="J23" i="44"/>
  <c r="K23" i="44"/>
  <c r="O23" i="44"/>
  <c r="P23" i="44"/>
  <c r="Q23" i="44"/>
  <c r="R23" i="44"/>
  <c r="T23" i="44"/>
  <c r="U23" i="44"/>
  <c r="V23" i="44"/>
  <c r="S23" i="44" l="1"/>
  <c r="V12" i="44"/>
  <c r="V24" i="44" s="1"/>
  <c r="V25" i="44" s="1"/>
  <c r="V11" i="44"/>
  <c r="U51" i="44" l="1"/>
  <c r="T51" i="44"/>
  <c r="S51" i="44"/>
  <c r="R51" i="44"/>
  <c r="Q51" i="44"/>
  <c r="P51" i="44"/>
  <c r="O51" i="44"/>
  <c r="U33" i="44"/>
  <c r="T33" i="44"/>
  <c r="S33" i="44"/>
  <c r="R33" i="44"/>
  <c r="Q33" i="44"/>
  <c r="P33" i="44"/>
  <c r="O33" i="44"/>
  <c r="N33" i="44"/>
  <c r="M33" i="44"/>
  <c r="L33" i="44"/>
  <c r="K33" i="44"/>
  <c r="J33" i="44"/>
  <c r="J39" i="44" s="1"/>
  <c r="I33" i="44"/>
  <c r="I39" i="44" s="1"/>
  <c r="H33" i="44"/>
  <c r="H39" i="44" s="1"/>
  <c r="G33" i="44"/>
  <c r="G39" i="44" s="1"/>
  <c r="F33" i="44"/>
  <c r="F39" i="44" s="1"/>
  <c r="N29" i="44"/>
  <c r="N30" i="44" s="1"/>
  <c r="M29" i="44"/>
  <c r="M30" i="44" s="1"/>
  <c r="L29" i="44"/>
  <c r="L30" i="44" s="1"/>
  <c r="K29" i="44"/>
  <c r="K30" i="44" s="1"/>
  <c r="U12" i="44"/>
  <c r="U24" i="44" s="1"/>
  <c r="U25" i="44" s="1"/>
  <c r="T12" i="44"/>
  <c r="T24" i="44" s="1"/>
  <c r="S12" i="44"/>
  <c r="S24" i="44" s="1"/>
  <c r="R12" i="44"/>
  <c r="R24" i="44" s="1"/>
  <c r="R25" i="44" s="1"/>
  <c r="Q12" i="44"/>
  <c r="Q24" i="44" s="1"/>
  <c r="Q25" i="44" s="1"/>
  <c r="P12" i="44"/>
  <c r="P24" i="44" s="1"/>
  <c r="P25" i="44" s="1"/>
  <c r="O12" i="44"/>
  <c r="O24" i="44" s="1"/>
  <c r="O25" i="44" s="1"/>
  <c r="U11" i="44"/>
  <c r="U29" i="44" s="1"/>
  <c r="T11" i="44"/>
  <c r="T29" i="44" s="1"/>
  <c r="S11" i="44"/>
  <c r="S29" i="44" s="1"/>
  <c r="R11" i="44"/>
  <c r="R29" i="44" s="1"/>
  <c r="R30" i="44" s="1"/>
  <c r="Q11" i="44"/>
  <c r="Q29" i="44" s="1"/>
  <c r="P11" i="44"/>
  <c r="P29" i="44" s="1"/>
  <c r="P30" i="44" s="1"/>
  <c r="O11" i="44"/>
  <c r="O29" i="44" s="1"/>
  <c r="O30" i="44" s="1"/>
  <c r="U7" i="44"/>
  <c r="T7" i="44"/>
  <c r="S7" i="44"/>
  <c r="R7" i="44"/>
  <c r="Q7" i="44"/>
  <c r="P7" i="44"/>
  <c r="O7" i="44"/>
  <c r="S25" i="44" l="1"/>
  <c r="T25" i="44"/>
  <c r="W16" i="44"/>
  <c r="W24" i="44"/>
  <c r="W23" i="44"/>
  <c r="M43" i="44"/>
  <c r="M44" i="44" s="1"/>
  <c r="M39" i="44"/>
  <c r="O43" i="44"/>
  <c r="O44" i="44" s="1"/>
  <c r="O39" i="44"/>
  <c r="N43" i="44"/>
  <c r="N44" i="44" s="1"/>
  <c r="N39" i="44"/>
  <c r="P43" i="44"/>
  <c r="P44" i="44" s="1"/>
  <c r="P39" i="44"/>
  <c r="L43" i="44"/>
  <c r="L44" i="44" s="1"/>
  <c r="L39" i="44"/>
  <c r="Q43" i="44"/>
  <c r="Q44" i="44" s="1"/>
  <c r="Q39" i="44"/>
  <c r="R43" i="44"/>
  <c r="R44" i="44" s="1"/>
  <c r="R39" i="44"/>
  <c r="S43" i="44"/>
  <c r="S44" i="44" s="1"/>
  <c r="S39" i="44"/>
  <c r="T43" i="44"/>
  <c r="T44" i="44" s="1"/>
  <c r="T39" i="44"/>
  <c r="U43" i="44"/>
  <c r="U44" i="44" s="1"/>
  <c r="U39" i="44"/>
  <c r="K43" i="44"/>
  <c r="K44" i="44" s="1"/>
  <c r="K39" i="44"/>
  <c r="W25" i="44" l="1"/>
  <c r="W51" i="44"/>
  <c r="W29" i="44"/>
  <c r="O11" i="8" l="1"/>
  <c r="P11" i="8"/>
  <c r="Q11" i="8"/>
  <c r="R11" i="8"/>
  <c r="S11" i="8"/>
  <c r="T11" i="8"/>
  <c r="U11" i="8"/>
  <c r="V11" i="8"/>
  <c r="W5" i="36" l="1"/>
  <c r="W64" i="36" s="1"/>
  <c r="W10" i="8"/>
  <c r="T137" i="38"/>
  <c r="U137" i="38"/>
  <c r="K140" i="38"/>
  <c r="K138" i="38" s="1"/>
  <c r="L140" i="38"/>
  <c r="L138" i="38" s="1"/>
  <c r="M140" i="38"/>
  <c r="M138" i="38" s="1"/>
  <c r="N140" i="38"/>
  <c r="N138" i="38" s="1"/>
  <c r="K141" i="38"/>
  <c r="L141" i="38"/>
  <c r="M141" i="38"/>
  <c r="N141" i="38"/>
  <c r="O141" i="38"/>
  <c r="P141" i="38"/>
  <c r="Q141" i="38"/>
  <c r="R141" i="38"/>
  <c r="S141" i="38"/>
  <c r="T141" i="38"/>
  <c r="U141" i="38"/>
  <c r="K142" i="38"/>
  <c r="L142" i="38"/>
  <c r="M142" i="38"/>
  <c r="N142" i="38"/>
  <c r="O142" i="38"/>
  <c r="P142" i="38"/>
  <c r="Q142" i="38"/>
  <c r="R142" i="38"/>
  <c r="S142" i="38"/>
  <c r="T142" i="38"/>
  <c r="U142" i="38"/>
  <c r="K143" i="38"/>
  <c r="L143" i="38"/>
  <c r="M143" i="38"/>
  <c r="N143" i="38"/>
  <c r="O143" i="38"/>
  <c r="P143" i="38"/>
  <c r="Q143" i="38"/>
  <c r="R143" i="38"/>
  <c r="S143" i="38"/>
  <c r="T143" i="38"/>
  <c r="U143" i="38"/>
  <c r="K148" i="38"/>
  <c r="L148" i="38"/>
  <c r="M148" i="38"/>
  <c r="N148" i="38"/>
  <c r="O148" i="38"/>
  <c r="P148" i="38"/>
  <c r="Q148" i="38"/>
  <c r="R148" i="38"/>
  <c r="S148" i="38"/>
  <c r="T148" i="38"/>
  <c r="U148" i="38"/>
  <c r="K153" i="38"/>
  <c r="L153" i="38"/>
  <c r="M153" i="38"/>
  <c r="N153" i="38"/>
  <c r="O153" i="38"/>
  <c r="P153" i="38"/>
  <c r="Q153" i="38"/>
  <c r="R153" i="38"/>
  <c r="S153" i="38"/>
  <c r="T153" i="38"/>
  <c r="U153" i="38"/>
  <c r="T60" i="38"/>
  <c r="O61" i="38"/>
  <c r="O109" i="38" s="1"/>
  <c r="P61" i="38"/>
  <c r="P109" i="38" s="1"/>
  <c r="Q61" i="38"/>
  <c r="Q109" i="38" s="1"/>
  <c r="R61" i="38"/>
  <c r="R84" i="38" s="1"/>
  <c r="S61" i="38"/>
  <c r="S84" i="38" s="1"/>
  <c r="T61" i="38"/>
  <c r="T84" i="38" s="1"/>
  <c r="U61" i="38"/>
  <c r="U84" i="38" s="1"/>
  <c r="O62" i="38"/>
  <c r="P62" i="38"/>
  <c r="Q62" i="38"/>
  <c r="Q85" i="38" s="1"/>
  <c r="R62" i="38"/>
  <c r="R85" i="38" s="1"/>
  <c r="S62" i="38"/>
  <c r="S110" i="38" s="1"/>
  <c r="T62" i="38"/>
  <c r="T85" i="38" s="1"/>
  <c r="U62" i="38"/>
  <c r="O63" i="38"/>
  <c r="O86" i="38" s="1"/>
  <c r="P63" i="38"/>
  <c r="P86" i="38" s="1"/>
  <c r="Q63" i="38"/>
  <c r="Q86" i="38" s="1"/>
  <c r="R63" i="38"/>
  <c r="R86" i="38" s="1"/>
  <c r="S63" i="38"/>
  <c r="S111" i="38" s="1"/>
  <c r="T63" i="38"/>
  <c r="T86" i="38" s="1"/>
  <c r="U63" i="38"/>
  <c r="U111" i="38" s="1"/>
  <c r="O64" i="38"/>
  <c r="P64" i="38"/>
  <c r="P112" i="38" s="1"/>
  <c r="Q64" i="38"/>
  <c r="Q112" i="38" s="1"/>
  <c r="R64" i="38"/>
  <c r="R87" i="38" s="1"/>
  <c r="S64" i="38"/>
  <c r="S112" i="38" s="1"/>
  <c r="T64" i="38"/>
  <c r="T87" i="38" s="1"/>
  <c r="U64" i="38"/>
  <c r="U87" i="38" s="1"/>
  <c r="O66" i="38"/>
  <c r="O89" i="38" s="1"/>
  <c r="P66" i="38"/>
  <c r="Q66" i="38"/>
  <c r="Q89" i="38" s="1"/>
  <c r="R66" i="38"/>
  <c r="R89" i="38" s="1"/>
  <c r="S66" i="38"/>
  <c r="S89" i="38" s="1"/>
  <c r="T66" i="38"/>
  <c r="U66" i="38"/>
  <c r="U89" i="38" s="1"/>
  <c r="O73" i="38"/>
  <c r="P73" i="38"/>
  <c r="Q73" i="38"/>
  <c r="R73" i="38"/>
  <c r="S73" i="38"/>
  <c r="T73" i="38"/>
  <c r="U73" i="38"/>
  <c r="O79" i="38"/>
  <c r="P79" i="38"/>
  <c r="Q79" i="38"/>
  <c r="R79" i="38"/>
  <c r="S79" i="38"/>
  <c r="T79" i="38"/>
  <c r="U79" i="38"/>
  <c r="T83" i="38"/>
  <c r="U83" i="38"/>
  <c r="O87" i="38"/>
  <c r="P87" i="38"/>
  <c r="Q87" i="38"/>
  <c r="S87" i="38"/>
  <c r="O91" i="38"/>
  <c r="P91" i="38"/>
  <c r="Q91" i="38"/>
  <c r="R91" i="38"/>
  <c r="S91" i="38"/>
  <c r="T91" i="38"/>
  <c r="U91" i="38"/>
  <c r="O92" i="38"/>
  <c r="P92" i="38"/>
  <c r="Q92" i="38"/>
  <c r="R92" i="38"/>
  <c r="S92" i="38"/>
  <c r="T92" i="38"/>
  <c r="U92" i="38"/>
  <c r="O93" i="38"/>
  <c r="P93" i="38"/>
  <c r="Q93" i="38"/>
  <c r="R93" i="38"/>
  <c r="S93" i="38"/>
  <c r="T93" i="38"/>
  <c r="U93" i="38"/>
  <c r="O94" i="38"/>
  <c r="P94" i="38"/>
  <c r="Q94" i="38"/>
  <c r="R94" i="38"/>
  <c r="S94" i="38"/>
  <c r="T94" i="38"/>
  <c r="U94" i="38"/>
  <c r="O95" i="38"/>
  <c r="P95" i="38"/>
  <c r="Q95" i="38"/>
  <c r="R95" i="38"/>
  <c r="S95" i="38"/>
  <c r="T95" i="38"/>
  <c r="U95" i="38"/>
  <c r="C98" i="38"/>
  <c r="D98" i="38"/>
  <c r="E98" i="38"/>
  <c r="F98" i="38"/>
  <c r="G98" i="38"/>
  <c r="H98" i="38"/>
  <c r="I98" i="38"/>
  <c r="J98" i="38"/>
  <c r="K98" i="38"/>
  <c r="L98" i="38"/>
  <c r="M98" i="38"/>
  <c r="N98" i="38"/>
  <c r="O98" i="38"/>
  <c r="P98" i="38"/>
  <c r="Q98" i="38"/>
  <c r="R98" i="38"/>
  <c r="S98" i="38"/>
  <c r="T98" i="38"/>
  <c r="U98" i="38"/>
  <c r="O100" i="38"/>
  <c r="P100" i="38"/>
  <c r="Q100" i="38"/>
  <c r="R100" i="38"/>
  <c r="S100" i="38"/>
  <c r="T100" i="38"/>
  <c r="U100" i="38"/>
  <c r="O101" i="38"/>
  <c r="P101" i="38"/>
  <c r="Q101" i="38"/>
  <c r="R101" i="38"/>
  <c r="S101" i="38"/>
  <c r="T101" i="38"/>
  <c r="U101" i="38"/>
  <c r="T108" i="38"/>
  <c r="U108" i="38"/>
  <c r="O110" i="38"/>
  <c r="O112" i="38"/>
  <c r="O121" i="38"/>
  <c r="P121" i="38"/>
  <c r="Q121" i="38"/>
  <c r="R121" i="38"/>
  <c r="R123" i="38" s="1"/>
  <c r="S121" i="38"/>
  <c r="T121" i="38"/>
  <c r="T123" i="38" s="1"/>
  <c r="U121" i="38"/>
  <c r="U123" i="38" s="1"/>
  <c r="O122" i="38"/>
  <c r="P122" i="38"/>
  <c r="Q122" i="38"/>
  <c r="R122" i="38"/>
  <c r="S122" i="38"/>
  <c r="T122" i="38"/>
  <c r="U122" i="38"/>
  <c r="K124" i="38"/>
  <c r="L124" i="38"/>
  <c r="M124" i="38"/>
  <c r="N124" i="38"/>
  <c r="T126" i="38"/>
  <c r="K11" i="8"/>
  <c r="J11" i="8"/>
  <c r="I11" i="8"/>
  <c r="H11" i="8"/>
  <c r="G11" i="8"/>
  <c r="F11" i="8"/>
  <c r="E11" i="8"/>
  <c r="D11" i="8"/>
  <c r="C11" i="8"/>
  <c r="R74" i="38" l="1"/>
  <c r="S74" i="38"/>
  <c r="Q74" i="38"/>
  <c r="Q111" i="38"/>
  <c r="P111" i="38"/>
  <c r="O111" i="38"/>
  <c r="U65" i="38"/>
  <c r="S109" i="38"/>
  <c r="Q84" i="38"/>
  <c r="R109" i="38"/>
  <c r="P84" i="38"/>
  <c r="O84" i="38"/>
  <c r="P65" i="38"/>
  <c r="P67" i="38" s="1"/>
  <c r="O65" i="38"/>
  <c r="O67" i="38" s="1"/>
  <c r="U110" i="38"/>
  <c r="P110" i="38"/>
  <c r="P113" i="38" s="1"/>
  <c r="P117" i="38" s="1"/>
  <c r="P120" i="38" s="1"/>
  <c r="Q110" i="38"/>
  <c r="U113" i="38"/>
  <c r="U117" i="38" s="1"/>
  <c r="U120" i="38" s="1"/>
  <c r="U85" i="38"/>
  <c r="U112" i="38"/>
  <c r="P85" i="38"/>
  <c r="Q65" i="38"/>
  <c r="Q67" i="38" s="1"/>
  <c r="O85" i="38"/>
  <c r="U74" i="38"/>
  <c r="U109" i="38"/>
  <c r="N144" i="38"/>
  <c r="N151" i="38" s="1"/>
  <c r="U67" i="38"/>
  <c r="U88" i="38"/>
  <c r="R110" i="38"/>
  <c r="U86" i="38"/>
  <c r="T65" i="38"/>
  <c r="T67" i="38" s="1"/>
  <c r="S86" i="38"/>
  <c r="S65" i="38"/>
  <c r="S67" i="38" s="1"/>
  <c r="P123" i="38"/>
  <c r="O123" i="38"/>
  <c r="S85" i="38"/>
  <c r="M144" i="38"/>
  <c r="M145" i="38" s="1"/>
  <c r="M146" i="38" s="1"/>
  <c r="R65" i="38"/>
  <c r="S123" i="38"/>
  <c r="R111" i="38"/>
  <c r="O113" i="38"/>
  <c r="O117" i="38" s="1"/>
  <c r="O120" i="38" s="1"/>
  <c r="P74" i="38"/>
  <c r="P76" i="38"/>
  <c r="P80" i="38" s="1"/>
  <c r="P124" i="38" s="1"/>
  <c r="K144" i="38"/>
  <c r="K151" i="38" s="1"/>
  <c r="Q123" i="38"/>
  <c r="R112" i="38"/>
  <c r="W11" i="8"/>
  <c r="W15" i="8"/>
  <c r="W25" i="8" s="1"/>
  <c r="W30" i="8" s="1"/>
  <c r="S113" i="38"/>
  <c r="S117" i="38" s="1"/>
  <c r="S120" i="38" s="1"/>
  <c r="P89" i="38"/>
  <c r="T74" i="38"/>
  <c r="L144" i="38"/>
  <c r="L150" i="38" s="1"/>
  <c r="N150" i="38"/>
  <c r="N145" i="38"/>
  <c r="N146" i="38" s="1"/>
  <c r="O140" i="38"/>
  <c r="U76" i="38"/>
  <c r="U80" i="38" s="1"/>
  <c r="U124" i="38" s="1"/>
  <c r="M151" i="38"/>
  <c r="T112" i="38"/>
  <c r="T111" i="38"/>
  <c r="T110" i="38"/>
  <c r="T109" i="38"/>
  <c r="O74" i="38"/>
  <c r="T89" i="38"/>
  <c r="Q76" i="38"/>
  <c r="Q80" i="38" s="1"/>
  <c r="Q124" i="38" s="1"/>
  <c r="Q113" i="38" l="1"/>
  <c r="Q140" i="38" s="1"/>
  <c r="U140" i="38"/>
  <c r="U144" i="38" s="1"/>
  <c r="T76" i="38"/>
  <c r="T80" i="38" s="1"/>
  <c r="T124" i="38" s="1"/>
  <c r="O76" i="38"/>
  <c r="O80" i="38" s="1"/>
  <c r="O124" i="38" s="1"/>
  <c r="U138" i="38"/>
  <c r="S76" i="38"/>
  <c r="S80" i="38" s="1"/>
  <c r="S124" i="38" s="1"/>
  <c r="P140" i="38"/>
  <c r="P138" i="38" s="1"/>
  <c r="R113" i="38"/>
  <c r="R67" i="38"/>
  <c r="R88" i="38"/>
  <c r="R76" i="38"/>
  <c r="R80" i="38" s="1"/>
  <c r="R124" i="38" s="1"/>
  <c r="L151" i="38"/>
  <c r="T113" i="38"/>
  <c r="T117" i="38" s="1"/>
  <c r="T120" i="38" s="1"/>
  <c r="M150" i="38"/>
  <c r="L145" i="38"/>
  <c r="L146" i="38" s="1"/>
  <c r="K150" i="38"/>
  <c r="K145" i="38"/>
  <c r="K146" i="38" s="1"/>
  <c r="W40" i="8"/>
  <c r="W35" i="8"/>
  <c r="S140" i="38"/>
  <c r="S138" i="38" s="1"/>
  <c r="Q117" i="38"/>
  <c r="Q120" i="38" s="1"/>
  <c r="Q138" i="38"/>
  <c r="Q144" i="38"/>
  <c r="U145" i="38"/>
  <c r="U146" i="38" s="1"/>
  <c r="U151" i="38"/>
  <c r="U150" i="38"/>
  <c r="O144" i="38"/>
  <c r="O138" i="38"/>
  <c r="O67" i="36"/>
  <c r="P67" i="36"/>
  <c r="Q67" i="36"/>
  <c r="R67" i="36"/>
  <c r="S67" i="36"/>
  <c r="T67" i="36"/>
  <c r="U67" i="36"/>
  <c r="O66" i="36"/>
  <c r="P66" i="36"/>
  <c r="Q66" i="36"/>
  <c r="R66" i="36"/>
  <c r="S66" i="36"/>
  <c r="T66" i="36"/>
  <c r="U66" i="36"/>
  <c r="T140" i="38" l="1"/>
  <c r="P144" i="38"/>
  <c r="R117" i="38"/>
  <c r="R120" i="38" s="1"/>
  <c r="R140" i="38"/>
  <c r="S144" i="38"/>
  <c r="S145" i="38" s="1"/>
  <c r="S146" i="38" s="1"/>
  <c r="T144" i="38"/>
  <c r="T138" i="38"/>
  <c r="P151" i="38"/>
  <c r="P150" i="38"/>
  <c r="P145" i="38"/>
  <c r="P146" i="38" s="1"/>
  <c r="O150" i="38"/>
  <c r="O145" i="38"/>
  <c r="O146" i="38" s="1"/>
  <c r="O151" i="38"/>
  <c r="S150" i="38"/>
  <c r="Q151" i="38"/>
  <c r="Q150" i="38"/>
  <c r="Q145" i="38"/>
  <c r="Q146" i="38" s="1"/>
  <c r="S151" i="38" l="1"/>
  <c r="R138" i="38"/>
  <c r="R144" i="38"/>
  <c r="T151" i="38"/>
  <c r="T145" i="38"/>
  <c r="T146" i="38" s="1"/>
  <c r="T150" i="38"/>
  <c r="R151" i="38" l="1"/>
  <c r="R150" i="38"/>
  <c r="R145" i="38"/>
  <c r="R146" i="38" s="1"/>
  <c r="T48" i="38"/>
  <c r="AC7" i="33" l="1"/>
  <c r="AC8" i="33"/>
  <c r="AC9" i="33"/>
  <c r="AC11" i="33"/>
  <c r="AC12" i="33"/>
  <c r="AC13" i="33"/>
  <c r="AC15" i="33"/>
  <c r="AC16" i="33"/>
  <c r="AC17" i="33"/>
  <c r="U5" i="36" l="1"/>
  <c r="V5" i="33"/>
  <c r="U5" i="33"/>
  <c r="V14" i="33"/>
  <c r="AC14" i="33" s="1"/>
  <c r="V10" i="33"/>
  <c r="AC10" i="33" s="1"/>
  <c r="V6" i="33"/>
  <c r="AC6" i="33" s="1"/>
  <c r="Q44" i="38"/>
  <c r="Q43" i="38"/>
  <c r="Q34" i="38"/>
  <c r="Q33" i="38"/>
  <c r="Q32" i="38"/>
  <c r="Q31" i="38"/>
  <c r="Q24" i="38"/>
  <c r="Q18" i="38"/>
  <c r="Q10" i="38"/>
  <c r="Q44" i="8"/>
  <c r="Q31" i="8"/>
  <c r="Q36" i="8" s="1"/>
  <c r="Q37" i="8" s="1"/>
  <c r="Q22" i="8"/>
  <c r="Q21" i="8"/>
  <c r="Q27" i="8" s="1"/>
  <c r="Q17" i="8"/>
  <c r="Q6" i="8"/>
  <c r="Q88" i="38" l="1"/>
  <c r="Q45" i="38"/>
  <c r="Q46" i="38" s="1"/>
  <c r="Q102" i="38"/>
  <c r="Q19" i="38"/>
  <c r="Q97" i="38" s="1"/>
  <c r="Q96" i="38"/>
  <c r="Q21" i="38"/>
  <c r="Q35" i="38"/>
  <c r="Q39" i="38" s="1"/>
  <c r="Q12" i="38"/>
  <c r="Q90" i="38" s="1"/>
  <c r="Q25" i="38" l="1"/>
  <c r="Q99" i="38"/>
  <c r="Q103" i="38" l="1"/>
  <c r="Q6" i="45"/>
  <c r="U30" i="38"/>
  <c r="Q11" i="45" l="1"/>
  <c r="U10" i="8"/>
  <c r="U15" i="8" s="1"/>
  <c r="U25" i="8" s="1"/>
  <c r="U30" i="8" s="1"/>
  <c r="U14" i="33"/>
  <c r="U10" i="33"/>
  <c r="U64" i="36"/>
  <c r="U32" i="38"/>
  <c r="U6" i="33" l="1"/>
  <c r="U35" i="8"/>
  <c r="U40" i="8"/>
  <c r="T5" i="33" l="1"/>
  <c r="T5" i="36"/>
  <c r="T64" i="36" s="1"/>
  <c r="T30" i="38"/>
  <c r="T5" i="38"/>
  <c r="T32" i="38"/>
  <c r="T40" i="8"/>
  <c r="T35" i="8"/>
  <c r="T30" i="8"/>
  <c r="T25" i="8"/>
  <c r="T15" i="8"/>
  <c r="T10" i="8"/>
  <c r="T6" i="33" l="1"/>
  <c r="T10" i="33"/>
  <c r="T14" i="33"/>
  <c r="T21" i="8"/>
  <c r="T27" i="8" s="1"/>
  <c r="T28" i="8" s="1"/>
  <c r="T17" i="8"/>
  <c r="T22" i="8"/>
  <c r="AB15" i="33"/>
  <c r="AB16" i="33"/>
  <c r="AB17" i="33"/>
  <c r="AB12" i="33"/>
  <c r="AB13" i="33"/>
  <c r="AB7" i="33"/>
  <c r="AB8" i="33"/>
  <c r="AB9" i="33"/>
  <c r="P10" i="33" l="1"/>
  <c r="P14" i="33"/>
  <c r="R6" i="33"/>
  <c r="AB6" i="33" s="1"/>
  <c r="O6" i="33"/>
  <c r="P6" i="33"/>
  <c r="Q14" i="33"/>
  <c r="S10" i="33"/>
  <c r="Q6" i="33"/>
  <c r="O14" i="33"/>
  <c r="R10" i="33"/>
  <c r="AB10" i="33" s="1"/>
  <c r="S6" i="33"/>
  <c r="O10" i="33"/>
  <c r="S14" i="33"/>
  <c r="Q10" i="33"/>
  <c r="AB11" i="33"/>
  <c r="R14" i="33"/>
  <c r="AB14" i="33" s="1"/>
  <c r="S32" i="38" l="1"/>
  <c r="R32" i="38"/>
  <c r="P32" i="38"/>
  <c r="O32" i="38"/>
  <c r="O34" i="38"/>
  <c r="G31" i="8" l="1"/>
  <c r="F31" i="8"/>
  <c r="H31" i="8"/>
  <c r="J31" i="8"/>
  <c r="I31" i="8"/>
  <c r="N27" i="8" l="1"/>
  <c r="M27" i="8"/>
  <c r="M28" i="8" s="1"/>
  <c r="L27" i="8"/>
  <c r="L28" i="8" s="1"/>
  <c r="K27" i="8"/>
  <c r="K28" i="8" s="1"/>
  <c r="N28" i="8" l="1"/>
  <c r="O21" i="8"/>
  <c r="O27" i="8" s="1"/>
  <c r="O28" i="8" s="1"/>
  <c r="P21" i="8" l="1"/>
  <c r="P27" i="8" s="1"/>
  <c r="P28" i="8" s="1"/>
  <c r="S21" i="8" l="1"/>
  <c r="S27" i="8" l="1"/>
  <c r="S28" i="8" s="1"/>
  <c r="R21" i="8"/>
  <c r="R27" i="8" l="1"/>
  <c r="R28" i="8" l="1"/>
  <c r="O17" i="8"/>
  <c r="O22" i="8"/>
  <c r="P22" i="8" l="1"/>
  <c r="P17" i="8"/>
  <c r="R22" i="8" l="1"/>
  <c r="R17" i="8"/>
  <c r="S17" i="8"/>
  <c r="S22" i="8"/>
  <c r="O6" i="8" l="1"/>
  <c r="P6" i="8" l="1"/>
  <c r="R6" i="8" l="1"/>
  <c r="T6" i="8" l="1"/>
  <c r="S6" i="8"/>
  <c r="T65" i="36" l="1"/>
  <c r="S44" i="38" l="1"/>
  <c r="S18" i="38"/>
  <c r="S96" i="38" s="1"/>
  <c r="S43" i="38"/>
  <c r="S24" i="38"/>
  <c r="S102" i="38" s="1"/>
  <c r="S31" i="38" l="1"/>
  <c r="S10" i="38"/>
  <c r="S34" i="38"/>
  <c r="S45" i="38"/>
  <c r="S33" i="38"/>
  <c r="S88" i="38" l="1"/>
  <c r="S46" i="38"/>
  <c r="S21" i="38"/>
  <c r="S99" i="38" s="1"/>
  <c r="S35" i="38"/>
  <c r="S25" i="38" l="1"/>
  <c r="S103" i="38" l="1"/>
  <c r="S6" i="45"/>
  <c r="S39" i="38"/>
  <c r="S19" i="38"/>
  <c r="S97" i="38" s="1"/>
  <c r="S12" i="38"/>
  <c r="S90" i="38" s="1"/>
  <c r="S11" i="45" l="1"/>
  <c r="S31" i="8"/>
  <c r="S36" i="8" l="1"/>
  <c r="S37" i="8" l="1"/>
  <c r="T31" i="8" l="1"/>
  <c r="T36" i="8" s="1"/>
  <c r="T37" i="8" s="1"/>
  <c r="L31" i="8"/>
  <c r="L36" i="8" s="1"/>
  <c r="L37" i="8" s="1"/>
  <c r="M31" i="8" l="1"/>
  <c r="M36" i="8" s="1"/>
  <c r="M37" i="8" s="1"/>
  <c r="N31" i="8"/>
  <c r="K31" i="8"/>
  <c r="K36" i="8" s="1"/>
  <c r="K37" i="8" s="1"/>
  <c r="N36" i="8" l="1"/>
  <c r="N37" i="8" l="1"/>
  <c r="R44" i="38" l="1"/>
  <c r="R33" i="38" l="1"/>
  <c r="R34" i="38"/>
  <c r="R43" i="38"/>
  <c r="R24" i="38"/>
  <c r="R102" i="38" s="1"/>
  <c r="R18" i="38"/>
  <c r="R96" i="38" s="1"/>
  <c r="R31" i="38" l="1"/>
  <c r="R35" i="38" s="1"/>
  <c r="R39" i="38" s="1"/>
  <c r="R21" i="38"/>
  <c r="R99" i="38" s="1"/>
  <c r="R19" i="38"/>
  <c r="R97" i="38" s="1"/>
  <c r="R45" i="38"/>
  <c r="R46" i="38" s="1"/>
  <c r="R12" i="38" l="1"/>
  <c r="R90" i="38" s="1"/>
  <c r="R25" i="38" l="1"/>
  <c r="R103" i="38" l="1"/>
  <c r="R6" i="45"/>
  <c r="R11" i="45" s="1"/>
  <c r="T44" i="38"/>
  <c r="T24" i="38" l="1"/>
  <c r="T102" i="38" s="1"/>
  <c r="T43" i="38"/>
  <c r="T45" i="38" l="1"/>
  <c r="T46" i="38" l="1"/>
  <c r="O43" i="38" l="1"/>
  <c r="O24" i="38"/>
  <c r="O102" i="38" s="1"/>
  <c r="O44" i="38"/>
  <c r="O18" i="38"/>
  <c r="O96" i="38" s="1"/>
  <c r="O45" i="38" l="1"/>
  <c r="O31" i="38"/>
  <c r="O19" i="38"/>
  <c r="O97" i="38" s="1"/>
  <c r="O33" i="38" l="1"/>
  <c r="O10" i="38"/>
  <c r="O46" i="38"/>
  <c r="O88" i="38" l="1"/>
  <c r="O21" i="38"/>
  <c r="O99" i="38" s="1"/>
  <c r="O12" i="38"/>
  <c r="O90" i="38" s="1"/>
  <c r="O35" i="38"/>
  <c r="O39" i="38" s="1"/>
  <c r="O25" i="38" l="1"/>
  <c r="O103" i="38" l="1"/>
  <c r="O6" i="45"/>
  <c r="O31" i="8"/>
  <c r="O36" i="8" s="1"/>
  <c r="O37" i="8" s="1"/>
  <c r="O12" i="45" l="1"/>
  <c r="O11" i="45"/>
  <c r="P44" i="38"/>
  <c r="P43" i="38" l="1"/>
  <c r="P24" i="38"/>
  <c r="P102" i="38" s="1"/>
  <c r="P45" i="38" l="1"/>
  <c r="P46" i="38" l="1"/>
  <c r="P31" i="8" l="1"/>
  <c r="P36" i="8" s="1"/>
  <c r="P37" i="8" s="1"/>
  <c r="P31" i="38" l="1"/>
  <c r="P33" i="38" l="1"/>
  <c r="P10" i="38"/>
  <c r="P34" i="38"/>
  <c r="P88" i="38" l="1"/>
  <c r="P12" i="38"/>
  <c r="P90" i="38" s="1"/>
  <c r="P35" i="38"/>
  <c r="P39" i="38" s="1"/>
  <c r="P18" i="38" l="1"/>
  <c r="P96" i="38" s="1"/>
  <c r="P19" i="38" l="1"/>
  <c r="P97" i="38" s="1"/>
  <c r="P21" i="38"/>
  <c r="P99" i="38" s="1"/>
  <c r="P25" i="38" l="1"/>
  <c r="P103" i="38" l="1"/>
  <c r="P6" i="45"/>
  <c r="R31" i="8"/>
  <c r="S12" i="45" l="1"/>
  <c r="P11" i="45"/>
  <c r="Q12" i="45"/>
  <c r="R12" i="45"/>
  <c r="P12" i="45"/>
  <c r="R36" i="8"/>
  <c r="R37" i="8" l="1"/>
  <c r="T10" i="38" l="1"/>
  <c r="T31" i="38"/>
  <c r="T34" i="38"/>
  <c r="T18" i="38"/>
  <c r="T96" i="38" s="1"/>
  <c r="T88" i="38" l="1"/>
  <c r="T12" i="38"/>
  <c r="T90" i="38" s="1"/>
  <c r="T21" i="38"/>
  <c r="T99" i="38" s="1"/>
  <c r="T19" i="38"/>
  <c r="T97" i="38" s="1"/>
  <c r="T33" i="38"/>
  <c r="T35" i="38" l="1"/>
  <c r="T25" i="38"/>
  <c r="T103" i="38" l="1"/>
  <c r="T6" i="45"/>
  <c r="T39" i="38"/>
  <c r="T11" i="45" l="1"/>
  <c r="T12" i="45"/>
  <c r="U21" i="8"/>
  <c r="U27" i="8" s="1"/>
  <c r="U28" i="8" l="1"/>
  <c r="U6" i="8" l="1"/>
  <c r="U22" i="8" l="1"/>
  <c r="U17" i="8"/>
  <c r="U65" i="36" l="1"/>
  <c r="U31" i="8" l="1"/>
  <c r="U36" i="8" s="1"/>
  <c r="U37" i="8" s="1"/>
  <c r="T44" i="8" l="1"/>
  <c r="S44" i="8" l="1"/>
  <c r="P44" i="8" l="1"/>
  <c r="R44" i="8" l="1"/>
  <c r="O44" i="8"/>
  <c r="U44" i="8" l="1"/>
  <c r="U33" i="38" l="1"/>
  <c r="U34" i="38"/>
  <c r="U31" i="38"/>
  <c r="U44" i="38"/>
  <c r="U43" i="38"/>
  <c r="U24" i="38"/>
  <c r="U102" i="38" s="1"/>
  <c r="U18" i="38"/>
  <c r="U96" i="38" s="1"/>
  <c r="U35" i="38" l="1"/>
  <c r="U45" i="38"/>
  <c r="U19" i="38"/>
  <c r="U97" i="38" s="1"/>
  <c r="U12" i="38"/>
  <c r="U90" i="38" s="1"/>
  <c r="U21" i="38"/>
  <c r="U99" i="38" s="1"/>
  <c r="U46" i="38" l="1"/>
  <c r="U39" i="38"/>
  <c r="U25" i="38"/>
  <c r="U103" i="38" l="1"/>
  <c r="U6" i="45"/>
  <c r="R65" i="36"/>
  <c r="U11" i="45" l="1"/>
  <c r="X12" i="45"/>
  <c r="V12" i="45"/>
  <c r="W12" i="45"/>
  <c r="U12" i="45"/>
  <c r="S65" i="36"/>
  <c r="Q65" i="36"/>
  <c r="P65" i="36"/>
  <c r="O65" i="36"/>
  <c r="W21" i="8" l="1"/>
  <c r="W27" i="8" s="1"/>
  <c r="W28" i="8" l="1"/>
  <c r="W22" i="8" l="1"/>
  <c r="W17" i="8"/>
  <c r="W44" i="8" l="1"/>
  <c r="W54" i="44" l="1"/>
  <c r="W55" i="44" s="1"/>
  <c r="W38" i="44" l="1"/>
  <c r="X141" i="38" l="1"/>
  <c r="M40" i="10" l="1"/>
  <c r="M53" i="10"/>
  <c r="M65" i="10" s="1"/>
  <c r="N40" i="10"/>
  <c r="N53" i="10"/>
  <c r="N65" i="10" s="1"/>
  <c r="K53" i="10"/>
  <c r="K40" i="10"/>
  <c r="AB40" i="10" s="1"/>
  <c r="AB38" i="10"/>
  <c r="L40" i="10"/>
  <c r="L53" i="10"/>
  <c r="L65" i="10" s="1"/>
  <c r="K65" i="10" l="1"/>
  <c r="AB65" i="10" s="1"/>
  <c r="AB53" i="10"/>
  <c r="X12" i="38" l="1"/>
  <c r="X19" i="38"/>
  <c r="X66" i="38"/>
  <c r="X89" i="38" l="1"/>
  <c r="X67" i="38"/>
  <c r="X90" i="38"/>
  <c r="X122" i="38" l="1"/>
  <c r="X95" i="38"/>
  <c r="X94" i="38"/>
  <c r="X93" i="38"/>
  <c r="X92" i="38"/>
  <c r="X121" i="38" l="1"/>
  <c r="X123" i="38" s="1"/>
  <c r="X79" i="38"/>
  <c r="X143" i="38"/>
  <c r="X39" i="38"/>
  <c r="X91" i="38"/>
  <c r="X73" i="38"/>
  <c r="X142" i="38" l="1"/>
  <c r="X144" i="38" s="1"/>
  <c r="X117" i="38"/>
  <c r="X120" i="38" s="1"/>
  <c r="X96" i="38"/>
  <c r="X76" i="38"/>
  <c r="X74" i="38"/>
  <c r="X97" i="38" s="1"/>
  <c r="X99" i="38" l="1"/>
  <c r="X80" i="38"/>
  <c r="X145" i="38"/>
  <c r="X146" i="38" s="1"/>
  <c r="X151" i="38"/>
  <c r="X150" i="38"/>
  <c r="X124" i="38" l="1"/>
  <c r="X103" i="38"/>
  <c r="X43" i="38" l="1"/>
  <c r="X100" i="38"/>
  <c r="X24" i="38"/>
  <c r="X44" i="38"/>
  <c r="X101" i="38"/>
  <c r="X45" i="38" l="1"/>
  <c r="X46" i="38" s="1"/>
  <c r="X102" i="38"/>
  <c r="X98" i="38" l="1"/>
  <c r="W33" i="44" l="1"/>
  <c r="W31" i="8"/>
  <c r="W36" i="8" s="1"/>
  <c r="W37" i="8" s="1"/>
  <c r="W39" i="44" l="1"/>
  <c r="W43" i="44"/>
  <c r="W44" i="44" s="1"/>
  <c r="X33" i="44" l="1"/>
  <c r="X39" i="44" l="1"/>
</calcChain>
</file>

<file path=xl/sharedStrings.xml><?xml version="1.0" encoding="utf-8"?>
<sst xmlns="http://schemas.openxmlformats.org/spreadsheetml/2006/main" count="2136" uniqueCount="501">
  <si>
    <t>OPERATING FIGURES</t>
  </si>
  <si>
    <t>http://investors.pagbank.com/</t>
  </si>
  <si>
    <t>R$ billion</t>
  </si>
  <si>
    <t>1Q20</t>
  </si>
  <si>
    <t>2Q20</t>
  </si>
  <si>
    <t>3Q20</t>
  </si>
  <si>
    <t>4Q20</t>
  </si>
  <si>
    <t>1Q21</t>
  </si>
  <si>
    <t>2Q21</t>
  </si>
  <si>
    <t>3Q21</t>
  </si>
  <si>
    <t>4Q21</t>
  </si>
  <si>
    <t>1Q22</t>
  </si>
  <si>
    <t>2Q22</t>
  </si>
  <si>
    <t>3Q22</t>
  </si>
  <si>
    <t>4Q22</t>
  </si>
  <si>
    <t>1Q23</t>
  </si>
  <si>
    <t>2Q23</t>
  </si>
  <si>
    <t>3Q23</t>
  </si>
  <si>
    <t>4Q23</t>
  </si>
  <si>
    <t>1Q24</t>
  </si>
  <si>
    <t>2Q24</t>
  </si>
  <si>
    <t>3Q24</t>
  </si>
  <si>
    <t>4Q24</t>
  </si>
  <si>
    <t>Total Finance Volume (TFV)</t>
  </si>
  <si>
    <t>Total Payment Volume (TPV)</t>
  </si>
  <si>
    <t>Total Banking Volume (TBV)</t>
  </si>
  <si>
    <t/>
  </si>
  <si>
    <t>Total Payment Volume</t>
  </si>
  <si>
    <t>-</t>
  </si>
  <si>
    <t>MSMB</t>
  </si>
  <si>
    <t>LMEC</t>
  </si>
  <si>
    <t># million</t>
  </si>
  <si>
    <t>Total Clients</t>
  </si>
  <si>
    <t>Active Clients¹</t>
  </si>
  <si>
    <t>Banking</t>
  </si>
  <si>
    <t>Banking + Payments</t>
  </si>
  <si>
    <t>Payments</t>
  </si>
  <si>
    <t>Active Banking Clients</t>
  </si>
  <si>
    <t>Active Merchants</t>
  </si>
  <si>
    <t>1 - Starting Q1 2024, “Active Clients” metric includes Active Merchants "("Payments") that are not PagBank Clients (“Banking”). For comparison, previous quarters were adjusted accordingly</t>
  </si>
  <si>
    <t>Cash-In</t>
  </si>
  <si>
    <t xml:space="preserve"> Active Banking Clients (# million)</t>
  </si>
  <si>
    <t>Cash-In per Active Banking Client (R$ thousand)</t>
  </si>
  <si>
    <t>Total Deposits</t>
  </si>
  <si>
    <t>Checking Accounts</t>
  </si>
  <si>
    <t>Banking Issuances</t>
  </si>
  <si>
    <t>On Platform</t>
  </si>
  <si>
    <t>Off Platform</t>
  </si>
  <si>
    <t>Total Credit Portfolio</t>
  </si>
  <si>
    <t>Working Capital</t>
  </si>
  <si>
    <t>Credit Cards</t>
  </si>
  <si>
    <t>Payroll Loan + FGTS</t>
  </si>
  <si>
    <t>NPL 90+ | Secured Products</t>
  </si>
  <si>
    <t>NPL 90+ | Total Credit Portfolio</t>
  </si>
  <si>
    <t>GAAP | R$ million</t>
  </si>
  <si>
    <t>Net Revenue from Transaction Activities and Other Services</t>
  </si>
  <si>
    <t>Net Revenue from Sales</t>
  </si>
  <si>
    <t>Financial Income</t>
  </si>
  <si>
    <t>Other Financial Income</t>
  </si>
  <si>
    <t>Total Revenue and Income</t>
  </si>
  <si>
    <t>Interchange and Card Scheme Fee (ITC)</t>
  </si>
  <si>
    <t>Total Revenue and Income (ex-ITC)</t>
  </si>
  <si>
    <t>Cost of Sales and Services</t>
  </si>
  <si>
    <t>Selling Expenses</t>
  </si>
  <si>
    <t>Administrative Expenses</t>
  </si>
  <si>
    <t>Financial Costs</t>
  </si>
  <si>
    <t>Other Expenses, Net</t>
  </si>
  <si>
    <t>Total Costs and Expenses</t>
  </si>
  <si>
    <t>Total Costs and Expenses (ex-ITC)</t>
  </si>
  <si>
    <t>Depreciation and Amortization</t>
  </si>
  <si>
    <t>EBT</t>
  </si>
  <si>
    <t>Current Income Tax and Social Contribution</t>
  </si>
  <si>
    <t>Deferred Income Tax and Social Contribution</t>
  </si>
  <si>
    <t>Income Tax and Social Contribution</t>
  </si>
  <si>
    <t>Net Income</t>
  </si>
  <si>
    <t>Transaction Costs</t>
  </si>
  <si>
    <t>Total Losses</t>
  </si>
  <si>
    <t>Gross Profit¹</t>
  </si>
  <si>
    <t>Operating Expenses (Marketing, Personnel and Others)</t>
  </si>
  <si>
    <t>Depreciation and Amortization + POS Write-Offs</t>
  </si>
  <si>
    <t>1 - Starting 1Q24, Gross Profit no longer excludes Other Financial Income. This change is neutral for the reported result as it has no impact on Earnings Before Tax (EBT) and Net Income. Previous quarters are shown under the new criteria, for comparison.</t>
  </si>
  <si>
    <t>INCOME STATEMENT | NON-GAAP</t>
  </si>
  <si>
    <t>NON-GAAP | R$ million</t>
  </si>
  <si>
    <t>Net Income | Non-GAAP</t>
  </si>
  <si>
    <t>NON-GAAP Effects | R$ million</t>
  </si>
  <si>
    <t>Interchange and Card Scheme Fee</t>
  </si>
  <si>
    <t>Transactions Costs</t>
  </si>
  <si>
    <t>GROSS PROFIT | NON-GAAP</t>
  </si>
  <si>
    <t>Gross Profit</t>
  </si>
  <si>
    <t>% of Payments Revenue and Income</t>
  </si>
  <si>
    <t>% of Banking Revenue and Income</t>
  </si>
  <si>
    <t>Gross Profit Margin</t>
  </si>
  <si>
    <t>% of TPV</t>
  </si>
  <si>
    <t>% of Total Revenue and Income</t>
  </si>
  <si>
    <t>TPV</t>
  </si>
  <si>
    <t>TOTAL COSTS AND EXPENSES</t>
  </si>
  <si>
    <t>Card Interchange</t>
  </si>
  <si>
    <t xml:space="preserve">Card Scheme Fee </t>
  </si>
  <si>
    <t>Others</t>
  </si>
  <si>
    <t>Opex and Other Costs</t>
  </si>
  <si>
    <t>Cost of Goods Sold</t>
  </si>
  <si>
    <t>Marketing and Advertising</t>
  </si>
  <si>
    <t>Personnel Expenses</t>
  </si>
  <si>
    <t>Other (Expenses) Income, Net</t>
  </si>
  <si>
    <t>Chargebacks</t>
  </si>
  <si>
    <t>Expected Credit Losses</t>
  </si>
  <si>
    <t>POS Write-offs</t>
  </si>
  <si>
    <t>Card Scheme Fees</t>
  </si>
  <si>
    <t>CAPITAL EXPENDITURES</t>
  </si>
  <si>
    <t>R$ million</t>
  </si>
  <si>
    <t>Capital Expenditures</t>
  </si>
  <si>
    <t>% Total Revenue and Income</t>
  </si>
  <si>
    <t>Purchases of Property and Equipment</t>
  </si>
  <si>
    <t>Purchases and Development of Intangible Assets</t>
  </si>
  <si>
    <t>Depreciation and Amortization | Non-GAAP</t>
  </si>
  <si>
    <t>CORPORATE STRUCTURE</t>
  </si>
  <si>
    <t>Shareholders</t>
  </si>
  <si>
    <t>TOTAL</t>
  </si>
  <si>
    <t>UOL</t>
  </si>
  <si>
    <t>Free Float</t>
  </si>
  <si>
    <t>Treasury Shares</t>
  </si>
  <si>
    <t>Class A</t>
  </si>
  <si>
    <t>Class B</t>
  </si>
  <si>
    <t>CASH FLOW</t>
  </si>
  <si>
    <t>6M20</t>
  </si>
  <si>
    <t>9M20</t>
  </si>
  <si>
    <t>6M21</t>
  </si>
  <si>
    <t>9M21</t>
  </si>
  <si>
    <t>6M22</t>
  </si>
  <si>
    <t>9M22</t>
  </si>
  <si>
    <t>6M23</t>
  </si>
  <si>
    <t>9M23</t>
  </si>
  <si>
    <t>6M24</t>
  </si>
  <si>
    <t>9M24</t>
  </si>
  <si>
    <t>Earnings before Income Tax</t>
  </si>
  <si>
    <t>Expenses (Revenues) not affecting Cash</t>
  </si>
  <si>
    <t>Accrual of Provision for Contingencies</t>
  </si>
  <si>
    <t xml:space="preserve">Reversal of Taxes and Contributions </t>
  </si>
  <si>
    <t>Share based Long Term Incentive Plan (LTIP)</t>
  </si>
  <si>
    <t>Unrealizes on Derivative Instruments</t>
  </si>
  <si>
    <t>Inventory Provisions</t>
  </si>
  <si>
    <t>Loss on Disposal of Property, Equipment, Intangible and Investment Assets</t>
  </si>
  <si>
    <t>Derivative Financial Instruments, net</t>
  </si>
  <si>
    <t>Interest accrued</t>
  </si>
  <si>
    <t>Changes in Operating Assets/Liabilities</t>
  </si>
  <si>
    <t>Accounts Receivable</t>
  </si>
  <si>
    <t>Inventories</t>
  </si>
  <si>
    <t>Taxes Recoverable</t>
  </si>
  <si>
    <t>Other Receivables</t>
  </si>
  <si>
    <t>Deferred Revenue</t>
  </si>
  <si>
    <t>Other Liabilities</t>
  </si>
  <si>
    <t>Payables to Third Parties</t>
  </si>
  <si>
    <t>Trade Payables</t>
  </si>
  <si>
    <t>Receivables from (Payables to) Related Parties</t>
  </si>
  <si>
    <t>Salaries and Social Charges</t>
  </si>
  <si>
    <t>Taxes and Contributions</t>
  </si>
  <si>
    <t>Provision for Contingencies</t>
  </si>
  <si>
    <t>Non-controlling Interests</t>
  </si>
  <si>
    <t xml:space="preserve">Income Tax and Social Contribution paid </t>
  </si>
  <si>
    <t>Interest Income Received (paid)</t>
  </si>
  <si>
    <t>Interest Paid</t>
  </si>
  <si>
    <t>Net Cash Provided by Operating Activities</t>
  </si>
  <si>
    <t>Amount paid on Acquisitions, Net of Cash Acquired</t>
  </si>
  <si>
    <t>Acquisition of Financial Investments</t>
  </si>
  <si>
    <t>Redemption of Financial Investments</t>
  </si>
  <si>
    <t>Net Cash Used in Investing Activities</t>
  </si>
  <si>
    <t>Payment of Borrowings</t>
  </si>
  <si>
    <t>Borrowings</t>
  </si>
  <si>
    <t>Payment of Borrowings Interest</t>
  </si>
  <si>
    <t>Payment of Derivative Financial Instruments, net</t>
  </si>
  <si>
    <t>Distribution of Dividends</t>
  </si>
  <si>
    <t>Proceeds from Offering of Shares</t>
  </si>
  <si>
    <t>Capital Increase</t>
  </si>
  <si>
    <t>Transactional Costs</t>
  </si>
  <si>
    <t>Payment of leases</t>
  </si>
  <si>
    <t>Acquisition of Treasury Shares</t>
  </si>
  <si>
    <t>Transaction with non-controlling Interest</t>
  </si>
  <si>
    <t>Capital Increase by non-controlling Shareholders</t>
  </si>
  <si>
    <t>Net Cash Provided by Financing Activities</t>
  </si>
  <si>
    <t>Increase (Decrease) in Cash and Cash Equivalents</t>
  </si>
  <si>
    <t>Cash and Cash Equivalents at the beginning of the Period</t>
  </si>
  <si>
    <t>Cash and Cash Equivalents at the end of the Period</t>
  </si>
  <si>
    <t>BALANCE SHEET</t>
  </si>
  <si>
    <t>Assets</t>
  </si>
  <si>
    <t>Current Assets</t>
  </si>
  <si>
    <t>Cash and Cash Equivalents</t>
  </si>
  <si>
    <t>Financial Investments</t>
  </si>
  <si>
    <t>Compulsory reserve</t>
  </si>
  <si>
    <t>Derivative Financial Instruments</t>
  </si>
  <si>
    <t>Receivables from Related Parties</t>
  </si>
  <si>
    <t>Non-Current Assets</t>
  </si>
  <si>
    <t>Judicial Deposits</t>
  </si>
  <si>
    <t>Tax Receivable</t>
  </si>
  <si>
    <t>Receivables from related parties</t>
  </si>
  <si>
    <t>Other receivables</t>
  </si>
  <si>
    <t>Investment</t>
  </si>
  <si>
    <t>Property and Equipment</t>
  </si>
  <si>
    <t>Intangible Assets</t>
  </si>
  <si>
    <t>Liabilities and Equity</t>
  </si>
  <si>
    <t>Current Liabilities</t>
  </si>
  <si>
    <t>Obligations to FIDC quota holders</t>
  </si>
  <si>
    <t>Payables to Related Parties</t>
  </si>
  <si>
    <t>Deposits</t>
  </si>
  <si>
    <t>Dividends Payable and Interest on own Capital</t>
  </si>
  <si>
    <t>Non-Current Liabilities</t>
  </si>
  <si>
    <t>Payables to related parties</t>
  </si>
  <si>
    <t>Equity</t>
  </si>
  <si>
    <t>Share Capital</t>
  </si>
  <si>
    <t>Net Parent Investment</t>
  </si>
  <si>
    <t>Capital Reserve</t>
  </si>
  <si>
    <t>Other Comprehensive Income</t>
  </si>
  <si>
    <t>Legal Reserve</t>
  </si>
  <si>
    <t>Equity Valuation Adjustments</t>
  </si>
  <si>
    <t>Profit Retention Reserve</t>
  </si>
  <si>
    <t>Profit of the Period</t>
  </si>
  <si>
    <t>Non-controlling interests</t>
  </si>
  <si>
    <t>Cash Position</t>
  </si>
  <si>
    <t>Liabilities</t>
  </si>
  <si>
    <t>RATINGS</t>
  </si>
  <si>
    <t>Banco Seguro S.A.</t>
  </si>
  <si>
    <t>S&amp;P Global</t>
  </si>
  <si>
    <t>brAAA</t>
  </si>
  <si>
    <t>Moody's</t>
  </si>
  <si>
    <t>AAA.br</t>
  </si>
  <si>
    <t>ESG I ENVIRONMENTAL</t>
  </si>
  <si>
    <t>https://investors.pagbank.com/esg/</t>
  </si>
  <si>
    <t>Greenhouse Gas Emissions (tCO2eq)</t>
  </si>
  <si>
    <t>Scope 1</t>
  </si>
  <si>
    <t xml:space="preserve">Stationary combustion </t>
  </si>
  <si>
    <t>Mobile combustion¹</t>
  </si>
  <si>
    <t>_</t>
  </si>
  <si>
    <t>Fugitive emissions</t>
  </si>
  <si>
    <t>Total</t>
  </si>
  <si>
    <t>Scope 2</t>
  </si>
  <si>
    <t>Location-based approach</t>
  </si>
  <si>
    <t>Purchase-based approach</t>
  </si>
  <si>
    <t>Scope 3</t>
  </si>
  <si>
    <t>Transportation and distribution (upstream)</t>
  </si>
  <si>
    <t>Waste generated in operations</t>
  </si>
  <si>
    <t>Business travel</t>
  </si>
  <si>
    <t>Worker commuting</t>
  </si>
  <si>
    <t>5.224.456</t>
  </si>
  <si>
    <t>Emission Intensity (per employee)</t>
  </si>
  <si>
    <t>Emission Intensity (per Revenue)</t>
  </si>
  <si>
    <t>Biogenic emissions (biogenic tCO2)</t>
  </si>
  <si>
    <t>Carbon Offsetting</t>
  </si>
  <si>
    <t>Third-Party Verification</t>
  </si>
  <si>
    <t>Yes</t>
  </si>
  <si>
    <t>Total energy consumed (MWh)</t>
  </si>
  <si>
    <t>Consumption of certified renewable energy</t>
  </si>
  <si>
    <t>Overall energy consumption</t>
  </si>
  <si>
    <t>Renewable energy consumption</t>
  </si>
  <si>
    <t>Waste generated (kg)²</t>
  </si>
  <si>
    <t>Waste sent to recycling³</t>
  </si>
  <si>
    <t>General waste</t>
  </si>
  <si>
    <t>Solid waste from construction</t>
  </si>
  <si>
    <t>% of waste sent to recycling</t>
  </si>
  <si>
    <t>2. Data referring to the headquarters</t>
  </si>
  <si>
    <t>3. Includes cardboard, white paper, mixed paper, plastic and metal scrap</t>
  </si>
  <si>
    <t>Water consumption (m³)</t>
  </si>
  <si>
    <t>Headquarters water consumption</t>
  </si>
  <si>
    <t>ESG I SOCIAL</t>
  </si>
  <si>
    <t>Social Investment | R$ million</t>
  </si>
  <si>
    <t>Tax Incentive Laws</t>
  </si>
  <si>
    <t>Reclame Aqui Score¹</t>
  </si>
  <si>
    <t>Customer Satisfaction Rating</t>
  </si>
  <si>
    <t>1. Reclame Aqui is a Brazilian platform for consumers to report issues with companies and check their reputations.</t>
  </si>
  <si>
    <t>Financial Inclusion</t>
  </si>
  <si>
    <t>Economic Benefit from Credit (BEC)²</t>
  </si>
  <si>
    <t>(46.9)</t>
  </si>
  <si>
    <t>Economic Benefit from Deposits (BED)³</t>
  </si>
  <si>
    <r>
      <t>Economic Benefit of the Fiscal Period (BEE)</t>
    </r>
    <r>
      <rPr>
        <sz val="8"/>
        <color theme="1"/>
        <rFont val="Aptos Narrow"/>
        <family val="2"/>
      </rPr>
      <t>⁴</t>
    </r>
  </si>
  <si>
    <t>n/a</t>
  </si>
  <si>
    <t>Total Economic Benefit (BET)</t>
  </si>
  <si>
    <t>Number of clients - Central Bank CCS | In millions</t>
  </si>
  <si>
    <t>BEC per client</t>
  </si>
  <si>
    <t>(21.1)</t>
  </si>
  <si>
    <t>BED per client</t>
  </si>
  <si>
    <t>BEE per client</t>
  </si>
  <si>
    <t>BET per client</t>
  </si>
  <si>
    <t>2. Measures savings on credit operations through lower average rates compared to institutions in the Brazilian Financial System.</t>
  </si>
  <si>
    <t>3. Shows the additional gain with deposit through higher remuneration.</t>
  </si>
  <si>
    <t>4. Interest on the stockholders’ equity, dividends, and allocation via the Fund for Technical, Educational and Social Assistance (FATES)</t>
  </si>
  <si>
    <t>Employees by gender</t>
  </si>
  <si>
    <t>Men</t>
  </si>
  <si>
    <t>%</t>
  </si>
  <si>
    <t>Women</t>
  </si>
  <si>
    <t>Employees by race</t>
  </si>
  <si>
    <t>Asian</t>
  </si>
  <si>
    <t>Caucasian</t>
  </si>
  <si>
    <t>Indigenous</t>
  </si>
  <si>
    <t>Not informed</t>
  </si>
  <si>
    <t>Black</t>
  </si>
  <si>
    <t>Brown</t>
  </si>
  <si>
    <t>Employees by region</t>
  </si>
  <si>
    <t>Midwest</t>
  </si>
  <si>
    <t>Northeast</t>
  </si>
  <si>
    <t>North</t>
  </si>
  <si>
    <t>Southeast</t>
  </si>
  <si>
    <t>South</t>
  </si>
  <si>
    <t>Abroad</t>
  </si>
  <si>
    <t>Employees by functional category</t>
  </si>
  <si>
    <t>Director</t>
  </si>
  <si>
    <t>Manager</t>
  </si>
  <si>
    <t>Coordinator/Specialist</t>
  </si>
  <si>
    <t>Supervisor</t>
  </si>
  <si>
    <t>Team</t>
  </si>
  <si>
    <t>Apprentice</t>
  </si>
  <si>
    <t>Employees by functional category and gender (Men)</t>
  </si>
  <si>
    <t>Employees by functional category and gender (Women)</t>
  </si>
  <si>
    <t>Turnover</t>
  </si>
  <si>
    <t>New hires (by gender)</t>
  </si>
  <si>
    <t>New hires (by job category)</t>
  </si>
  <si>
    <t>New hires (by region)</t>
  </si>
  <si>
    <t>New hires (by age group)</t>
  </si>
  <si>
    <t>Under 30 years old</t>
  </si>
  <si>
    <t>30-50 years old</t>
  </si>
  <si>
    <t>Over 50 year old</t>
  </si>
  <si>
    <t>Dismissals (by gender)</t>
  </si>
  <si>
    <t>Dismissals (by job category)</t>
  </si>
  <si>
    <t>Dismissals (by region)</t>
  </si>
  <si>
    <t>Dismissals (by age group)</t>
  </si>
  <si>
    <t>Average hours of training (by gender)</t>
  </si>
  <si>
    <t xml:space="preserve">Parental leave </t>
  </si>
  <si>
    <t>Return to work rate</t>
  </si>
  <si>
    <t>Retention rate</t>
  </si>
  <si>
    <t>Parental leave by gender (Men)</t>
  </si>
  <si>
    <t>Parental leave by gender (Women)</t>
  </si>
  <si>
    <t>ESG I GOVERNANCE</t>
  </si>
  <si>
    <t>Ratings</t>
  </si>
  <si>
    <t>CDP</t>
  </si>
  <si>
    <t>F</t>
  </si>
  <si>
    <t>C</t>
  </si>
  <si>
    <t>B</t>
  </si>
  <si>
    <t>GHG Protocol</t>
  </si>
  <si>
    <t>Gold</t>
  </si>
  <si>
    <t>Sustainalytics (Morningstar)</t>
  </si>
  <si>
    <t>S&amp;P CSA (Corporate Sustainability Assessment)</t>
  </si>
  <si>
    <t>Bloomberg ESG Score</t>
  </si>
  <si>
    <t>ISS Corporate Rating</t>
  </si>
  <si>
    <t>C-</t>
  </si>
  <si>
    <t>ISS Cyber Risk Score</t>
  </si>
  <si>
    <t>Sustainabililty Report</t>
  </si>
  <si>
    <t>Publicly available¹</t>
  </si>
  <si>
    <t>Global Reporting Initiative (GRI)</t>
  </si>
  <si>
    <t>Sustainability Accounting Standards Board (SASB)</t>
  </si>
  <si>
    <t>No</t>
  </si>
  <si>
    <t>Task Force on Climate-related Financial Disclosures (TCFD)</t>
  </si>
  <si>
    <t xml:space="preserve">1. The Sustainability Report is avaiable at https://investors.pagbank.com/esg/  </t>
  </si>
  <si>
    <t xml:space="preserve">Material Topics </t>
  </si>
  <si>
    <t>Related SDGs Indicator</t>
  </si>
  <si>
    <t>Data security and privacy</t>
  </si>
  <si>
    <t>SDG 4; SDG 17</t>
  </si>
  <si>
    <t>Talent attraction and retention</t>
  </si>
  <si>
    <t>SDG 4; SDG 5; SDG 8; SDG 10; SDG 16</t>
  </si>
  <si>
    <t>Business ethics</t>
  </si>
  <si>
    <t>SDG 16</t>
  </si>
  <si>
    <t>Governance and transparency</t>
  </si>
  <si>
    <t>Financial education and inclusion</t>
  </si>
  <si>
    <t>SDG 4; SDG 5; SDG 8; SDG 9; SDG 10</t>
  </si>
  <si>
    <t>Financial innovation</t>
  </si>
  <si>
    <t>SDG 8; SDG 9</t>
  </si>
  <si>
    <t>Customer relationship</t>
  </si>
  <si>
    <t>Relevant Topics I Non-Material</t>
  </si>
  <si>
    <t>Diversity and inclusion</t>
  </si>
  <si>
    <t>Partner and supplier management</t>
  </si>
  <si>
    <t>Efficiency in energy and operations</t>
  </si>
  <si>
    <t>Impact investment</t>
  </si>
  <si>
    <t>Climate strategy</t>
  </si>
  <si>
    <t>Corporate Governance Metrics</t>
  </si>
  <si>
    <t>Members in the Board of Directors</t>
  </si>
  <si>
    <t>Percentage of Independet Members in the Board of Directors</t>
  </si>
  <si>
    <t>Percentage of Women in the Board of Directors</t>
  </si>
  <si>
    <t>Women on Board (WOB) recongnition²</t>
  </si>
  <si>
    <t>Percentage of Executives in the Board of Directors</t>
  </si>
  <si>
    <t>CEO Duality</t>
  </si>
  <si>
    <t>Percentage of Independent Members in the Audit Committee</t>
  </si>
  <si>
    <t>Sustainability Commiittee</t>
  </si>
  <si>
    <t>2. Women on Board (WOB), a non-governmental organization linked to the United Nations, for having more than two women on our board of directors.</t>
  </si>
  <si>
    <t>Executive Officers</t>
  </si>
  <si>
    <t>Title</t>
  </si>
  <si>
    <t>Ricardo Dutra</t>
  </si>
  <si>
    <t>Principal Executive Officer</t>
  </si>
  <si>
    <t>Alexandre Magnani</t>
  </si>
  <si>
    <t>Chief Executive Officer</t>
  </si>
  <si>
    <t>Artur Schunck</t>
  </si>
  <si>
    <t xml:space="preserve">Chief Financial and Investor Relations Officer </t>
  </si>
  <si>
    <t xml:space="preserve">Board of Directors </t>
  </si>
  <si>
    <t>Independent³</t>
  </si>
  <si>
    <t>Date of Birth</t>
  </si>
  <si>
    <t>Luis Frias</t>
  </si>
  <si>
    <t>Chairman</t>
  </si>
  <si>
    <t>April 6, 1963</t>
  </si>
  <si>
    <t>Eduardo Alcaro</t>
  </si>
  <si>
    <t>Vice Chairman</t>
  </si>
  <si>
    <t>April 26, 1972</t>
  </si>
  <si>
    <t>Maria Judith deBrito</t>
  </si>
  <si>
    <t xml:space="preserve">Director </t>
  </si>
  <si>
    <t>April 30, 1958</t>
  </si>
  <si>
    <t>Maria Carolina Ferreira Lacerda</t>
  </si>
  <si>
    <t>August 21, 1972</t>
  </si>
  <si>
    <t>Cleveland Prates Teixeira</t>
  </si>
  <si>
    <t>August 15, 1966</t>
  </si>
  <si>
    <t>Marcia Nogueira de Mello</t>
  </si>
  <si>
    <t>March 14, 1965</t>
  </si>
  <si>
    <t>Audit Committee</t>
  </si>
  <si>
    <t>Chairwoman</t>
  </si>
  <si>
    <t>Member</t>
  </si>
  <si>
    <t>3. Independent according to SEC and NYSE rules</t>
  </si>
  <si>
    <t>Ricardo Dutra da Silva</t>
  </si>
  <si>
    <t>Arthur Gaulke Schunck</t>
  </si>
  <si>
    <t>Carol Elizabeth Conway</t>
  </si>
  <si>
    <t>Gustavo Bahia Gama Sechin</t>
  </si>
  <si>
    <t>Fabiana Verdicchio</t>
  </si>
  <si>
    <t>Sadami Ikegari</t>
  </si>
  <si>
    <t>Victoria Rozsavolgyi Bortolin</t>
  </si>
  <si>
    <t>Membership associations</t>
  </si>
  <si>
    <t>United Nations Global Compact</t>
  </si>
  <si>
    <t>Women’s Empowerment Principles (WEPs)</t>
  </si>
  <si>
    <t>ABBC – Brazilian Association of Banks</t>
  </si>
  <si>
    <t>ABECS – Brazilian Association of Credit Card and Service Companies</t>
  </si>
  <si>
    <t>ABRANET – Brazilian Internet Association</t>
  </si>
  <si>
    <t>ANBIMA – Brazilian Association of Financial and Capital Market Institutions</t>
  </si>
  <si>
    <t>APIMEC – Brazilian Association of Capital Market Analysts and Investment Professionals</t>
  </si>
  <si>
    <t>Camara-e.Net - Brazilian Chamber of Digital Economy</t>
  </si>
  <si>
    <t>Political Influence (2023)</t>
  </si>
  <si>
    <t>Value I R$</t>
  </si>
  <si>
    <t xml:space="preserve">Lobbying, advocacy or similar </t>
  </si>
  <si>
    <t>Local, regional or national political campaigns/candidates</t>
  </si>
  <si>
    <t xml:space="preserve">Trade associations and/or tax-exempt groups (e.g. think tanks) </t>
  </si>
  <si>
    <t xml:space="preserve">Total contributions and other expenses </t>
  </si>
  <si>
    <t>Mandatory Training I Percentage</t>
  </si>
  <si>
    <t>Ethics and Compliance</t>
  </si>
  <si>
    <t>BCP - Business Continuity Plan</t>
  </si>
  <si>
    <t>Brazilian General Data Protection Act (GDPA)</t>
  </si>
  <si>
    <t>Operational Risk, Internal Controls, and Compliance</t>
  </si>
  <si>
    <t>Information Security</t>
  </si>
  <si>
    <t>Phishing</t>
  </si>
  <si>
    <t>Anticorruption Law</t>
  </si>
  <si>
    <t>PCI-DSS Data Security Standards</t>
  </si>
  <si>
    <t>Banking secrecy</t>
  </si>
  <si>
    <t>Sarbanes Oxley Act (SOX)</t>
  </si>
  <si>
    <t>Anti-Money Laundering and Terrorist Financing Plan in practice</t>
  </si>
  <si>
    <t>Whistleblower Channel</t>
  </si>
  <si>
    <t>Total number of active employees</t>
  </si>
  <si>
    <t>Total number of complaints</t>
  </si>
  <si>
    <t>Percentage of active employess</t>
  </si>
  <si>
    <t>Total number of valid complaints</t>
  </si>
  <si>
    <t>Percentage of valid complaints</t>
  </si>
  <si>
    <t>Total number of unfounded complaints</t>
  </si>
  <si>
    <t>Percentage of unfounded complaints</t>
  </si>
  <si>
    <t>GAAP | Earnings per Share (EPS)</t>
  </si>
  <si>
    <t>Weighted Average Number of Outstanding Common Shares | million</t>
  </si>
  <si>
    <t>Basic EPS</t>
  </si>
  <si>
    <t>Weighted Average Number of Common Shares for Diluted EPS | million</t>
  </si>
  <si>
    <t>Diluted EPS</t>
  </si>
  <si>
    <t>Non-GAAP | Earnings per Share (EPS)</t>
  </si>
  <si>
    <t>1Q25</t>
  </si>
  <si>
    <t>Compulsory reserves</t>
  </si>
  <si>
    <t>Other (income) cost, net</t>
  </si>
  <si>
    <t>Recoverable taxes</t>
  </si>
  <si>
    <t>n.a.</t>
  </si>
  <si>
    <t>MSMB (BRL &gt;3M/month)</t>
  </si>
  <si>
    <t>Large Retail and Online (BRL &gt;3M/month + Online)</t>
  </si>
  <si>
    <t>1 - New Segmentation applied starting Q1 2025. For comparison, previous quarters were adjusted accordingly</t>
  </si>
  <si>
    <t>Banking + Payments (B)</t>
  </si>
  <si>
    <t>Active Banking Clients (A + B)</t>
  </si>
  <si>
    <t>Active Merchants (B + C)</t>
  </si>
  <si>
    <t>Banking Only (A)</t>
  </si>
  <si>
    <t xml:space="preserve">Payments Only (C) </t>
  </si>
  <si>
    <t>Credit Portfolio</t>
  </si>
  <si>
    <t>INCOME STATEMENT</t>
  </si>
  <si>
    <t>GAAP - Costs and Expenses by Nature| R$ million</t>
  </si>
  <si>
    <t>INCOME STATEMENT - Costs and Expenses by Nature | GAAP</t>
  </si>
  <si>
    <t>INCOME STATEMENT - Costs and Expenses by Nature | NON-GAAP</t>
  </si>
  <si>
    <t>NON-GAAP - Costs anda Expenses by Nature| R$ million</t>
  </si>
  <si>
    <t>Gross Profit - Non-GAAP | R$ Million</t>
  </si>
  <si>
    <t>Prepayment to Merchants¹</t>
  </si>
  <si>
    <t>Expanded Credit Portfolio</t>
  </si>
  <si>
    <t>1 - Net of Accounts Receivable securitization</t>
  </si>
  <si>
    <t>Other Fundings</t>
  </si>
  <si>
    <t>Total Funding</t>
  </si>
  <si>
    <t>APY | Checking Accounts</t>
  </si>
  <si>
    <t>APY | Total Deposits</t>
  </si>
  <si>
    <t>PIX | % of Total TPV</t>
  </si>
  <si>
    <t>TPV per Active Merchant (R$ thousand)</t>
  </si>
  <si>
    <t xml:space="preserve"> Active Payments Clients (Merchants) (# million)</t>
  </si>
  <si>
    <t>Number of Clients | # million</t>
  </si>
  <si>
    <t>TPV | R$ billion  - New Segmentation¹ starting Q1 2025</t>
  </si>
  <si>
    <t>TPV per Active Merchant | R$ billion</t>
  </si>
  <si>
    <t>Cash-In per Active Client| R$ billion</t>
  </si>
  <si>
    <t>1 - include other sources: Borrowings, Certificate of Deposits with Related Parties, Senior FIDC quotas and others. Does not include Accounts Receivable securitization</t>
  </si>
  <si>
    <t>Treasury Shares¹</t>
  </si>
  <si>
    <t>2Q25</t>
  </si>
  <si>
    <t>Non-GAAP | R$ million</t>
  </si>
  <si>
    <t>Expected Credit Losses (ECL)</t>
  </si>
  <si>
    <t>Retained Earnings</t>
  </si>
  <si>
    <t>ROAE (%)</t>
  </si>
  <si>
    <t>ROAE (LTM)(%)</t>
  </si>
  <si>
    <t>BIS Ratio (%)</t>
  </si>
  <si>
    <t>CAPITAL 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</si>
</sst>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0.0&quot;  &quot;;\(#,##0.0\)&quot; &quot;;#,##0.0&quot;  &quot;;@&quot;  &quot;"/>
    <numFmt numFmtId="165" formatCode="0.0%"/>
    <numFmt numFmtId="166" formatCode="#,##0.0"/>
    <numFmt numFmtId="167" formatCode="#,##0.0000000000000_);\(#,##0.0000000000000\)"/>
    <numFmt numFmtId="168" formatCode="#,##0&quot;  &quot;;\(#,##0\)&quot; &quot;;#,##0&quot;  &quot;;@&quot;  &quot;"/>
    <numFmt numFmtId="169" formatCode="#,##0.00&quot;  &quot;;\(#,##0.00\)&quot; &quot;;#,##0.00&quot;  &quot;;@&quot;  &quot;"/>
    <numFmt numFmtId="170" formatCode="#,##0.000&quot;  &quot;;\(#,##0.000\)&quot; &quot;;#,##0.000&quot;  &quot;;@&quot;  &quot;"/>
    <numFmt numFmtId="171" formatCode="#,##0.00000&quot;  &quot;;\(#,##0.00000\)&quot; &quot;;#,##0.00000&quot;  &quot;;@&quot;  &quot;"/>
    <numFmt numFmtId="172" formatCode="#,##0.000"/>
    <numFmt numFmtId="173" formatCode="0.000"/>
    <numFmt numFmtId="174" formatCode="0.0"/>
    <numFmt numFmtId="175" formatCode="_-* #,##0.0_-;\-* #,##0.0_-;_-* &quot;-&quot;??_-;_-@_-"/>
  </numFmts>
  <fonts count="27" x14ac:knownFonts="1">
    <font>
      <sz val="11"/>
      <color theme="1"/>
      <name val="Calibri"/>
      <family val="2"/>
      <scheme val="minor"/>
    </font>
    <font>
      <sz val="11"/>
      <color theme="1"/>
      <name val="Calibri"/>
      <family val="2"/>
      <scheme val="minor"/>
    </font>
    <font>
      <sz val="8"/>
      <color theme="1"/>
      <name val="Arial"/>
      <family val="2"/>
    </font>
    <font>
      <sz val="10"/>
      <name val="Arial"/>
      <family val="2"/>
    </font>
    <font>
      <b/>
      <sz val="8"/>
      <name val="Arial"/>
      <family val="2"/>
    </font>
    <font>
      <b/>
      <sz val="8"/>
      <color theme="1"/>
      <name val="Arial"/>
      <family val="2"/>
    </font>
    <font>
      <sz val="8"/>
      <name val="Arial"/>
      <family val="2"/>
    </font>
    <font>
      <u/>
      <sz val="11"/>
      <color theme="10"/>
      <name val="Calibri"/>
      <family val="2"/>
      <scheme val="minor"/>
    </font>
    <font>
      <sz val="8"/>
      <color theme="0"/>
      <name val="Arial"/>
      <family val="2"/>
    </font>
    <font>
      <sz val="8"/>
      <name val="Calibri"/>
      <family val="2"/>
      <scheme val="minor"/>
    </font>
    <font>
      <b/>
      <sz val="11"/>
      <color theme="1"/>
      <name val="Calibri"/>
      <family val="2"/>
      <scheme val="minor"/>
    </font>
    <font>
      <sz val="8"/>
      <name val="Arial Nova"/>
      <family val="2"/>
    </font>
    <font>
      <b/>
      <sz val="8"/>
      <color theme="1"/>
      <name val="Arial Nova"/>
      <family val="2"/>
    </font>
    <font>
      <b/>
      <sz val="8"/>
      <name val="Arial Nova"/>
      <family val="2"/>
    </font>
    <font>
      <b/>
      <sz val="10"/>
      <color theme="1"/>
      <name val="Arial Nova"/>
      <family val="2"/>
    </font>
    <font>
      <sz val="8"/>
      <color theme="1"/>
      <name val="Arial Nova"/>
      <family val="2"/>
    </font>
    <font>
      <u/>
      <sz val="8"/>
      <color theme="10"/>
      <name val="Arial Nova"/>
      <family val="2"/>
    </font>
    <font>
      <sz val="11"/>
      <color theme="1"/>
      <name val="Arial Nova"/>
      <family val="2"/>
    </font>
    <font>
      <i/>
      <sz val="8"/>
      <color theme="1"/>
      <name val="Arial Nova"/>
      <family val="2"/>
    </font>
    <font>
      <sz val="6"/>
      <color theme="1"/>
      <name val="Arial Nova"/>
      <family val="2"/>
    </font>
    <font>
      <sz val="8"/>
      <color rgb="FFFF0000"/>
      <name val="Arial Nova"/>
      <family val="2"/>
    </font>
    <font>
      <sz val="7"/>
      <name val="Arial Nova"/>
      <family val="2"/>
    </font>
    <font>
      <b/>
      <i/>
      <sz val="8"/>
      <name val="Arial Nova"/>
      <family val="2"/>
    </font>
    <font>
      <b/>
      <sz val="11"/>
      <color theme="1"/>
      <name val="Arial Nova"/>
      <family val="2"/>
    </font>
    <font>
      <b/>
      <i/>
      <sz val="8"/>
      <color theme="1"/>
      <name val="Arial Nova"/>
      <family val="2"/>
    </font>
    <font>
      <sz val="11"/>
      <name val="Calibri"/>
      <family val="2"/>
      <scheme val="minor"/>
    </font>
    <font>
      <sz val="8"/>
      <color theme="1"/>
      <name val="Aptos Narrow"/>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7DCDA"/>
        <bgColor indexed="64"/>
      </patternFill>
    </fill>
    <fill>
      <patternFill patternType="solid">
        <fgColor theme="0" tint="-0.249977111117893"/>
        <bgColor indexed="64"/>
      </patternFill>
    </fill>
    <fill>
      <patternFill patternType="solid">
        <fgColor theme="0"/>
        <bgColor indexed="64"/>
      </patternFill>
    </fill>
    <fill>
      <patternFill patternType="solid">
        <fgColor rgb="FFFFF2CC"/>
        <bgColor indexed="64"/>
      </patternFill>
    </fill>
    <fill>
      <patternFill patternType="solid">
        <fgColor rgb="FFFFE72D"/>
        <bgColor indexed="64"/>
      </patternFill>
    </fill>
  </fills>
  <borders count="6">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s>
  <cellStyleXfs count="11">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1" fillId="0" borderId="0" applyFont="0" applyFill="0" applyBorder="0" applyAlignment="0" applyProtection="0"/>
  </cellStyleXfs>
  <cellXfs count="224">
    <xf numFmtId="0" fontId="0" fillId="0" borderId="0" xfId="0"/>
    <xf numFmtId="0" fontId="2" fillId="0" borderId="0" xfId="0" applyFont="1" applyAlignment="1">
      <alignment vertical="center"/>
    </xf>
    <xf numFmtId="164" fontId="4" fillId="0" borderId="0" xfId="2" applyNumberFormat="1" applyFont="1" applyAlignment="1">
      <alignment horizontal="right" vertical="center"/>
    </xf>
    <xf numFmtId="0" fontId="8" fillId="0" borderId="0" xfId="0" applyFont="1" applyAlignment="1">
      <alignment horizontal="center" vertical="center"/>
    </xf>
    <xf numFmtId="0" fontId="5" fillId="4" borderId="1" xfId="0" applyFont="1" applyFill="1" applyBorder="1" applyAlignment="1">
      <alignment horizontal="right" vertical="center"/>
    </xf>
    <xf numFmtId="0" fontId="6" fillId="0" borderId="0" xfId="0" applyFont="1" applyAlignment="1">
      <alignment horizontal="left" vertical="center" indent="2"/>
    </xf>
    <xf numFmtId="164" fontId="5" fillId="2" borderId="0" xfId="2" applyNumberFormat="1" applyFont="1" applyFill="1" applyAlignment="1">
      <alignment horizontal="right" vertical="center"/>
    </xf>
    <xf numFmtId="0" fontId="0" fillId="0" borderId="0" xfId="0" quotePrefix="1"/>
    <xf numFmtId="0" fontId="8" fillId="0" borderId="0" xfId="2" applyFont="1" applyAlignment="1">
      <alignment horizontal="center" vertical="center"/>
    </xf>
    <xf numFmtId="0" fontId="2" fillId="0" borderId="0" xfId="0" applyFont="1"/>
    <xf numFmtId="0" fontId="2" fillId="0" borderId="0" xfId="0" quotePrefix="1" applyFont="1"/>
    <xf numFmtId="0" fontId="10" fillId="0" borderId="0" xfId="0" applyFont="1"/>
    <xf numFmtId="0" fontId="11" fillId="0" borderId="0" xfId="0" applyFont="1" applyAlignment="1">
      <alignment horizontal="left" vertical="center" indent="1"/>
    </xf>
    <xf numFmtId="0" fontId="14" fillId="0" borderId="0" xfId="0" applyFont="1" applyAlignment="1">
      <alignment vertical="center"/>
    </xf>
    <xf numFmtId="0" fontId="15" fillId="0" borderId="0" xfId="0" applyFont="1"/>
    <xf numFmtId="0" fontId="16" fillId="0" borderId="0" xfId="3" applyFont="1" applyAlignment="1">
      <alignment vertical="center"/>
    </xf>
    <xf numFmtId="167" fontId="15" fillId="0" borderId="0" xfId="0" applyNumberFormat="1" applyFont="1"/>
    <xf numFmtId="0" fontId="15" fillId="0" borderId="0" xfId="0" applyFont="1" applyAlignment="1">
      <alignment horizontal="left" vertical="center"/>
    </xf>
    <xf numFmtId="3" fontId="15" fillId="0" borderId="0" xfId="0" applyNumberFormat="1" applyFont="1" applyAlignment="1">
      <alignment horizontal="right" vertical="center"/>
    </xf>
    <xf numFmtId="166" fontId="15" fillId="0" borderId="0" xfId="0" applyNumberFormat="1" applyFont="1" applyAlignment="1">
      <alignment vertical="center"/>
    </xf>
    <xf numFmtId="3" fontId="15" fillId="0" borderId="0" xfId="0" applyNumberFormat="1" applyFont="1" applyAlignment="1">
      <alignment vertical="center"/>
    </xf>
    <xf numFmtId="0" fontId="15" fillId="0" borderId="3" xfId="0" applyFont="1" applyBorder="1" applyAlignment="1">
      <alignment horizontal="left" vertical="center"/>
    </xf>
    <xf numFmtId="3" fontId="15" fillId="0" borderId="3" xfId="0" applyNumberFormat="1"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vertical="center"/>
    </xf>
    <xf numFmtId="0" fontId="17" fillId="0" borderId="0" xfId="0" applyFont="1"/>
    <xf numFmtId="167" fontId="17" fillId="0" borderId="0" xfId="0" applyNumberFormat="1" applyFont="1"/>
    <xf numFmtId="0" fontId="12" fillId="5" borderId="0" xfId="0" applyFont="1" applyFill="1" applyAlignment="1">
      <alignment vertical="center"/>
    </xf>
    <xf numFmtId="3" fontId="12" fillId="5" borderId="0" xfId="0" applyNumberFormat="1" applyFont="1" applyFill="1" applyAlignment="1">
      <alignment vertical="center"/>
    </xf>
    <xf numFmtId="0" fontId="12" fillId="2" borderId="0" xfId="0" applyFont="1" applyFill="1" applyAlignment="1">
      <alignment horizontal="left" vertical="center" indent="1"/>
    </xf>
    <xf numFmtId="3" fontId="12" fillId="2" borderId="0" xfId="0" applyNumberFormat="1" applyFont="1" applyFill="1" applyAlignment="1">
      <alignment horizontal="left" vertical="center" indent="1"/>
    </xf>
    <xf numFmtId="3" fontId="12" fillId="2" borderId="0" xfId="0" applyNumberFormat="1" applyFont="1" applyFill="1" applyAlignment="1">
      <alignment horizontal="right" vertical="center"/>
    </xf>
    <xf numFmtId="0" fontId="15" fillId="0" borderId="0" xfId="0" applyFont="1" applyAlignment="1">
      <alignment horizontal="left" vertical="center" indent="2"/>
    </xf>
    <xf numFmtId="0" fontId="15" fillId="0" borderId="3" xfId="0" applyFont="1" applyBorder="1" applyAlignment="1">
      <alignment horizontal="left" vertical="center" indent="2"/>
    </xf>
    <xf numFmtId="3" fontId="15" fillId="0" borderId="3" xfId="0" applyNumberFormat="1" applyFont="1" applyBorder="1" applyAlignment="1">
      <alignment vertical="center"/>
    </xf>
    <xf numFmtId="0" fontId="18" fillId="7" borderId="0" xfId="0" applyFont="1" applyFill="1" applyAlignment="1">
      <alignment horizontal="left" vertical="center"/>
    </xf>
    <xf numFmtId="0" fontId="11" fillId="0" borderId="3" xfId="0" applyFont="1" applyBorder="1" applyAlignment="1">
      <alignment horizontal="left" vertical="center" indent="1"/>
    </xf>
    <xf numFmtId="9" fontId="15" fillId="0" borderId="0" xfId="1" applyFont="1" applyAlignment="1">
      <alignment vertical="center"/>
    </xf>
    <xf numFmtId="164" fontId="11" fillId="0" borderId="0" xfId="2" applyNumberFormat="1" applyFont="1" applyAlignment="1">
      <alignment horizontal="right" vertical="center"/>
    </xf>
    <xf numFmtId="0" fontId="12" fillId="2" borderId="0" xfId="0" applyFont="1" applyFill="1" applyAlignment="1">
      <alignment vertical="center"/>
    </xf>
    <xf numFmtId="164" fontId="13" fillId="2" borderId="0" xfId="2" applyNumberFormat="1" applyFont="1" applyFill="1" applyAlignment="1">
      <alignment horizontal="right" vertical="center"/>
    </xf>
    <xf numFmtId="0" fontId="12" fillId="7" borderId="0" xfId="0" applyFont="1" applyFill="1" applyAlignment="1">
      <alignment vertical="center"/>
    </xf>
    <xf numFmtId="164" fontId="13" fillId="7" borderId="0" xfId="2" applyNumberFormat="1" applyFont="1" applyFill="1" applyAlignment="1">
      <alignment horizontal="right" vertical="center"/>
    </xf>
    <xf numFmtId="0" fontId="12" fillId="2" borderId="0" xfId="0" applyFont="1" applyFill="1" applyAlignment="1">
      <alignment horizontal="left" vertical="center"/>
    </xf>
    <xf numFmtId="0" fontId="12" fillId="2" borderId="3" xfId="0" applyFont="1" applyFill="1" applyBorder="1" applyAlignment="1">
      <alignment vertical="center"/>
    </xf>
    <xf numFmtId="164" fontId="13" fillId="2" borderId="3" xfId="2" applyNumberFormat="1" applyFont="1" applyFill="1" applyBorder="1" applyAlignment="1">
      <alignment horizontal="right" vertical="center"/>
    </xf>
    <xf numFmtId="164" fontId="15" fillId="0" borderId="0" xfId="0" applyNumberFormat="1" applyFont="1" applyAlignment="1">
      <alignment horizontal="right" vertical="center"/>
    </xf>
    <xf numFmtId="164" fontId="15" fillId="0" borderId="0" xfId="0" applyNumberFormat="1" applyFont="1" applyAlignment="1">
      <alignment vertical="center"/>
    </xf>
    <xf numFmtId="165" fontId="15" fillId="0" borderId="0" xfId="1" applyNumberFormat="1" applyFont="1" applyAlignment="1">
      <alignment vertical="center"/>
    </xf>
    <xf numFmtId="0" fontId="12" fillId="2" borderId="3" xfId="0" applyFont="1" applyFill="1" applyBorder="1" applyAlignment="1">
      <alignment horizontal="left" vertical="center"/>
    </xf>
    <xf numFmtId="165" fontId="11" fillId="0" borderId="0" xfId="1" applyNumberFormat="1" applyFont="1" applyFill="1" applyBorder="1" applyAlignment="1">
      <alignment horizontal="right" vertical="center"/>
    </xf>
    <xf numFmtId="10" fontId="11" fillId="0" borderId="0" xfId="1" applyNumberFormat="1" applyFont="1" applyFill="1" applyBorder="1" applyAlignment="1">
      <alignment horizontal="right" vertical="center"/>
    </xf>
    <xf numFmtId="164" fontId="11" fillId="6" borderId="0" xfId="2" applyNumberFormat="1" applyFont="1" applyFill="1" applyAlignment="1">
      <alignment horizontal="right" vertical="center"/>
    </xf>
    <xf numFmtId="164" fontId="13" fillId="2" borderId="3" xfId="2" applyNumberFormat="1" applyFont="1" applyFill="1" applyBorder="1" applyAlignment="1">
      <alignment vertical="center"/>
    </xf>
    <xf numFmtId="0" fontId="15" fillId="0" borderId="0" xfId="0" applyFont="1" applyAlignment="1">
      <alignment horizontal="right" vertical="center"/>
    </xf>
    <xf numFmtId="0" fontId="20" fillId="0" borderId="0" xfId="0" applyFont="1" applyAlignment="1">
      <alignment vertical="center"/>
    </xf>
    <xf numFmtId="0" fontId="12" fillId="5" borderId="0" xfId="0" applyFont="1" applyFill="1" applyAlignment="1">
      <alignment horizontal="left" vertical="center"/>
    </xf>
    <xf numFmtId="164" fontId="13" fillId="5" borderId="0" xfId="2" applyNumberFormat="1" applyFont="1" applyFill="1" applyAlignment="1">
      <alignment horizontal="right" vertical="center"/>
    </xf>
    <xf numFmtId="0" fontId="15" fillId="0" borderId="3" xfId="0" applyFont="1" applyBorder="1" applyAlignment="1">
      <alignment horizontal="left" vertical="center" indent="1"/>
    </xf>
    <xf numFmtId="0" fontId="15" fillId="0" borderId="3" xfId="0" applyFont="1" applyBorder="1" applyAlignment="1">
      <alignment horizontal="right" vertical="center"/>
    </xf>
    <xf numFmtId="164" fontId="11" fillId="0" borderId="3" xfId="2" applyNumberFormat="1" applyFont="1" applyBorder="1" applyAlignment="1">
      <alignment horizontal="right" vertical="center"/>
    </xf>
    <xf numFmtId="0" fontId="15" fillId="6" borderId="0" xfId="0" applyFont="1" applyFill="1" applyAlignment="1">
      <alignment vertical="center"/>
    </xf>
    <xf numFmtId="164" fontId="13" fillId="6" borderId="0" xfId="2" applyNumberFormat="1" applyFont="1" applyFill="1" applyAlignment="1">
      <alignment horizontal="right" vertical="center"/>
    </xf>
    <xf numFmtId="164" fontId="13" fillId="5" borderId="0" xfId="2" applyNumberFormat="1" applyFont="1" applyFill="1" applyAlignment="1">
      <alignment horizontal="left" vertical="center"/>
    </xf>
    <xf numFmtId="0" fontId="13" fillId="2" borderId="0" xfId="0" applyFont="1" applyFill="1" applyAlignment="1">
      <alignment horizontal="left" vertical="center"/>
    </xf>
    <xf numFmtId="0" fontId="21" fillId="0" borderId="0" xfId="0" applyFont="1" applyAlignment="1">
      <alignment horizontal="left" vertical="center"/>
    </xf>
    <xf numFmtId="0" fontId="13" fillId="2" borderId="3" xfId="0" applyFont="1" applyFill="1" applyBorder="1" applyAlignment="1">
      <alignment horizontal="left" vertical="center"/>
    </xf>
    <xf numFmtId="9" fontId="15" fillId="0" borderId="0" xfId="1" applyFont="1" applyBorder="1" applyAlignment="1">
      <alignment vertical="center"/>
    </xf>
    <xf numFmtId="10" fontId="22" fillId="7" borderId="0" xfId="1" applyNumberFormat="1" applyFont="1" applyFill="1" applyAlignment="1">
      <alignment horizontal="left" vertical="center"/>
    </xf>
    <xf numFmtId="165" fontId="22" fillId="7" borderId="0" xfId="1" applyNumberFormat="1" applyFont="1" applyFill="1" applyAlignment="1">
      <alignment horizontal="right" vertical="center"/>
    </xf>
    <xf numFmtId="10" fontId="22" fillId="7" borderId="0" xfId="1" applyNumberFormat="1" applyFont="1" applyFill="1" applyAlignment="1">
      <alignment horizontal="right" vertical="center"/>
    </xf>
    <xf numFmtId="10" fontId="22" fillId="7" borderId="3" xfId="1" applyNumberFormat="1" applyFont="1" applyFill="1" applyBorder="1" applyAlignment="1">
      <alignment horizontal="left" vertical="center"/>
    </xf>
    <xf numFmtId="165" fontId="22" fillId="7" borderId="3" xfId="1" applyNumberFormat="1" applyFont="1" applyFill="1" applyBorder="1" applyAlignment="1">
      <alignment horizontal="right" vertical="center"/>
    </xf>
    <xf numFmtId="10" fontId="22" fillId="7" borderId="3" xfId="1" applyNumberFormat="1" applyFont="1" applyFill="1" applyBorder="1" applyAlignment="1">
      <alignment horizontal="right" vertical="center"/>
    </xf>
    <xf numFmtId="0" fontId="17" fillId="0" borderId="0" xfId="0" quotePrefix="1" applyFont="1"/>
    <xf numFmtId="164" fontId="12" fillId="2" borderId="0" xfId="2" applyNumberFormat="1" applyFont="1" applyFill="1" applyAlignment="1">
      <alignment horizontal="right" vertical="center"/>
    </xf>
    <xf numFmtId="0" fontId="18" fillId="7" borderId="0" xfId="0" applyFont="1" applyFill="1" applyAlignment="1">
      <alignment horizontal="left" vertical="center" indent="1"/>
    </xf>
    <xf numFmtId="165" fontId="18" fillId="7" borderId="0" xfId="1" applyNumberFormat="1" applyFont="1" applyFill="1" applyAlignment="1">
      <alignment vertical="center"/>
    </xf>
    <xf numFmtId="0" fontId="18" fillId="7" borderId="1" xfId="0" applyFont="1" applyFill="1" applyBorder="1" applyAlignment="1">
      <alignment horizontal="left" vertical="center" indent="1"/>
    </xf>
    <xf numFmtId="165" fontId="18" fillId="7" borderId="1" xfId="1" applyNumberFormat="1" applyFont="1" applyFill="1" applyBorder="1" applyAlignment="1">
      <alignment vertical="center"/>
    </xf>
    <xf numFmtId="0" fontId="12" fillId="0" borderId="0" xfId="0" applyFont="1" applyAlignment="1">
      <alignment horizontal="left" vertical="center"/>
    </xf>
    <xf numFmtId="0" fontId="23" fillId="0" borderId="0" xfId="0" applyFont="1"/>
    <xf numFmtId="0" fontId="24" fillId="7" borderId="0" xfId="0" applyFont="1" applyFill="1" applyAlignment="1">
      <alignment horizontal="left" vertical="center" indent="1"/>
    </xf>
    <xf numFmtId="165" fontId="17" fillId="0" borderId="0" xfId="1" applyNumberFormat="1" applyFont="1"/>
    <xf numFmtId="0" fontId="24" fillId="7" borderId="3" xfId="0" applyFont="1" applyFill="1" applyBorder="1" applyAlignment="1">
      <alignment horizontal="left" vertical="center" indent="1"/>
    </xf>
    <xf numFmtId="168" fontId="13" fillId="2" borderId="0" xfId="2" applyNumberFormat="1" applyFont="1" applyFill="1" applyAlignment="1">
      <alignment horizontal="right" vertical="center"/>
    </xf>
    <xf numFmtId="164" fontId="13" fillId="0" borderId="0" xfId="2" applyNumberFormat="1" applyFont="1" applyAlignment="1">
      <alignment horizontal="right" vertical="center"/>
    </xf>
    <xf numFmtId="9" fontId="11" fillId="0" borderId="0" xfId="1" applyFont="1" applyFill="1" applyBorder="1" applyAlignment="1">
      <alignment horizontal="right" vertical="center"/>
    </xf>
    <xf numFmtId="0" fontId="12" fillId="3" borderId="0" xfId="0" applyFont="1" applyFill="1" applyAlignment="1">
      <alignment horizontal="left" vertical="center" indent="1"/>
    </xf>
    <xf numFmtId="164" fontId="13" fillId="3" borderId="0" xfId="2" applyNumberFormat="1" applyFont="1" applyFill="1" applyAlignment="1">
      <alignment horizontal="right" vertical="center"/>
    </xf>
    <xf numFmtId="0" fontId="18" fillId="0" borderId="0" xfId="0" applyFont="1" applyAlignment="1">
      <alignment vertical="center"/>
    </xf>
    <xf numFmtId="0" fontId="12" fillId="7" borderId="3" xfId="0" applyFont="1" applyFill="1" applyBorder="1" applyAlignment="1">
      <alignment vertical="center"/>
    </xf>
    <xf numFmtId="164" fontId="13" fillId="7" borderId="3" xfId="2" applyNumberFormat="1" applyFont="1" applyFill="1" applyBorder="1" applyAlignment="1">
      <alignment horizontal="right" vertical="center"/>
    </xf>
    <xf numFmtId="165" fontId="18" fillId="7" borderId="0" xfId="1" applyNumberFormat="1" applyFont="1" applyFill="1" applyAlignment="1">
      <alignment horizontal="right" vertical="center"/>
    </xf>
    <xf numFmtId="165" fontId="18" fillId="7" borderId="0" xfId="1" applyNumberFormat="1" applyFont="1" applyFill="1" applyBorder="1" applyAlignment="1">
      <alignment horizontal="right" vertical="center"/>
    </xf>
    <xf numFmtId="0" fontId="13" fillId="5" borderId="0" xfId="0" applyFont="1" applyFill="1" applyAlignment="1">
      <alignment horizontal="left" vertical="center"/>
    </xf>
    <xf numFmtId="0" fontId="13" fillId="2" borderId="0" xfId="0" applyFont="1" applyFill="1" applyAlignment="1">
      <alignment horizontal="left" vertical="center" indent="1"/>
    </xf>
    <xf numFmtId="0" fontId="11" fillId="0" borderId="0" xfId="0" applyFont="1" applyAlignment="1">
      <alignment horizontal="left" vertical="center" indent="2"/>
    </xf>
    <xf numFmtId="164" fontId="12" fillId="5" borderId="2" xfId="0" applyNumberFormat="1" applyFont="1" applyFill="1" applyBorder="1" applyAlignment="1">
      <alignment horizontal="right" vertical="center"/>
    </xf>
    <xf numFmtId="164" fontId="12" fillId="5" borderId="0" xfId="0" applyNumberFormat="1" applyFont="1" applyFill="1" applyAlignment="1">
      <alignment horizontal="right" vertical="center"/>
    </xf>
    <xf numFmtId="164" fontId="11" fillId="0" borderId="0" xfId="2" applyNumberFormat="1" applyFont="1" applyAlignment="1">
      <alignment horizontal="left" vertical="center" indent="1"/>
    </xf>
    <xf numFmtId="164" fontId="11" fillId="0" borderId="3" xfId="2" applyNumberFormat="1" applyFont="1" applyBorder="1" applyAlignment="1">
      <alignment horizontal="left" vertical="center" indent="1"/>
    </xf>
    <xf numFmtId="164" fontId="15" fillId="0" borderId="3" xfId="0" applyNumberFormat="1" applyFont="1" applyBorder="1" applyAlignment="1">
      <alignment horizontal="right" vertical="center"/>
    </xf>
    <xf numFmtId="169" fontId="11" fillId="0" borderId="0" xfId="2" applyNumberFormat="1" applyFont="1" applyAlignment="1">
      <alignment horizontal="right" vertical="center"/>
    </xf>
    <xf numFmtId="4" fontId="15" fillId="0" borderId="0" xfId="1" applyNumberFormat="1" applyFont="1" applyAlignment="1">
      <alignment vertical="center"/>
    </xf>
    <xf numFmtId="4" fontId="15" fillId="0" borderId="0" xfId="0" applyNumberFormat="1" applyFont="1" applyAlignment="1">
      <alignment vertical="center"/>
    </xf>
    <xf numFmtId="165" fontId="15" fillId="0" borderId="0" xfId="1" applyNumberFormat="1" applyFont="1" applyBorder="1" applyAlignment="1">
      <alignment vertical="center"/>
    </xf>
    <xf numFmtId="0" fontId="15" fillId="0" borderId="3" xfId="0" applyFont="1" applyBorder="1" applyAlignment="1">
      <alignment vertical="center"/>
    </xf>
    <xf numFmtId="9" fontId="11" fillId="0" borderId="0" xfId="1" applyFont="1" applyAlignment="1">
      <alignment horizontal="right" vertical="center"/>
    </xf>
    <xf numFmtId="165" fontId="11" fillId="0" borderId="0" xfId="1" applyNumberFormat="1" applyFont="1" applyAlignment="1">
      <alignment horizontal="right" vertical="center"/>
    </xf>
    <xf numFmtId="169" fontId="13" fillId="2" borderId="3" xfId="2" applyNumberFormat="1" applyFont="1" applyFill="1" applyBorder="1" applyAlignment="1">
      <alignment horizontal="right" vertical="center"/>
    </xf>
    <xf numFmtId="4" fontId="15" fillId="0" borderId="0" xfId="0" applyNumberFormat="1" applyFont="1" applyAlignment="1">
      <alignment horizontal="right" vertical="center"/>
    </xf>
    <xf numFmtId="0" fontId="19" fillId="0" borderId="0" xfId="0" applyFont="1" applyAlignment="1">
      <alignment horizontal="left" vertical="center" wrapText="1"/>
    </xf>
    <xf numFmtId="0" fontId="12" fillId="0" borderId="0" xfId="0" applyFont="1" applyAlignment="1">
      <alignment horizontal="right" vertical="center"/>
    </xf>
    <xf numFmtId="172" fontId="15" fillId="0" borderId="0" xfId="0" applyNumberFormat="1" applyFont="1" applyAlignment="1">
      <alignment horizontal="right" vertical="center"/>
    </xf>
    <xf numFmtId="0" fontId="12" fillId="0" borderId="1" xfId="0" applyFont="1" applyBorder="1" applyAlignment="1">
      <alignment horizontal="left" vertical="center"/>
    </xf>
    <xf numFmtId="172" fontId="12" fillId="0" borderId="1" xfId="0" applyNumberFormat="1" applyFont="1" applyBorder="1" applyAlignment="1">
      <alignment horizontal="right" vertical="center"/>
    </xf>
    <xf numFmtId="172" fontId="12" fillId="0" borderId="0" xfId="0" applyNumberFormat="1" applyFont="1" applyAlignment="1">
      <alignment horizontal="right" vertical="center"/>
    </xf>
    <xf numFmtId="0" fontId="2" fillId="0" borderId="1" xfId="0" applyFont="1" applyBorder="1"/>
    <xf numFmtId="0" fontId="12" fillId="0" borderId="3" xfId="0" applyFont="1" applyBorder="1" applyAlignment="1">
      <alignment horizontal="left" vertical="center"/>
    </xf>
    <xf numFmtId="4" fontId="12" fillId="0" borderId="3" xfId="0" applyNumberFormat="1" applyFont="1" applyBorder="1" applyAlignment="1">
      <alignment horizontal="right" vertical="center"/>
    </xf>
    <xf numFmtId="172" fontId="12" fillId="0" borderId="3" xfId="0" applyNumberFormat="1" applyFont="1" applyBorder="1" applyAlignment="1">
      <alignment horizontal="right" vertical="center"/>
    </xf>
    <xf numFmtId="0" fontId="12" fillId="6" borderId="2" xfId="0" applyFont="1" applyFill="1" applyBorder="1" applyAlignment="1">
      <alignment horizontal="left" vertical="center"/>
    </xf>
    <xf numFmtId="2" fontId="12" fillId="6" borderId="2" xfId="0" applyNumberFormat="1" applyFont="1" applyFill="1" applyBorder="1" applyAlignment="1">
      <alignment horizontal="right" vertical="center"/>
    </xf>
    <xf numFmtId="2" fontId="12" fillId="0" borderId="0" xfId="0" applyNumberFormat="1" applyFont="1" applyAlignment="1">
      <alignment horizontal="right" vertical="center"/>
    </xf>
    <xf numFmtId="0" fontId="12" fillId="6" borderId="0" xfId="0" applyFont="1" applyFill="1" applyAlignment="1">
      <alignment horizontal="left" vertical="center"/>
    </xf>
    <xf numFmtId="2" fontId="12" fillId="6" borderId="0" xfId="0" applyNumberFormat="1" applyFont="1" applyFill="1" applyAlignment="1">
      <alignment horizontal="right" vertical="center"/>
    </xf>
    <xf numFmtId="0" fontId="12" fillId="6" borderId="3" xfId="0" applyFont="1" applyFill="1" applyBorder="1" applyAlignment="1">
      <alignment horizontal="left" vertical="center"/>
    </xf>
    <xf numFmtId="172" fontId="12" fillId="6" borderId="3" xfId="0" applyNumberFormat="1" applyFont="1" applyFill="1" applyBorder="1" applyAlignment="1">
      <alignment horizontal="right" vertical="center"/>
    </xf>
    <xf numFmtId="173" fontId="12" fillId="6" borderId="3" xfId="0" applyNumberFormat="1" applyFont="1" applyFill="1" applyBorder="1" applyAlignment="1">
      <alignment horizontal="right" vertical="center"/>
    </xf>
    <xf numFmtId="173" fontId="12" fillId="0" borderId="0" xfId="0" applyNumberFormat="1" applyFont="1" applyAlignment="1">
      <alignment horizontal="right" vertical="center"/>
    </xf>
    <xf numFmtId="9" fontId="12" fillId="6" borderId="3" xfId="1" applyFont="1" applyFill="1" applyBorder="1" applyAlignment="1">
      <alignment horizontal="right" vertical="center"/>
    </xf>
    <xf numFmtId="9" fontId="12" fillId="6" borderId="0" xfId="1" applyFont="1" applyFill="1" applyBorder="1" applyAlignment="1">
      <alignment horizontal="right" vertical="center"/>
    </xf>
    <xf numFmtId="0" fontId="19" fillId="0" borderId="0" xfId="0" applyFont="1" applyAlignment="1">
      <alignment vertical="center"/>
    </xf>
    <xf numFmtId="9" fontId="15" fillId="0" borderId="0" xfId="1" applyFont="1" applyAlignment="1">
      <alignment horizontal="right" vertical="center"/>
    </xf>
    <xf numFmtId="9" fontId="15" fillId="0" borderId="0" xfId="1" applyFont="1" applyFill="1" applyAlignment="1">
      <alignment horizontal="right" vertical="center"/>
    </xf>
    <xf numFmtId="4" fontId="12" fillId="6" borderId="3" xfId="0" applyNumberFormat="1" applyFont="1" applyFill="1" applyBorder="1" applyAlignment="1">
      <alignment horizontal="right" vertical="center"/>
    </xf>
    <xf numFmtId="2" fontId="12" fillId="6" borderId="2" xfId="0" applyNumberFormat="1" applyFont="1" applyFill="1" applyBorder="1" applyAlignment="1">
      <alignment vertical="center"/>
    </xf>
    <xf numFmtId="2" fontId="12" fillId="6" borderId="0" xfId="0" applyNumberFormat="1" applyFont="1" applyFill="1" applyAlignment="1">
      <alignment vertical="center"/>
    </xf>
    <xf numFmtId="3" fontId="12" fillId="6" borderId="3" xfId="0" applyNumberFormat="1" applyFont="1" applyFill="1" applyBorder="1" applyAlignment="1">
      <alignment horizontal="right" vertical="center"/>
    </xf>
    <xf numFmtId="3" fontId="12" fillId="6" borderId="0" xfId="0" applyNumberFormat="1" applyFont="1" applyFill="1" applyAlignment="1">
      <alignment horizontal="right" vertical="center"/>
    </xf>
    <xf numFmtId="0" fontId="15" fillId="6" borderId="0" xfId="0" applyFont="1" applyFill="1" applyAlignment="1">
      <alignment horizontal="left" vertical="center"/>
    </xf>
    <xf numFmtId="3" fontId="15" fillId="6" borderId="0" xfId="0" applyNumberFormat="1" applyFont="1" applyFill="1" applyAlignment="1">
      <alignment horizontal="right" vertical="center"/>
    </xf>
    <xf numFmtId="0" fontId="15" fillId="0" borderId="0" xfId="0" quotePrefix="1" applyFont="1"/>
    <xf numFmtId="0" fontId="15" fillId="6" borderId="0" xfId="0" applyFont="1" applyFill="1" applyAlignment="1">
      <alignment horizontal="left" vertical="center" wrapText="1"/>
    </xf>
    <xf numFmtId="166" fontId="15" fillId="6" borderId="0" xfId="0" applyNumberFormat="1" applyFont="1" applyFill="1" applyAlignment="1">
      <alignment horizontal="right" vertical="center"/>
    </xf>
    <xf numFmtId="166" fontId="12" fillId="0" borderId="3" xfId="0" applyNumberFormat="1" applyFont="1" applyBorder="1" applyAlignment="1">
      <alignment horizontal="right" vertical="center"/>
    </xf>
    <xf numFmtId="166" fontId="12" fillId="6" borderId="3" xfId="0" applyNumberFormat="1" applyFont="1" applyFill="1" applyBorder="1" applyAlignment="1">
      <alignment horizontal="right" vertical="center"/>
    </xf>
    <xf numFmtId="166" fontId="12" fillId="0" borderId="0" xfId="0" applyNumberFormat="1" applyFont="1" applyAlignment="1">
      <alignment horizontal="right" vertical="center"/>
    </xf>
    <xf numFmtId="166" fontId="12" fillId="6" borderId="0" xfId="0" applyNumberFormat="1" applyFont="1" applyFill="1" applyAlignment="1">
      <alignment horizontal="right" vertical="center"/>
    </xf>
    <xf numFmtId="0" fontId="19" fillId="0" borderId="0" xfId="0" applyFont="1" applyAlignment="1">
      <alignment vertical="center" wrapText="1"/>
    </xf>
    <xf numFmtId="49" fontId="15" fillId="6" borderId="0" xfId="0" applyNumberFormat="1" applyFont="1" applyFill="1" applyAlignment="1">
      <alignment horizontal="right" vertical="center"/>
    </xf>
    <xf numFmtId="2" fontId="15" fillId="6" borderId="0" xfId="0" applyNumberFormat="1" applyFont="1" applyFill="1" applyAlignment="1">
      <alignment horizontal="right" vertical="center"/>
    </xf>
    <xf numFmtId="174" fontId="12" fillId="0" borderId="0" xfId="0" applyNumberFormat="1" applyFont="1" applyAlignment="1">
      <alignment horizontal="right" vertical="center"/>
    </xf>
    <xf numFmtId="174" fontId="12" fillId="6" borderId="0" xfId="0" applyNumberFormat="1" applyFont="1" applyFill="1" applyAlignment="1">
      <alignment horizontal="right" vertical="center"/>
    </xf>
    <xf numFmtId="166" fontId="15" fillId="0" borderId="0" xfId="0" applyNumberFormat="1" applyFont="1" applyAlignment="1">
      <alignment horizontal="right" vertical="center"/>
    </xf>
    <xf numFmtId="0" fontId="12" fillId="0" borderId="0" xfId="0" applyFont="1"/>
    <xf numFmtId="165" fontId="15" fillId="0" borderId="0" xfId="0" applyNumberFormat="1" applyFont="1"/>
    <xf numFmtId="165" fontId="15" fillId="6" borderId="0" xfId="1" applyNumberFormat="1" applyFont="1" applyFill="1" applyBorder="1" applyAlignment="1">
      <alignment horizontal="right" vertical="center"/>
    </xf>
    <xf numFmtId="3" fontId="12" fillId="0" borderId="3" xfId="0" applyNumberFormat="1" applyFont="1" applyBorder="1" applyAlignment="1">
      <alignment horizontal="right" vertical="center"/>
    </xf>
    <xf numFmtId="9" fontId="15" fillId="6" borderId="0" xfId="1" applyFont="1" applyFill="1" applyBorder="1" applyAlignment="1">
      <alignment horizontal="right" vertical="center"/>
    </xf>
    <xf numFmtId="9" fontId="15" fillId="0" borderId="0" xfId="0" applyNumberFormat="1" applyFont="1"/>
    <xf numFmtId="165" fontId="15" fillId="0" borderId="0" xfId="1" applyNumberFormat="1" applyFont="1" applyFill="1" applyAlignment="1">
      <alignment vertical="center"/>
    </xf>
    <xf numFmtId="174" fontId="15" fillId="0" borderId="0" xfId="0" applyNumberFormat="1" applyFont="1"/>
    <xf numFmtId="3" fontId="12" fillId="0" borderId="0" xfId="0" applyNumberFormat="1" applyFont="1"/>
    <xf numFmtId="165" fontId="12" fillId="0" borderId="0" xfId="1" applyNumberFormat="1" applyFont="1" applyFill="1" applyAlignment="1">
      <alignment vertical="center"/>
    </xf>
    <xf numFmtId="1" fontId="12" fillId="0" borderId="0" xfId="0" applyNumberFormat="1" applyFont="1"/>
    <xf numFmtId="3" fontId="12" fillId="0" borderId="0" xfId="0" applyNumberFormat="1" applyFont="1" applyAlignment="1">
      <alignment horizontal="right" vertical="center"/>
    </xf>
    <xf numFmtId="21" fontId="15" fillId="0" borderId="0" xfId="0" applyNumberFormat="1" applyFont="1"/>
    <xf numFmtId="46" fontId="15" fillId="0" borderId="0" xfId="0" applyNumberFormat="1" applyFont="1"/>
    <xf numFmtId="0" fontId="15" fillId="6" borderId="3" xfId="0" applyFont="1" applyFill="1" applyBorder="1" applyAlignment="1">
      <alignment horizontal="left" vertical="center"/>
    </xf>
    <xf numFmtId="21" fontId="15" fillId="0" borderId="3" xfId="0" applyNumberFormat="1" applyFont="1" applyBorder="1" applyAlignment="1">
      <alignment horizontal="right" vertical="center"/>
    </xf>
    <xf numFmtId="46" fontId="15" fillId="6" borderId="3" xfId="0" applyNumberFormat="1" applyFont="1" applyFill="1" applyBorder="1" applyAlignment="1">
      <alignment horizontal="right" vertical="center"/>
    </xf>
    <xf numFmtId="0" fontId="15" fillId="0" borderId="0" xfId="0" applyFont="1" applyAlignment="1">
      <alignment wrapText="1"/>
    </xf>
    <xf numFmtId="1" fontId="15" fillId="0" borderId="0" xfId="0" applyNumberFormat="1" applyFont="1"/>
    <xf numFmtId="1" fontId="15" fillId="0" borderId="3" xfId="0" applyNumberFormat="1" applyFont="1" applyBorder="1" applyAlignment="1">
      <alignment horizontal="right" vertical="center"/>
    </xf>
    <xf numFmtId="1" fontId="15" fillId="6" borderId="3" xfId="0" applyNumberFormat="1" applyFont="1" applyFill="1" applyBorder="1" applyAlignment="1">
      <alignment horizontal="right" vertical="center"/>
    </xf>
    <xf numFmtId="1" fontId="12" fillId="0" borderId="3" xfId="0" applyNumberFormat="1" applyFont="1" applyBorder="1" applyAlignment="1">
      <alignment horizontal="right" vertical="center"/>
    </xf>
    <xf numFmtId="1" fontId="12" fillId="6" borderId="3" xfId="0" applyNumberFormat="1" applyFont="1" applyFill="1" applyBorder="1" applyAlignment="1">
      <alignment horizontal="right" vertical="center"/>
    </xf>
    <xf numFmtId="3" fontId="15" fillId="0" borderId="4" xfId="0" applyNumberFormat="1" applyFont="1" applyBorder="1" applyAlignment="1">
      <alignment horizontal="right" vertical="center"/>
    </xf>
    <xf numFmtId="166" fontId="15" fillId="0" borderId="0" xfId="1" applyNumberFormat="1" applyFont="1" applyAlignment="1">
      <alignment horizontal="right" vertical="center"/>
    </xf>
    <xf numFmtId="3" fontId="15" fillId="0" borderId="0" xfId="1" applyNumberFormat="1" applyFont="1" applyAlignment="1">
      <alignment horizontal="right" vertical="center"/>
    </xf>
    <xf numFmtId="0" fontId="15" fillId="0" borderId="0" xfId="0" applyFont="1" applyAlignment="1">
      <alignment horizontal="left" vertical="center" wrapText="1"/>
    </xf>
    <xf numFmtId="4" fontId="15" fillId="0" borderId="4" xfId="0" applyNumberFormat="1" applyFont="1" applyBorder="1" applyAlignment="1">
      <alignment horizontal="right" vertical="center"/>
    </xf>
    <xf numFmtId="0" fontId="12" fillId="0" borderId="3" xfId="0" applyFont="1" applyBorder="1" applyAlignment="1">
      <alignment horizontal="right" vertical="center"/>
    </xf>
    <xf numFmtId="174" fontId="15" fillId="0" borderId="0" xfId="0" applyNumberFormat="1" applyFont="1" applyAlignment="1">
      <alignment horizontal="right" vertical="center"/>
    </xf>
    <xf numFmtId="166" fontId="15" fillId="0" borderId="3" xfId="0" applyNumberFormat="1" applyFont="1" applyBorder="1" applyAlignment="1">
      <alignment horizontal="right" vertical="center"/>
    </xf>
    <xf numFmtId="1" fontId="15" fillId="0" borderId="0" xfId="0" applyNumberFormat="1" applyFont="1" applyAlignment="1">
      <alignment horizontal="right" vertical="center"/>
    </xf>
    <xf numFmtId="170" fontId="11" fillId="0" borderId="0" xfId="2" applyNumberFormat="1" applyFont="1" applyAlignment="1">
      <alignment horizontal="right" vertical="center"/>
    </xf>
    <xf numFmtId="0" fontId="12" fillId="8" borderId="3" xfId="0" applyFont="1" applyFill="1" applyBorder="1" applyAlignment="1">
      <alignment horizontal="right" vertical="center"/>
    </xf>
    <xf numFmtId="43" fontId="15" fillId="0" borderId="0" xfId="10" applyFont="1" applyAlignment="1">
      <alignment vertical="center"/>
    </xf>
    <xf numFmtId="0" fontId="12" fillId="8" borderId="3" xfId="0" applyFont="1" applyFill="1" applyBorder="1" applyAlignment="1">
      <alignment horizontal="left" vertical="center"/>
    </xf>
    <xf numFmtId="0" fontId="12" fillId="8" borderId="3" xfId="0" applyFont="1" applyFill="1" applyBorder="1" applyAlignment="1">
      <alignment vertical="center"/>
    </xf>
    <xf numFmtId="0" fontId="13" fillId="8" borderId="3" xfId="0" applyFont="1" applyFill="1" applyBorder="1" applyAlignment="1">
      <alignment vertical="center"/>
    </xf>
    <xf numFmtId="0" fontId="13" fillId="8" borderId="3" xfId="0" applyFont="1" applyFill="1" applyBorder="1" applyAlignment="1">
      <alignment horizontal="right" vertical="center"/>
    </xf>
    <xf numFmtId="171" fontId="11" fillId="0" borderId="0" xfId="2" applyNumberFormat="1" applyFont="1" applyAlignment="1">
      <alignment horizontal="right" vertical="center"/>
    </xf>
    <xf numFmtId="0" fontId="19" fillId="0" borderId="4" xfId="0" applyFont="1" applyBorder="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3" fontId="2" fillId="0" borderId="0" xfId="0" applyNumberFormat="1" applyFont="1" applyAlignment="1">
      <alignment horizontal="right" vertical="center"/>
    </xf>
    <xf numFmtId="164" fontId="11" fillId="6" borderId="3" xfId="2" applyNumberFormat="1" applyFont="1" applyFill="1" applyBorder="1" applyAlignment="1">
      <alignment horizontal="right" vertical="center"/>
    </xf>
    <xf numFmtId="166" fontId="13" fillId="5" borderId="0" xfId="2" applyNumberFormat="1" applyFont="1" applyFill="1" applyAlignment="1">
      <alignment horizontal="right" vertical="center"/>
    </xf>
    <xf numFmtId="10" fontId="22" fillId="7" borderId="5" xfId="1" applyNumberFormat="1" applyFont="1" applyFill="1" applyBorder="1" applyAlignment="1">
      <alignment horizontal="left" vertical="center"/>
    </xf>
    <xf numFmtId="165" fontId="22" fillId="7" borderId="5" xfId="1" applyNumberFormat="1" applyFont="1" applyFill="1" applyBorder="1" applyAlignment="1">
      <alignment horizontal="right" vertical="center"/>
    </xf>
    <xf numFmtId="10" fontId="22" fillId="7" borderId="5" xfId="1" applyNumberFormat="1" applyFont="1" applyFill="1" applyBorder="1" applyAlignment="1">
      <alignment horizontal="right" vertical="center"/>
    </xf>
    <xf numFmtId="9" fontId="22" fillId="7" borderId="5" xfId="1" applyFont="1" applyFill="1" applyBorder="1" applyAlignment="1">
      <alignment horizontal="right" vertical="center"/>
    </xf>
    <xf numFmtId="4" fontId="11" fillId="0" borderId="0" xfId="1" applyNumberFormat="1" applyFont="1" applyAlignment="1">
      <alignment horizontal="right" vertical="center"/>
    </xf>
    <xf numFmtId="169" fontId="13" fillId="2" borderId="0" xfId="2" applyNumberFormat="1" applyFont="1" applyFill="1" applyAlignment="1">
      <alignment horizontal="right" vertical="center"/>
    </xf>
    <xf numFmtId="0" fontId="0" fillId="6" borderId="0" xfId="0" applyFill="1"/>
    <xf numFmtId="0" fontId="14" fillId="6" borderId="0" xfId="0" applyFont="1" applyFill="1" applyAlignment="1">
      <alignment vertical="center"/>
    </xf>
    <xf numFmtId="0" fontId="16" fillId="6" borderId="0" xfId="3" applyFont="1" applyFill="1" applyAlignment="1">
      <alignment vertical="center"/>
    </xf>
    <xf numFmtId="0" fontId="15" fillId="6" borderId="0" xfId="0" applyFont="1" applyFill="1"/>
    <xf numFmtId="0" fontId="15" fillId="6" borderId="0" xfId="0" applyFont="1" applyFill="1" applyAlignment="1">
      <alignment horizontal="left" indent="1"/>
    </xf>
    <xf numFmtId="0" fontId="15" fillId="6" borderId="0" xfId="0" applyFont="1" applyFill="1" applyAlignment="1">
      <alignment horizontal="left" indent="2"/>
    </xf>
    <xf numFmtId="175" fontId="15" fillId="6" borderId="0" xfId="10" applyNumberFormat="1" applyFont="1" applyFill="1"/>
    <xf numFmtId="165" fontId="13" fillId="3" borderId="0" xfId="1" applyNumberFormat="1" applyFont="1" applyFill="1" applyAlignment="1">
      <alignment horizontal="right" vertical="center"/>
    </xf>
    <xf numFmtId="165" fontId="15" fillId="6" borderId="0" xfId="1" applyNumberFormat="1" applyFont="1" applyFill="1"/>
    <xf numFmtId="0" fontId="19" fillId="0" borderId="4" xfId="0" applyFont="1" applyBorder="1" applyAlignment="1">
      <alignment horizontal="left" vertical="center" wrapText="1"/>
    </xf>
    <xf numFmtId="0" fontId="19" fillId="0" borderId="0" xfId="0" applyFont="1" applyAlignment="1">
      <alignment horizontal="left" vertical="center" wrapText="1"/>
    </xf>
    <xf numFmtId="3" fontId="15" fillId="0" borderId="0" xfId="0" applyNumberFormat="1" applyFont="1" applyAlignment="1">
      <alignment horizontal="right" vertical="center"/>
    </xf>
    <xf numFmtId="0" fontId="12" fillId="8" borderId="3" xfId="0" applyFont="1" applyFill="1" applyBorder="1" applyAlignment="1">
      <alignment horizontal="right" vertical="center"/>
    </xf>
    <xf numFmtId="3" fontId="15" fillId="0" borderId="4" xfId="0" applyNumberFormat="1" applyFont="1" applyBorder="1" applyAlignment="1">
      <alignment horizontal="right" vertical="center"/>
    </xf>
    <xf numFmtId="0" fontId="15" fillId="0" borderId="3" xfId="0" applyFont="1" applyBorder="1" applyAlignment="1">
      <alignment horizontal="right" vertical="center"/>
    </xf>
    <xf numFmtId="3" fontId="15" fillId="0" borderId="3" xfId="0" applyNumberFormat="1" applyFont="1" applyBorder="1" applyAlignment="1">
      <alignment horizontal="right" vertical="center"/>
    </xf>
  </cellXfs>
  <cellStyles count="11">
    <cellStyle name="Comma 10 2" xfId="4" xr:uid="{1B2C9B78-22ED-42E9-A8BB-2260A004C12E}"/>
    <cellStyle name="Comma 10 2 2" xfId="5" xr:uid="{67BC65A9-9D44-4E23-A752-7AF64705DB82}"/>
    <cellStyle name="Comma 2" xfId="7" xr:uid="{C7A59622-E50C-4D87-B85B-5DC1BA825522}"/>
    <cellStyle name="Hiperlink" xfId="3" builtinId="8"/>
    <cellStyle name="Moeda 2" xfId="6" xr:uid="{4C7D87B2-DFCA-4523-A24A-6A749757A39B}"/>
    <cellStyle name="Normal" xfId="0" builtinId="0"/>
    <cellStyle name="Normal 2" xfId="8" xr:uid="{D1F20B14-838F-4568-BEEC-8435D95153E2}"/>
    <cellStyle name="Normal 2 2 3" xfId="2" xr:uid="{FD6FBDDF-E884-4657-993E-5BC86B7D8311}"/>
    <cellStyle name="Normal 3" xfId="9" xr:uid="{62703CEA-E179-442F-9A32-3FBB9BD5426D}"/>
    <cellStyle name="Porcentagem" xfId="1" builtinId="5"/>
    <cellStyle name="Vírgula" xfId="10" builtinId="3"/>
  </cellStyles>
  <dxfs count="2">
    <dxf>
      <font>
        <b/>
        <i val="0"/>
        <color theme="0"/>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A7DCDA"/>
      <color rgb="FFFFE72D"/>
      <color rgb="FFFFF2CC"/>
      <color rgb="FFDDE461"/>
      <color rgb="FF40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mzgroup.zoom.us/webinar/register/WN_5vZuUcvrTFaa6R9jHlk3eQ#/registration" TargetMode="External"/><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31</xdr:row>
      <xdr:rowOff>0</xdr:rowOff>
    </xdr:to>
    <xdr:pic>
      <xdr:nvPicPr>
        <xdr:cNvPr id="11" name="Imagem 10">
          <a:extLst>
            <a:ext uri="{FF2B5EF4-FFF2-40B4-BE49-F238E27FC236}">
              <a16:creationId xmlns:a16="http://schemas.microsoft.com/office/drawing/2014/main" id="{CFE38E14-13CD-F067-A2E5-6CDFFC96EA01}"/>
            </a:ext>
          </a:extLst>
        </xdr:cNvPr>
        <xdr:cNvPicPr>
          <a:picLocks noChangeAspect="1"/>
        </xdr:cNvPicPr>
      </xdr:nvPicPr>
      <xdr:blipFill>
        <a:blip xmlns:r="http://schemas.openxmlformats.org/officeDocument/2006/relationships" r:embed="rId1"/>
        <a:stretch>
          <a:fillRect/>
        </a:stretch>
      </xdr:blipFill>
      <xdr:spPr>
        <a:xfrm flipH="1">
          <a:off x="0" y="0"/>
          <a:ext cx="8882529" cy="5558118"/>
        </a:xfrm>
        <a:prstGeom prst="rect">
          <a:avLst/>
        </a:prstGeom>
      </xdr:spPr>
    </xdr:pic>
    <xdr:clientData/>
  </xdr:twoCellAnchor>
  <xdr:twoCellAnchor>
    <xdr:from>
      <xdr:col>0</xdr:col>
      <xdr:colOff>0</xdr:colOff>
      <xdr:row>1</xdr:row>
      <xdr:rowOff>52294</xdr:rowOff>
    </xdr:from>
    <xdr:to>
      <xdr:col>1</xdr:col>
      <xdr:colOff>1322294</xdr:colOff>
      <xdr:row>13</xdr:row>
      <xdr:rowOff>0</xdr:rowOff>
    </xdr:to>
    <xdr:sp macro="" textlink="">
      <xdr:nvSpPr>
        <xdr:cNvPr id="10" name="Retângulo 9">
          <a:extLst>
            <a:ext uri="{FF2B5EF4-FFF2-40B4-BE49-F238E27FC236}">
              <a16:creationId xmlns:a16="http://schemas.microsoft.com/office/drawing/2014/main" id="{630E86DC-F248-7295-BEF1-E180CFF7C5AC}"/>
            </a:ext>
          </a:extLst>
        </xdr:cNvPr>
        <xdr:cNvSpPr/>
      </xdr:nvSpPr>
      <xdr:spPr>
        <a:xfrm>
          <a:off x="0" y="231588"/>
          <a:ext cx="1449294" cy="2099236"/>
        </a:xfrm>
        <a:prstGeom prst="rect">
          <a:avLst/>
        </a:prstGeom>
        <a:solidFill>
          <a:srgbClr val="A7DCDA"/>
        </a:solidFill>
        <a:ln>
          <a:solidFill>
            <a:srgbClr val="A7DCD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22411</xdr:colOff>
      <xdr:row>1</xdr:row>
      <xdr:rowOff>59765</xdr:rowOff>
    </xdr:from>
    <xdr:to>
      <xdr:col>2</xdr:col>
      <xdr:colOff>358588</xdr:colOff>
      <xdr:row>13</xdr:row>
      <xdr:rowOff>-1</xdr:rowOff>
    </xdr:to>
    <xdr:sp macro="" textlink="">
      <xdr:nvSpPr>
        <xdr:cNvPr id="9" name="Retângulo: Cantos Arredondados 8">
          <a:extLst>
            <a:ext uri="{FF2B5EF4-FFF2-40B4-BE49-F238E27FC236}">
              <a16:creationId xmlns:a16="http://schemas.microsoft.com/office/drawing/2014/main" id="{1AC08CD3-99BA-FDD5-E936-457DC65769A6}"/>
            </a:ext>
          </a:extLst>
        </xdr:cNvPr>
        <xdr:cNvSpPr/>
      </xdr:nvSpPr>
      <xdr:spPr>
        <a:xfrm>
          <a:off x="22411" y="239059"/>
          <a:ext cx="3040530" cy="2091764"/>
        </a:xfrm>
        <a:prstGeom prst="roundRect">
          <a:avLst/>
        </a:prstGeom>
        <a:solidFill>
          <a:srgbClr val="A7DCDA"/>
        </a:solidFill>
        <a:ln>
          <a:solidFill>
            <a:srgbClr val="A7DCD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85725</xdr:colOff>
      <xdr:row>4</xdr:row>
      <xdr:rowOff>38100</xdr:rowOff>
    </xdr:from>
    <xdr:to>
      <xdr:col>3</xdr:col>
      <xdr:colOff>0</xdr:colOff>
      <xdr:row>5</xdr:row>
      <xdr:rowOff>58077</xdr:rowOff>
    </xdr:to>
    <xdr:sp macro="" textlink="">
      <xdr:nvSpPr>
        <xdr:cNvPr id="4" name="TextBox 23">
          <a:extLst>
            <a:ext uri="{FF2B5EF4-FFF2-40B4-BE49-F238E27FC236}">
              <a16:creationId xmlns:a16="http://schemas.microsoft.com/office/drawing/2014/main" id="{02D4BE56-2B17-4012-8090-B0A64F37D749}"/>
            </a:ext>
          </a:extLst>
        </xdr:cNvPr>
        <xdr:cNvSpPr txBox="1"/>
      </xdr:nvSpPr>
      <xdr:spPr>
        <a:xfrm>
          <a:off x="85725" y="762000"/>
          <a:ext cx="2575814" cy="20095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700" i="0" u="none" strike="noStrike" kern="1200" cap="none" spc="0" normalizeH="0" baseline="0">
              <a:ln>
                <a:noFill/>
              </a:ln>
              <a:effectLst/>
              <a:uLnTx/>
              <a:uFillTx/>
              <a:latin typeface="Arial Nova" panose="020B0504020202020204" pitchFamily="34" charset="0"/>
            </a:rPr>
            <a:t>PagSeguro Digital Ltd.</a:t>
          </a:r>
          <a:r>
            <a:rPr lang="en-US" sz="700">
              <a:latin typeface="Arial Nova" panose="020B0504020202020204" pitchFamily="34" charset="0"/>
            </a:rPr>
            <a:t> (</a:t>
          </a:r>
          <a:r>
            <a:rPr kumimoji="0" lang="en-US" sz="700" i="0" u="none" strike="noStrike" kern="1200" cap="none" spc="0" normalizeH="0" baseline="0">
              <a:ln>
                <a:noFill/>
              </a:ln>
              <a:effectLst/>
              <a:uLnTx/>
              <a:uFillTx/>
              <a:latin typeface="Arial Nova" panose="020B0504020202020204" pitchFamily="34" charset="0"/>
            </a:rPr>
            <a:t>NYSE: </a:t>
          </a:r>
          <a:r>
            <a:rPr kumimoji="0" lang="en-US" sz="700" b="1" i="0" u="none" strike="noStrike" kern="1200" cap="none" spc="0" normalizeH="0" baseline="0">
              <a:ln>
                <a:noFill/>
              </a:ln>
              <a:effectLst/>
              <a:uLnTx/>
              <a:uFillTx/>
              <a:latin typeface="Arial Nova" panose="020B0504020202020204" pitchFamily="34" charset="0"/>
            </a:rPr>
            <a:t>PAGS</a:t>
          </a:r>
          <a:r>
            <a:rPr lang="en-US" sz="700">
              <a:latin typeface="Arial Nova" panose="020B0504020202020204" pitchFamily="34" charset="0"/>
            </a:rPr>
            <a:t>)</a:t>
          </a:r>
          <a:endParaRPr kumimoji="0" lang="en-US" sz="700" i="0" u="none" strike="noStrike" kern="1200" cap="none" spc="0" normalizeH="0" baseline="0">
            <a:ln>
              <a:noFill/>
            </a:ln>
            <a:effectLst/>
            <a:uLnTx/>
            <a:uFillTx/>
            <a:latin typeface="Arial Nova" panose="020B0504020202020204" pitchFamily="34" charset="0"/>
          </a:endParaRPr>
        </a:p>
      </xdr:txBody>
    </xdr:sp>
    <xdr:clientData/>
  </xdr:twoCellAnchor>
  <xdr:twoCellAnchor editAs="oneCell">
    <xdr:from>
      <xdr:col>0</xdr:col>
      <xdr:colOff>146320</xdr:colOff>
      <xdr:row>2</xdr:row>
      <xdr:rowOff>2306</xdr:rowOff>
    </xdr:from>
    <xdr:to>
      <xdr:col>1</xdr:col>
      <xdr:colOff>1466097</xdr:colOff>
      <xdr:row>4</xdr:row>
      <xdr:rowOff>57366</xdr:rowOff>
    </xdr:to>
    <xdr:pic>
      <xdr:nvPicPr>
        <xdr:cNvPr id="5" name="object 2" descr="object 2">
          <a:extLst>
            <a:ext uri="{FF2B5EF4-FFF2-40B4-BE49-F238E27FC236}">
              <a16:creationId xmlns:a16="http://schemas.microsoft.com/office/drawing/2014/main" id="{61E20339-5F42-4CEE-BD80-8AFD8B94A0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0" y="364256"/>
          <a:ext cx="1386452" cy="413835"/>
        </a:xfrm>
        <a:prstGeom prst="rect">
          <a:avLst/>
        </a:prstGeom>
        <a:ln w="12700">
          <a:miter lim="400000"/>
        </a:ln>
      </xdr:spPr>
    </xdr:pic>
    <xdr:clientData/>
  </xdr:twoCellAnchor>
  <xdr:twoCellAnchor>
    <xdr:from>
      <xdr:col>0</xdr:col>
      <xdr:colOff>95249</xdr:colOff>
      <xdr:row>5</xdr:row>
      <xdr:rowOff>30983</xdr:rowOff>
    </xdr:from>
    <xdr:to>
      <xdr:col>3</xdr:col>
      <xdr:colOff>0</xdr:colOff>
      <xdr:row>8</xdr:row>
      <xdr:rowOff>45707</xdr:rowOff>
    </xdr:to>
    <xdr:sp macro="" textlink="">
      <xdr:nvSpPr>
        <xdr:cNvPr id="6" name="3T24">
          <a:extLst>
            <a:ext uri="{FF2B5EF4-FFF2-40B4-BE49-F238E27FC236}">
              <a16:creationId xmlns:a16="http://schemas.microsoft.com/office/drawing/2014/main" id="{55B9FB16-0CAE-4003-80A0-FDBF64699F67}"/>
            </a:ext>
          </a:extLst>
        </xdr:cNvPr>
        <xdr:cNvSpPr txBox="1"/>
      </xdr:nvSpPr>
      <xdr:spPr>
        <a:xfrm>
          <a:off x="95249" y="935858"/>
          <a:ext cx="2009775" cy="557649"/>
        </a:xfrm>
        <a:prstGeom prst="rect">
          <a:avLst/>
        </a:prstGeom>
        <a:ln w="12700">
          <a:miter lim="400000"/>
        </a:ln>
        <a:extLst>
          <a:ext uri="{C572A759-6A51-4108-AA02-DFA0A04FC94B}">
            <ma14:wrappingTextBoxFlag xmlns:lc="http://schemas.openxmlformats.org/drawingml/2006/lockedCanvas" xmlns="" xmlns:m="http://schemas.openxmlformats.org/officeDocument/2006/math" xmlns:a14="http://schemas.microsoft.com/office/drawing/2010/main" xmlns:ma14="http://schemas.microsoft.com/office/mac/drawingml/2011/main" xmlns:p="http://schemas.openxmlformats.org/presentationml/2006/main" xmlns:r="http://schemas.openxmlformats.org/officeDocument/2006/relationships" val="1"/>
          </a:ext>
        </a:extLst>
      </xdr:spPr>
      <xdr:txBody>
        <a:bodyPr wrap="square" lIns="45718" tIns="45718" rIns="45718" bIns="45718" anchor="ctr">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r>
            <a:rPr lang="pt-BR" sz="3000" b="1">
              <a:latin typeface="Arial Nova" panose="020B0504020202020204" pitchFamily="34" charset="0"/>
            </a:rPr>
            <a:t>Q2 20</a:t>
          </a:r>
          <a:r>
            <a:rPr sz="3000" b="1">
              <a:latin typeface="Arial Nova" panose="020B0504020202020204" pitchFamily="34" charset="0"/>
            </a:rPr>
            <a:t>2</a:t>
          </a:r>
          <a:r>
            <a:rPr lang="pt-BR" sz="3000" b="1">
              <a:latin typeface="Arial Nova" panose="020B0504020202020204" pitchFamily="34" charset="0"/>
            </a:rPr>
            <a:t>5</a:t>
          </a:r>
          <a:endParaRPr sz="3000" b="1">
            <a:latin typeface="Arial Nova" panose="020B0504020202020204" pitchFamily="34" charset="0"/>
          </a:endParaRPr>
        </a:p>
      </xdr:txBody>
    </xdr:sp>
    <xdr:clientData/>
  </xdr:twoCellAnchor>
  <xdr:twoCellAnchor>
    <xdr:from>
      <xdr:col>0</xdr:col>
      <xdr:colOff>63500</xdr:colOff>
      <xdr:row>7</xdr:row>
      <xdr:rowOff>133350</xdr:rowOff>
    </xdr:from>
    <xdr:to>
      <xdr:col>3</xdr:col>
      <xdr:colOff>381000</xdr:colOff>
      <xdr:row>9</xdr:row>
      <xdr:rowOff>84019</xdr:rowOff>
    </xdr:to>
    <xdr:sp macro="" textlink="">
      <xdr:nvSpPr>
        <xdr:cNvPr id="7" name="TextBox 23">
          <a:extLst>
            <a:ext uri="{FF2B5EF4-FFF2-40B4-BE49-F238E27FC236}">
              <a16:creationId xmlns:a16="http://schemas.microsoft.com/office/drawing/2014/main" id="{9D1AF280-B7B0-4948-8839-49DF026BA0C0}"/>
            </a:ext>
          </a:extLst>
        </xdr:cNvPr>
        <xdr:cNvSpPr txBox="1"/>
      </xdr:nvSpPr>
      <xdr:spPr>
        <a:xfrm>
          <a:off x="63500" y="1400175"/>
          <a:ext cx="2698750" cy="312619"/>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effectLst/>
              <a:uLnTx/>
              <a:uFillTx/>
              <a:latin typeface="Arial Nova" panose="020B0504020202020204" pitchFamily="34" charset="0"/>
            </a:rPr>
            <a:t>Earnings Presentation</a:t>
          </a:r>
        </a:p>
      </xdr:txBody>
    </xdr:sp>
    <xdr:clientData/>
  </xdr:twoCellAnchor>
  <xdr:twoCellAnchor>
    <xdr:from>
      <xdr:col>0</xdr:col>
      <xdr:colOff>66675</xdr:colOff>
      <xdr:row>9</xdr:row>
      <xdr:rowOff>133350</xdr:rowOff>
    </xdr:from>
    <xdr:to>
      <xdr:col>3</xdr:col>
      <xdr:colOff>0</xdr:colOff>
      <xdr:row>10</xdr:row>
      <xdr:rowOff>153327</xdr:rowOff>
    </xdr:to>
    <xdr:sp macro="" textlink="">
      <xdr:nvSpPr>
        <xdr:cNvPr id="8" name="TextBox 12">
          <a:hlinkClick xmlns:r="http://schemas.openxmlformats.org/officeDocument/2006/relationships" r:id="rId3"/>
          <a:extLst>
            <a:ext uri="{FF2B5EF4-FFF2-40B4-BE49-F238E27FC236}">
              <a16:creationId xmlns:a16="http://schemas.microsoft.com/office/drawing/2014/main" id="{CA72C4D4-755E-4A12-954C-C25ACEF45BB4}"/>
            </a:ext>
          </a:extLst>
        </xdr:cNvPr>
        <xdr:cNvSpPr txBox="1"/>
      </xdr:nvSpPr>
      <xdr:spPr>
        <a:xfrm>
          <a:off x="66675" y="1762125"/>
          <a:ext cx="2585535" cy="20095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algn="l" defTabSz="685800" rtl="0" eaLnBrk="1" fontAlgn="auto" latinLnBrk="0" hangingPunct="1">
            <a:lnSpc>
              <a:spcPct val="100000"/>
            </a:lnSpc>
            <a:spcBef>
              <a:spcPts val="0"/>
            </a:spcBef>
            <a:spcAft>
              <a:spcPts val="0"/>
            </a:spcAft>
            <a:buClrTx/>
            <a:buSzTx/>
            <a:buFontTx/>
            <a:buNone/>
            <a:tabLst/>
            <a:defRPr/>
          </a:pPr>
          <a:r>
            <a:rPr kumimoji="0" lang="en-US" sz="700" i="0" u="none" strike="noStrike" kern="1200" cap="none" spc="0" normalizeH="0" baseline="0">
              <a:ln>
                <a:noFill/>
              </a:ln>
              <a:effectLst/>
              <a:uLnTx/>
              <a:uFillTx/>
              <a:latin typeface="Arial Nova" panose="020B0504020202020204" pitchFamily="34" charset="0"/>
            </a:rPr>
            <a:t>August 13, 2025</a:t>
          </a:r>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vestors.pagbank.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investors.pagbank.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vestors.pagbank.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nvestors.pagban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investors.pagbank.com/" TargetMode="External"/><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 Id="rId6" Type="http://schemas.openxmlformats.org/officeDocument/2006/relationships/printerSettings" Target="../printerSettings/printerSettings5.bin"/><Relationship Id="rId5" Type="http://schemas.openxmlformats.org/officeDocument/2006/relationships/hyperlink" Target="http://investors.pagbank.com/" TargetMode="External"/><Relationship Id="rId4" Type="http://schemas.openxmlformats.org/officeDocument/2006/relationships/hyperlink" Target="http://investors.pagbank.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investors.pagbank.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vestors.pagbank.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vestors.pag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8D2E-2E6E-43B3-8E8B-0CC1EBD04E80}">
  <sheetPr>
    <tabColor rgb="FFFFE72D"/>
  </sheetPr>
  <dimension ref="A1:XET47"/>
  <sheetViews>
    <sheetView showGridLines="0" zoomScale="85" zoomScaleNormal="85" workbookViewId="0">
      <selection activeCell="H1" sqref="H1:H1048576"/>
    </sheetView>
  </sheetViews>
  <sheetFormatPr defaultColWidth="0" defaultRowHeight="14.25" customHeight="1" zeroHeight="1" x14ac:dyDescent="0.35"/>
  <cols>
    <col min="1" max="1" width="1.81640625" customWidth="1"/>
    <col min="2" max="2" width="36.90625" customWidth="1"/>
    <col min="3" max="3" width="5.81640625" customWidth="1"/>
    <col min="4" max="4" width="36.90625" customWidth="1"/>
    <col min="5" max="5" width="5.81640625" customWidth="1"/>
    <col min="6" max="6" width="36.90625" customWidth="1"/>
    <col min="7" max="7" width="3.08984375" customWidth="1"/>
    <col min="8" max="8" width="3.08984375" hidden="1" customWidth="1"/>
    <col min="9" max="16372" width="9.1796875" hidden="1"/>
    <col min="16375" max="16384" width="9.1796875" hidden="1"/>
  </cols>
  <sheetData>
    <row r="1" spans="4:4" ht="14.25" customHeight="1" x14ac:dyDescent="0.35"/>
    <row r="2" spans="4:4" ht="14.25" customHeight="1" x14ac:dyDescent="0.35"/>
    <row r="3" spans="4:4" ht="14.25" customHeight="1" x14ac:dyDescent="0.35"/>
    <row r="4" spans="4:4" ht="14.25" customHeight="1" x14ac:dyDescent="0.35"/>
    <row r="5" spans="4:4" ht="14.25" customHeight="1" x14ac:dyDescent="0.35"/>
    <row r="6" spans="4:4" ht="14.25" customHeight="1" x14ac:dyDescent="0.35"/>
    <row r="7" spans="4:4" ht="14.25" customHeight="1" x14ac:dyDescent="0.35"/>
    <row r="8" spans="4:4" ht="14.25" customHeight="1" x14ac:dyDescent="0.35"/>
    <row r="9" spans="4:4" ht="14.25" customHeight="1" x14ac:dyDescent="0.35"/>
    <row r="10" spans="4:4" ht="14.25" customHeight="1" x14ac:dyDescent="0.35"/>
    <row r="11" spans="4:4" ht="14.25" customHeight="1" x14ac:dyDescent="0.35"/>
    <row r="12" spans="4:4" ht="14.25" customHeight="1" x14ac:dyDescent="0.35"/>
    <row r="13" spans="4:4" ht="14.25" customHeight="1" x14ac:dyDescent="0.35"/>
    <row r="14" spans="4:4" ht="14.25" customHeight="1" x14ac:dyDescent="0.35">
      <c r="D14" s="208"/>
    </row>
    <row r="15" spans="4:4" ht="14.25" customHeight="1" x14ac:dyDescent="0.35"/>
    <row r="16" spans="4:4" ht="14.25" customHeight="1" x14ac:dyDescent="0.35"/>
    <row r="17" ht="14.25" customHeight="1" x14ac:dyDescent="0.35"/>
    <row r="18" ht="14.25" customHeight="1" x14ac:dyDescent="0.35"/>
    <row r="19" ht="14.25" customHeight="1" x14ac:dyDescent="0.35"/>
    <row r="20" ht="14.25" customHeight="1" x14ac:dyDescent="0.35"/>
    <row r="21" ht="14"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7EB-9D59-4776-8370-779D3BAD1D3F}">
  <sheetPr>
    <tabColor rgb="FFFFE72D"/>
  </sheetPr>
  <dimension ref="A1:BK25"/>
  <sheetViews>
    <sheetView showGridLines="0" zoomScaleNormal="100" workbookViewId="0">
      <selection activeCell="J8" sqref="J8"/>
    </sheetView>
  </sheetViews>
  <sheetFormatPr defaultColWidth="0" defaultRowHeight="0" customHeight="1" zeroHeight="1" outlineLevelCol="1" x14ac:dyDescent="0.35"/>
  <cols>
    <col min="1" max="1" width="2.54296875" customWidth="1"/>
    <col min="2" max="2" width="60.54296875" customWidth="1"/>
    <col min="3" max="4" width="11.1796875" bestFit="1" customWidth="1"/>
    <col min="5" max="10" width="11.1796875" customWidth="1"/>
    <col min="11" max="11" width="2.54296875" customWidth="1"/>
    <col min="12" max="12" width="10.54296875" hidden="1" customWidth="1" outlineLevel="1"/>
    <col min="13" max="13" width="10.54296875" hidden="1" customWidth="1" collapsed="1"/>
    <col min="14" max="15" width="10.54296875" hidden="1" customWidth="1"/>
    <col min="16" max="24" width="0" hidden="1" customWidth="1"/>
    <col min="25" max="29" width="10.54296875" hidden="1" customWidth="1"/>
    <col min="30" max="32" width="0" hidden="1" customWidth="1"/>
    <col min="33" max="34" width="10.54296875" hidden="1" customWidth="1"/>
    <col min="35" max="46" width="0" hidden="1" customWidth="1"/>
    <col min="47" max="51" width="10.54296875" hidden="1" customWidth="1"/>
    <col min="52" max="54" width="0" hidden="1" customWidth="1"/>
    <col min="55" max="56" width="10.54296875" hidden="1" customWidth="1"/>
    <col min="57" max="59" width="0" hidden="1" customWidth="1"/>
    <col min="60" max="60" width="10.54296875" hidden="1" customWidth="1"/>
    <col min="61" max="63" width="0" hidden="1" customWidth="1"/>
    <col min="64" max="16384" width="10.54296875" hidden="1"/>
  </cols>
  <sheetData>
    <row r="1" spans="2:12" ht="14.5" customHeight="1" x14ac:dyDescent="0.35">
      <c r="C1" s="7"/>
      <c r="D1" s="7"/>
      <c r="E1" s="7"/>
      <c r="F1" s="7"/>
      <c r="G1" s="7"/>
      <c r="H1" s="7"/>
      <c r="I1" s="7"/>
      <c r="J1" s="7"/>
    </row>
    <row r="2" spans="2:12" ht="14.5" customHeight="1" x14ac:dyDescent="0.35">
      <c r="B2" s="13" t="s">
        <v>218</v>
      </c>
      <c r="C2" s="25"/>
      <c r="D2" s="25"/>
      <c r="E2" s="25"/>
      <c r="F2" s="25"/>
      <c r="G2" s="25"/>
      <c r="H2" s="25"/>
      <c r="I2" s="25"/>
      <c r="J2" s="25"/>
    </row>
    <row r="3" spans="2:12" ht="14.5" customHeight="1" x14ac:dyDescent="0.35">
      <c r="B3" s="15" t="s">
        <v>1</v>
      </c>
      <c r="C3" s="26"/>
      <c r="D3" s="26"/>
      <c r="E3" s="26"/>
      <c r="F3" s="26"/>
      <c r="G3" s="26"/>
      <c r="H3" s="26"/>
      <c r="I3" s="26"/>
      <c r="J3" s="26"/>
    </row>
    <row r="4" spans="2:12" ht="14.5" customHeight="1" x14ac:dyDescent="0.35">
      <c r="B4" s="25"/>
      <c r="C4" s="25"/>
      <c r="D4" s="25"/>
      <c r="E4" s="25"/>
      <c r="F4" s="25"/>
      <c r="G4" s="25"/>
      <c r="H4" s="25"/>
      <c r="I4" s="25"/>
      <c r="J4" s="25"/>
    </row>
    <row r="5" spans="2:12" ht="14.5" customHeight="1" thickBot="1" x14ac:dyDescent="0.4">
      <c r="B5" s="192" t="s">
        <v>219</v>
      </c>
      <c r="C5" s="189" t="s">
        <v>17</v>
      </c>
      <c r="D5" s="189" t="s">
        <v>18</v>
      </c>
      <c r="E5" s="189" t="s">
        <v>19</v>
      </c>
      <c r="F5" s="189" t="s">
        <v>20</v>
      </c>
      <c r="G5" s="189" t="s">
        <v>21</v>
      </c>
      <c r="H5" s="189" t="s">
        <v>22</v>
      </c>
      <c r="I5" s="189" t="s">
        <v>457</v>
      </c>
      <c r="J5" s="189" t="s">
        <v>493</v>
      </c>
      <c r="L5" s="4">
        <v>2020</v>
      </c>
    </row>
    <row r="6" spans="2:12" ht="14.5" customHeight="1" x14ac:dyDescent="0.35">
      <c r="B6" s="24" t="s">
        <v>220</v>
      </c>
      <c r="C6" s="18" t="s">
        <v>221</v>
      </c>
      <c r="D6" s="18" t="s">
        <v>221</v>
      </c>
      <c r="E6" s="18" t="s">
        <v>221</v>
      </c>
      <c r="F6" s="18" t="s">
        <v>221</v>
      </c>
      <c r="G6" s="18" t="s">
        <v>221</v>
      </c>
      <c r="H6" s="18" t="s">
        <v>221</v>
      </c>
      <c r="I6" s="18" t="s">
        <v>221</v>
      </c>
      <c r="J6" s="18" t="s">
        <v>221</v>
      </c>
      <c r="L6" s="6">
        <v>564.23473767795792</v>
      </c>
    </row>
    <row r="7" spans="2:12" ht="14.5" customHeight="1" thickBot="1" x14ac:dyDescent="0.4">
      <c r="B7" s="107" t="s">
        <v>222</v>
      </c>
      <c r="C7" s="22" t="s">
        <v>28</v>
      </c>
      <c r="D7" s="22" t="s">
        <v>28</v>
      </c>
      <c r="E7" s="22" t="s">
        <v>28</v>
      </c>
      <c r="F7" s="22" t="s">
        <v>223</v>
      </c>
      <c r="G7" s="22" t="s">
        <v>223</v>
      </c>
      <c r="H7" s="22" t="s">
        <v>223</v>
      </c>
      <c r="I7" s="22" t="s">
        <v>223</v>
      </c>
      <c r="J7" s="22" t="s">
        <v>223</v>
      </c>
    </row>
    <row r="8" spans="2:12" ht="14.5" customHeight="1" x14ac:dyDescent="0.35"/>
    <row r="9" spans="2:12" ht="14.5" hidden="1" customHeight="1" x14ac:dyDescent="0.35"/>
    <row r="10" spans="2:12" ht="14.5" hidden="1" customHeight="1" x14ac:dyDescent="0.35"/>
    <row r="11" spans="2:12" ht="14.5" hidden="1" customHeight="1" x14ac:dyDescent="0.35"/>
    <row r="12" spans="2:12" ht="14.5" hidden="1" customHeight="1" x14ac:dyDescent="0.35"/>
    <row r="13" spans="2:12" ht="14.5" hidden="1" customHeight="1" x14ac:dyDescent="0.35"/>
    <row r="14" spans="2:12" ht="14.5" hidden="1" customHeight="1" x14ac:dyDescent="0.35"/>
    <row r="15" spans="2:12" ht="14.5" hidden="1" customHeight="1" x14ac:dyDescent="0.35"/>
    <row r="16" spans="2:12" ht="14.5" hidden="1" customHeight="1" x14ac:dyDescent="0.35"/>
    <row r="17" spans="37:37" ht="14.5" hidden="1" customHeight="1" x14ac:dyDescent="0.35"/>
    <row r="18" spans="37:37" ht="14.5" hidden="1" customHeight="1" x14ac:dyDescent="0.35"/>
    <row r="19" spans="37:37" ht="14.5" hidden="1" customHeight="1" x14ac:dyDescent="0.35"/>
    <row r="20" spans="37:37" ht="14.5" hidden="1" customHeight="1" x14ac:dyDescent="0.35"/>
    <row r="21" spans="37:37" ht="14.5" hidden="1" customHeight="1" x14ac:dyDescent="0.35"/>
    <row r="22" spans="37:37" ht="14.5" hidden="1" customHeight="1" x14ac:dyDescent="0.35"/>
    <row r="23" spans="37:37" ht="14.5" hidden="1" customHeight="1" x14ac:dyDescent="0.35"/>
    <row r="24" spans="37:37" ht="14.5" hidden="1" customHeight="1" x14ac:dyDescent="0.35"/>
    <row r="25" spans="37:37" ht="14.5" hidden="1" customHeight="1" x14ac:dyDescent="0.35">
      <c r="AK25">
        <v>-221.27221609</v>
      </c>
    </row>
  </sheetData>
  <hyperlinks>
    <hyperlink ref="B3" r:id="rId1" xr:uid="{6C4118A0-35DF-4C6A-9520-BD5E572E7374}"/>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FD20B-FD72-48D3-A21E-D6CB4F9505DB}">
  <sheetPr>
    <tabColor rgb="FFFFE72D"/>
  </sheetPr>
  <dimension ref="A1:BG68"/>
  <sheetViews>
    <sheetView showGridLines="0" workbookViewId="0">
      <selection activeCell="C21" sqref="A1:XFD1048576"/>
    </sheetView>
  </sheetViews>
  <sheetFormatPr defaultColWidth="0" defaultRowHeight="10" zeroHeight="1" x14ac:dyDescent="0.2"/>
  <cols>
    <col min="1" max="1" width="2.54296875" style="9" customWidth="1"/>
    <col min="2" max="2" width="60.54296875" style="9" customWidth="1"/>
    <col min="3" max="5" width="11.7265625" style="9" customWidth="1"/>
    <col min="6" max="6" width="2.7265625" style="9" customWidth="1"/>
    <col min="7" max="9" width="10.54296875" style="9" hidden="1" customWidth="1"/>
    <col min="10" max="18" width="0" style="9" hidden="1" customWidth="1"/>
    <col min="19" max="23" width="10.54296875" style="9" hidden="1" customWidth="1"/>
    <col min="24" max="26" width="0" style="9" hidden="1" customWidth="1"/>
    <col min="27" max="28" width="10.54296875" style="9" hidden="1" customWidth="1"/>
    <col min="29" max="36" width="0" style="9" hidden="1" customWidth="1"/>
    <col min="37" max="41" width="10.54296875" style="9" hidden="1" customWidth="1"/>
    <col min="42" max="44" width="0" style="9" hidden="1" customWidth="1"/>
    <col min="45" max="46" width="10.54296875" style="9" hidden="1" customWidth="1"/>
    <col min="47" max="51" width="0" style="9" hidden="1" customWidth="1"/>
    <col min="52" max="53" width="10.54296875" style="9" hidden="1" customWidth="1"/>
    <col min="54" max="59" width="0" style="9" hidden="1" customWidth="1"/>
    <col min="60" max="16384" width="10.54296875" style="9" hidden="1"/>
  </cols>
  <sheetData>
    <row r="1" spans="1:6" ht="14.25" customHeight="1" x14ac:dyDescent="0.2">
      <c r="C1" s="10"/>
      <c r="D1" s="10"/>
      <c r="E1" s="10"/>
      <c r="F1" s="10"/>
    </row>
    <row r="2" spans="1:6" ht="14.25" customHeight="1" x14ac:dyDescent="0.25">
      <c r="B2" s="13" t="s">
        <v>224</v>
      </c>
      <c r="C2" s="14"/>
      <c r="D2" s="14"/>
      <c r="E2" s="14"/>
      <c r="F2" s="14"/>
    </row>
    <row r="3" spans="1:6" ht="14.25" customHeight="1" x14ac:dyDescent="0.25">
      <c r="B3" s="15" t="s">
        <v>225</v>
      </c>
      <c r="C3" s="16"/>
      <c r="D3" s="16"/>
      <c r="E3" s="16"/>
      <c r="F3" s="16"/>
    </row>
    <row r="4" spans="1:6" ht="10.5" x14ac:dyDescent="0.25">
      <c r="B4" s="14"/>
      <c r="C4" s="14"/>
      <c r="D4" s="14"/>
      <c r="E4" s="14"/>
      <c r="F4" s="14"/>
    </row>
    <row r="5" spans="1:6" ht="14.25" customHeight="1" thickBot="1" x14ac:dyDescent="0.25">
      <c r="B5" s="191" t="s">
        <v>226</v>
      </c>
      <c r="C5" s="189">
        <v>2021</v>
      </c>
      <c r="D5" s="189">
        <v>2022</v>
      </c>
      <c r="E5" s="189">
        <v>2023</v>
      </c>
      <c r="F5" s="113"/>
    </row>
    <row r="6" spans="1:6" ht="14.25" customHeight="1" x14ac:dyDescent="0.2">
      <c r="B6" s="80" t="s">
        <v>227</v>
      </c>
      <c r="C6" s="111"/>
      <c r="D6" s="111"/>
      <c r="E6" s="111"/>
      <c r="F6" s="111"/>
    </row>
    <row r="7" spans="1:6" ht="14.25" customHeight="1" x14ac:dyDescent="0.2">
      <c r="B7" s="17" t="s">
        <v>228</v>
      </c>
      <c r="C7" s="114">
        <v>0.20599999999999999</v>
      </c>
      <c r="D7" s="114">
        <v>0.88800000000000001</v>
      </c>
      <c r="E7" s="114">
        <v>1.02</v>
      </c>
      <c r="F7" s="114"/>
    </row>
    <row r="8" spans="1:6" ht="14.25" customHeight="1" x14ac:dyDescent="0.2">
      <c r="B8" s="17" t="s">
        <v>229</v>
      </c>
      <c r="C8" s="114">
        <v>303.98500000000001</v>
      </c>
      <c r="D8" s="114">
        <v>112.19799999999999</v>
      </c>
      <c r="E8" s="114" t="s">
        <v>230</v>
      </c>
      <c r="F8" s="114"/>
    </row>
    <row r="9" spans="1:6" ht="14.25" customHeight="1" x14ac:dyDescent="0.2">
      <c r="B9" s="17" t="s">
        <v>231</v>
      </c>
      <c r="C9" s="114">
        <v>3.0640000000000001</v>
      </c>
      <c r="D9" s="114">
        <v>215.739</v>
      </c>
      <c r="E9" s="114">
        <v>84.400999999999996</v>
      </c>
      <c r="F9" s="114"/>
    </row>
    <row r="10" spans="1:6" ht="14.25" customHeight="1" x14ac:dyDescent="0.2">
      <c r="B10" s="115" t="s">
        <v>232</v>
      </c>
      <c r="C10" s="116">
        <v>307.255</v>
      </c>
      <c r="D10" s="116">
        <v>328.82499999999999</v>
      </c>
      <c r="E10" s="116">
        <v>85.421000000000006</v>
      </c>
      <c r="F10" s="117"/>
    </row>
    <row r="11" spans="1:6" ht="14.25" customHeight="1" x14ac:dyDescent="0.2">
      <c r="B11" s="80" t="s">
        <v>233</v>
      </c>
      <c r="C11" s="114"/>
      <c r="D11" s="114"/>
      <c r="E11" s="114"/>
      <c r="F11" s="114"/>
    </row>
    <row r="12" spans="1:6" ht="14.25" customHeight="1" x14ac:dyDescent="0.2">
      <c r="B12" s="17" t="s">
        <v>234</v>
      </c>
      <c r="C12" s="114">
        <v>470.14600000000002</v>
      </c>
      <c r="D12" s="114">
        <v>202.73500000000001</v>
      </c>
      <c r="E12" s="114">
        <v>94.21</v>
      </c>
      <c r="F12" s="114"/>
    </row>
    <row r="13" spans="1:6" ht="14.25" customHeight="1" x14ac:dyDescent="0.2">
      <c r="B13" s="17" t="s">
        <v>235</v>
      </c>
      <c r="C13" s="114" t="s">
        <v>230</v>
      </c>
      <c r="D13" s="114">
        <v>130.15299999999999</v>
      </c>
      <c r="E13" s="114">
        <v>21.542000000000002</v>
      </c>
      <c r="F13" s="114"/>
    </row>
    <row r="14" spans="1:6" s="118" customFormat="1" ht="14.25" customHeight="1" x14ac:dyDescent="0.2">
      <c r="A14" s="9"/>
      <c r="B14" s="115" t="s">
        <v>232</v>
      </c>
      <c r="C14" s="116">
        <v>470.14600000000002</v>
      </c>
      <c r="D14" s="116">
        <v>130.15299999999999</v>
      </c>
      <c r="E14" s="116">
        <v>21.542000000000002</v>
      </c>
      <c r="F14" s="117"/>
    </row>
    <row r="15" spans="1:6" ht="14.25" customHeight="1" x14ac:dyDescent="0.2">
      <c r="B15" s="80" t="s">
        <v>236</v>
      </c>
      <c r="C15" s="114"/>
      <c r="D15" s="114"/>
      <c r="E15" s="114"/>
      <c r="F15" s="114"/>
    </row>
    <row r="16" spans="1:6" ht="14.25" customHeight="1" x14ac:dyDescent="0.2">
      <c r="B16" s="17" t="s">
        <v>237</v>
      </c>
      <c r="C16" s="114">
        <v>2194.009</v>
      </c>
      <c r="D16" s="114">
        <v>1926.992</v>
      </c>
      <c r="E16" s="114">
        <v>1492.479</v>
      </c>
      <c r="F16" s="114"/>
    </row>
    <row r="17" spans="2:6" ht="14.25" customHeight="1" x14ac:dyDescent="0.2">
      <c r="B17" s="17" t="s">
        <v>238</v>
      </c>
      <c r="C17" s="114" t="s">
        <v>230</v>
      </c>
      <c r="D17" s="114">
        <v>81.817999999999998</v>
      </c>
      <c r="E17" s="114">
        <v>53.451999999999998</v>
      </c>
      <c r="F17" s="114"/>
    </row>
    <row r="18" spans="2:6" ht="14.25" customHeight="1" x14ac:dyDescent="0.2">
      <c r="B18" s="17" t="s">
        <v>239</v>
      </c>
      <c r="C18" s="114">
        <v>822.98299999999995</v>
      </c>
      <c r="D18" s="114">
        <v>4920.3100000000004</v>
      </c>
      <c r="E18" s="114">
        <v>6334.6930000000002</v>
      </c>
      <c r="F18" s="114"/>
    </row>
    <row r="19" spans="2:6" ht="14.25" customHeight="1" x14ac:dyDescent="0.2">
      <c r="B19" s="17" t="s">
        <v>240</v>
      </c>
      <c r="C19" s="114">
        <v>1430.0630000000001</v>
      </c>
      <c r="D19" s="114">
        <v>1591.395</v>
      </c>
      <c r="E19" s="114">
        <v>1799.729</v>
      </c>
      <c r="F19" s="114"/>
    </row>
    <row r="20" spans="2:6" ht="14.25" customHeight="1" x14ac:dyDescent="0.2">
      <c r="B20" s="115" t="s">
        <v>232</v>
      </c>
      <c r="C20" s="116">
        <v>4447.0550000000003</v>
      </c>
      <c r="D20" s="116">
        <v>8520.5149999999994</v>
      </c>
      <c r="E20" s="116">
        <v>9680.3529999999992</v>
      </c>
      <c r="F20" s="117"/>
    </row>
    <row r="21" spans="2:6" ht="14.25" customHeight="1" thickBot="1" x14ac:dyDescent="0.25">
      <c r="B21" s="119" t="s">
        <v>117</v>
      </c>
      <c r="C21" s="120" t="s">
        <v>241</v>
      </c>
      <c r="D21" s="121">
        <v>8979.4930000000004</v>
      </c>
      <c r="E21" s="121">
        <v>9787.3160000000007</v>
      </c>
      <c r="F21" s="117"/>
    </row>
    <row r="22" spans="2:6" ht="14.25" customHeight="1" x14ac:dyDescent="0.2">
      <c r="B22" s="122" t="s">
        <v>242</v>
      </c>
      <c r="C22" s="123">
        <v>0.77400000000000002</v>
      </c>
      <c r="D22" s="123">
        <v>1.2430000000000001</v>
      </c>
      <c r="E22" s="123">
        <v>1.3460000000000001</v>
      </c>
      <c r="F22" s="124"/>
    </row>
    <row r="23" spans="2:6" ht="14.25" customHeight="1" x14ac:dyDescent="0.2">
      <c r="B23" s="125" t="s">
        <v>243</v>
      </c>
      <c r="C23" s="126">
        <v>0.5</v>
      </c>
      <c r="D23" s="126">
        <v>0.59</v>
      </c>
      <c r="E23" s="126">
        <v>0.62</v>
      </c>
      <c r="F23" s="124"/>
    </row>
    <row r="24" spans="2:6" ht="14.25" customHeight="1" x14ac:dyDescent="0.2">
      <c r="B24" s="125"/>
      <c r="C24" s="126"/>
      <c r="D24" s="126"/>
      <c r="E24" s="126"/>
      <c r="F24" s="124"/>
    </row>
    <row r="25" spans="2:6" ht="14.25" customHeight="1" x14ac:dyDescent="0.2">
      <c r="B25" s="125" t="s">
        <v>244</v>
      </c>
      <c r="C25" s="126"/>
      <c r="D25" s="126"/>
      <c r="E25" s="126"/>
      <c r="F25" s="124"/>
    </row>
    <row r="26" spans="2:6" ht="14.25" customHeight="1" x14ac:dyDescent="0.2">
      <c r="B26" s="17" t="s">
        <v>227</v>
      </c>
      <c r="C26" s="114">
        <v>74.527000000000001</v>
      </c>
      <c r="D26" s="114">
        <v>27.542000000000002</v>
      </c>
      <c r="E26" s="114">
        <v>0.12</v>
      </c>
      <c r="F26" s="114"/>
    </row>
    <row r="27" spans="2:6" ht="14.25" customHeight="1" x14ac:dyDescent="0.2">
      <c r="B27" s="17" t="s">
        <v>236</v>
      </c>
      <c r="C27" s="114">
        <v>1166.029</v>
      </c>
      <c r="D27" s="114">
        <v>1833.2090000000001</v>
      </c>
      <c r="E27" s="114">
        <v>4951.6289999999999</v>
      </c>
      <c r="F27" s="114"/>
    </row>
    <row r="28" spans="2:6" ht="14.25" customHeight="1" thickBot="1" x14ac:dyDescent="0.25">
      <c r="B28" s="127" t="s">
        <v>117</v>
      </c>
      <c r="C28" s="128">
        <v>1240.556</v>
      </c>
      <c r="D28" s="129">
        <v>1860.751</v>
      </c>
      <c r="E28" s="129">
        <v>4951.7489999999998</v>
      </c>
      <c r="F28" s="130"/>
    </row>
    <row r="29" spans="2:6" ht="14.25" customHeight="1" thickBot="1" x14ac:dyDescent="0.25">
      <c r="B29" s="127" t="s">
        <v>245</v>
      </c>
      <c r="C29" s="131">
        <v>1</v>
      </c>
      <c r="D29" s="131">
        <v>1</v>
      </c>
      <c r="E29" s="131">
        <v>1</v>
      </c>
      <c r="F29" s="114"/>
    </row>
    <row r="30" spans="2:6" ht="14.25" customHeight="1" thickBot="1" x14ac:dyDescent="0.25">
      <c r="B30" s="127" t="s">
        <v>246</v>
      </c>
      <c r="C30" s="131" t="s">
        <v>247</v>
      </c>
      <c r="D30" s="131" t="s">
        <v>247</v>
      </c>
      <c r="E30" s="131" t="s">
        <v>247</v>
      </c>
      <c r="F30" s="114"/>
    </row>
    <row r="31" spans="2:6" ht="14.25" customHeight="1" x14ac:dyDescent="0.2">
      <c r="B31" s="125"/>
      <c r="C31" s="132"/>
      <c r="D31" s="132"/>
      <c r="E31" s="132"/>
      <c r="F31" s="114"/>
    </row>
    <row r="32" spans="2:6" ht="14.25" customHeight="1" x14ac:dyDescent="0.2">
      <c r="B32" s="125"/>
      <c r="C32" s="132"/>
      <c r="D32" s="132"/>
      <c r="E32" s="132"/>
      <c r="F32" s="114"/>
    </row>
    <row r="33" spans="1:6" ht="14.25" customHeight="1" thickBot="1" x14ac:dyDescent="0.25">
      <c r="B33" s="191" t="s">
        <v>248</v>
      </c>
      <c r="C33" s="189">
        <v>2021</v>
      </c>
      <c r="D33" s="189">
        <v>2022</v>
      </c>
      <c r="E33" s="189">
        <v>2023</v>
      </c>
      <c r="F33" s="114"/>
    </row>
    <row r="34" spans="1:6" ht="14.25" customHeight="1" x14ac:dyDescent="0.2">
      <c r="B34" s="17" t="s">
        <v>249</v>
      </c>
      <c r="C34" s="114" t="s">
        <v>230</v>
      </c>
      <c r="D34" s="111">
        <v>1704</v>
      </c>
      <c r="E34" s="111">
        <v>1887</v>
      </c>
      <c r="F34" s="114"/>
    </row>
    <row r="35" spans="1:6" ht="14.25" customHeight="1" x14ac:dyDescent="0.2">
      <c r="B35" s="17" t="s">
        <v>250</v>
      </c>
      <c r="C35" s="111">
        <v>1649.78</v>
      </c>
      <c r="D35" s="111">
        <v>681.15</v>
      </c>
      <c r="E35" s="111">
        <v>559.4</v>
      </c>
      <c r="F35" s="114"/>
    </row>
    <row r="36" spans="1:6" ht="14.25" customHeight="1" x14ac:dyDescent="0.2">
      <c r="B36" s="17" t="s">
        <v>251</v>
      </c>
      <c r="C36" s="134">
        <v>0</v>
      </c>
      <c r="D36" s="134">
        <v>0.71</v>
      </c>
      <c r="E36" s="134">
        <v>0.77</v>
      </c>
      <c r="F36" s="135"/>
    </row>
    <row r="37" spans="1:6" ht="14.25" customHeight="1" thickBot="1" x14ac:dyDescent="0.25">
      <c r="B37" s="127" t="s">
        <v>117</v>
      </c>
      <c r="C37" s="136">
        <v>1649.78</v>
      </c>
      <c r="D37" s="136">
        <v>2385.15</v>
      </c>
      <c r="E37" s="136">
        <v>2446.4</v>
      </c>
      <c r="F37" s="114"/>
    </row>
    <row r="38" spans="1:6" s="122" customFormat="1" ht="14.25" customHeight="1" x14ac:dyDescent="0.35">
      <c r="A38" s="125"/>
      <c r="B38" s="122" t="s">
        <v>242</v>
      </c>
      <c r="C38" s="137">
        <v>0.24399999999999999</v>
      </c>
      <c r="D38" s="137">
        <v>0.33</v>
      </c>
      <c r="E38" s="137">
        <v>0.33600000000000002</v>
      </c>
    </row>
    <row r="39" spans="1:6" s="125" customFormat="1" ht="14.25" customHeight="1" x14ac:dyDescent="0.35">
      <c r="B39" s="125" t="s">
        <v>243</v>
      </c>
      <c r="C39" s="138">
        <v>0.158</v>
      </c>
      <c r="D39" s="138">
        <v>0.156</v>
      </c>
      <c r="E39" s="138">
        <v>0.156</v>
      </c>
    </row>
    <row r="40" spans="1:6" s="125" customFormat="1" ht="14.25" customHeight="1" x14ac:dyDescent="0.35"/>
    <row r="41" spans="1:6" ht="14.25" customHeight="1" thickBot="1" x14ac:dyDescent="0.25">
      <c r="B41" s="191" t="s">
        <v>252</v>
      </c>
      <c r="C41" s="189">
        <v>2021</v>
      </c>
      <c r="D41" s="189">
        <v>2022</v>
      </c>
      <c r="E41" s="189">
        <v>2023</v>
      </c>
      <c r="F41" s="114"/>
    </row>
    <row r="42" spans="1:6" ht="14.25" customHeight="1" x14ac:dyDescent="0.2">
      <c r="B42" s="17" t="s">
        <v>253</v>
      </c>
      <c r="C42" s="18">
        <v>4578</v>
      </c>
      <c r="D42" s="18">
        <v>11019</v>
      </c>
      <c r="E42" s="18">
        <v>16354</v>
      </c>
      <c r="F42" s="114"/>
    </row>
    <row r="43" spans="1:6" ht="14.25" customHeight="1" x14ac:dyDescent="0.2">
      <c r="B43" s="17" t="s">
        <v>254</v>
      </c>
      <c r="C43" s="18">
        <v>14600</v>
      </c>
      <c r="D43" s="18">
        <v>22800</v>
      </c>
      <c r="E43" s="18">
        <v>26050</v>
      </c>
      <c r="F43" s="114"/>
    </row>
    <row r="44" spans="1:6" ht="14.25" customHeight="1" x14ac:dyDescent="0.2">
      <c r="B44" s="17" t="s">
        <v>255</v>
      </c>
      <c r="C44" s="18">
        <v>0</v>
      </c>
      <c r="D44" s="18">
        <v>590</v>
      </c>
      <c r="E44" s="18">
        <v>3570</v>
      </c>
      <c r="F44" s="114"/>
    </row>
    <row r="45" spans="1:6" ht="14.25" customHeight="1" x14ac:dyDescent="0.2">
      <c r="B45" s="17" t="s">
        <v>256</v>
      </c>
      <c r="C45" s="134">
        <v>0.24</v>
      </c>
      <c r="D45" s="134">
        <v>0.32</v>
      </c>
      <c r="E45" s="134">
        <v>0.35</v>
      </c>
      <c r="F45" s="114"/>
    </row>
    <row r="46" spans="1:6" ht="14.25" customHeight="1" thickBot="1" x14ac:dyDescent="0.25">
      <c r="B46" s="127" t="s">
        <v>117</v>
      </c>
      <c r="C46" s="139">
        <v>19178</v>
      </c>
      <c r="D46" s="139">
        <v>34409</v>
      </c>
      <c r="E46" s="139">
        <v>45974</v>
      </c>
      <c r="F46" s="114"/>
    </row>
    <row r="47" spans="1:6" ht="14.25" customHeight="1" x14ac:dyDescent="0.2">
      <c r="B47" s="122" t="s">
        <v>242</v>
      </c>
      <c r="C47" s="137">
        <v>2.8410000000000002</v>
      </c>
      <c r="D47" s="137">
        <v>4.7640000000000002</v>
      </c>
      <c r="E47" s="137">
        <v>6.3209999999999997</v>
      </c>
      <c r="F47" s="114"/>
    </row>
    <row r="48" spans="1:6" ht="14.25" customHeight="1" x14ac:dyDescent="0.2">
      <c r="B48" s="125" t="s">
        <v>243</v>
      </c>
      <c r="C48" s="138">
        <v>1.835</v>
      </c>
      <c r="D48" s="138">
        <v>2.2440000000000002</v>
      </c>
      <c r="E48" s="138">
        <v>2.9319999999999999</v>
      </c>
      <c r="F48" s="114"/>
    </row>
    <row r="49" spans="2:6" ht="14.25" customHeight="1" x14ac:dyDescent="0.2">
      <c r="B49" s="125"/>
      <c r="C49" s="140"/>
      <c r="D49" s="140"/>
      <c r="E49" s="140"/>
      <c r="F49" s="114"/>
    </row>
    <row r="50" spans="2:6" ht="14.25" customHeight="1" x14ac:dyDescent="0.2">
      <c r="B50" s="133" t="s">
        <v>257</v>
      </c>
      <c r="C50" s="114"/>
      <c r="D50" s="114"/>
      <c r="E50" s="114"/>
      <c r="F50" s="114"/>
    </row>
    <row r="51" spans="2:6" ht="14.25" customHeight="1" x14ac:dyDescent="0.2">
      <c r="B51" s="133" t="s">
        <v>258</v>
      </c>
      <c r="C51" s="111"/>
      <c r="D51" s="111"/>
      <c r="E51" s="111"/>
      <c r="F51" s="111"/>
    </row>
    <row r="52" spans="2:6" ht="14.25" customHeight="1" x14ac:dyDescent="0.2">
      <c r="B52" s="17"/>
      <c r="C52" s="111"/>
      <c r="D52" s="111"/>
      <c r="E52" s="111"/>
      <c r="F52" s="111"/>
    </row>
    <row r="53" spans="2:6" ht="14.25" customHeight="1" thickBot="1" x14ac:dyDescent="0.25">
      <c r="B53" s="191" t="s">
        <v>259</v>
      </c>
      <c r="C53" s="189">
        <v>2021</v>
      </c>
      <c r="D53" s="189">
        <v>2022</v>
      </c>
      <c r="E53" s="189">
        <v>2023</v>
      </c>
      <c r="F53" s="114"/>
    </row>
    <row r="62" spans="2:6" ht="14.25" customHeight="1" x14ac:dyDescent="0.2">
      <c r="B62" s="141" t="s">
        <v>260</v>
      </c>
      <c r="C62" s="142">
        <v>5459</v>
      </c>
      <c r="D62" s="142">
        <v>7750</v>
      </c>
      <c r="E62" s="142">
        <v>6639</v>
      </c>
      <c r="F62" s="124"/>
    </row>
    <row r="63" spans="2:6" ht="14.25" customHeight="1" thickBot="1" x14ac:dyDescent="0.25">
      <c r="B63" s="127" t="s">
        <v>117</v>
      </c>
      <c r="C63" s="139">
        <v>5459</v>
      </c>
      <c r="D63" s="139">
        <v>7750</v>
      </c>
      <c r="E63" s="139">
        <v>6639</v>
      </c>
      <c r="F63" s="124"/>
    </row>
    <row r="64" spans="2:6" ht="14.25" customHeight="1" x14ac:dyDescent="0.2">
      <c r="B64" s="122" t="s">
        <v>242</v>
      </c>
      <c r="C64" s="137">
        <v>0.80900000000000005</v>
      </c>
      <c r="D64" s="137">
        <v>1.073</v>
      </c>
      <c r="E64" s="137">
        <v>0.91300000000000003</v>
      </c>
      <c r="F64" s="124"/>
    </row>
    <row r="65" spans="2:6" ht="14.25" customHeight="1" x14ac:dyDescent="0.2">
      <c r="B65" s="125" t="s">
        <v>243</v>
      </c>
      <c r="C65" s="138">
        <v>0.52200000000000002</v>
      </c>
      <c r="D65" s="138">
        <v>0.505</v>
      </c>
      <c r="E65" s="138">
        <v>0.42299999999999999</v>
      </c>
      <c r="F65" s="124"/>
    </row>
    <row r="66" spans="2:6" ht="14.25" customHeight="1" x14ac:dyDescent="0.2">
      <c r="B66" s="125"/>
      <c r="C66" s="126"/>
      <c r="D66" s="142"/>
      <c r="E66" s="142"/>
      <c r="F66" s="124"/>
    </row>
    <row r="67" spans="2:6" ht="14.25" customHeight="1" x14ac:dyDescent="0.25">
      <c r="B67" s="80"/>
      <c r="C67" s="16"/>
      <c r="D67" s="16"/>
      <c r="E67" s="16"/>
      <c r="F67" s="16"/>
    </row>
    <row r="68" spans="2:6" ht="14.25" hidden="1" customHeight="1" x14ac:dyDescent="0.2">
      <c r="B68" s="125"/>
      <c r="C68" s="126"/>
      <c r="D68" s="126"/>
      <c r="E68" s="126"/>
      <c r="F68" s="124"/>
    </row>
  </sheetData>
  <hyperlinks>
    <hyperlink ref="B3" r:id="rId1" xr:uid="{9FE96974-97EF-4A97-BD6B-0CAA632B3C50}"/>
  </hyperlinks>
  <pageMargins left="0.511811024" right="0.511811024" top="0.78740157499999996" bottom="0.78740157499999996" header="0.31496062000000002" footer="0.31496062000000002"/>
  <ignoredErrors>
    <ignoredError sqref="A1:XFD104857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F110-41E4-46FC-A153-8938E55F9CC6}">
  <sheetPr>
    <tabColor rgb="FFFFE72D"/>
  </sheetPr>
  <dimension ref="A1:BG233"/>
  <sheetViews>
    <sheetView showGridLines="0" workbookViewId="0">
      <selection activeCell="E4" sqref="E4"/>
    </sheetView>
  </sheetViews>
  <sheetFormatPr defaultColWidth="0" defaultRowHeight="10.5" zeroHeight="1" x14ac:dyDescent="0.25"/>
  <cols>
    <col min="1" max="1" width="2.54296875" style="14" customWidth="1"/>
    <col min="2" max="2" width="76.26953125" style="14" customWidth="1"/>
    <col min="3" max="5" width="11.7265625" style="14" customWidth="1"/>
    <col min="6" max="6" width="2.7265625" style="14" customWidth="1"/>
    <col min="7" max="9" width="10.54296875" style="14" hidden="1" customWidth="1"/>
    <col min="10" max="18" width="0" style="14" hidden="1" customWidth="1"/>
    <col min="19" max="23" width="10.54296875" style="14" hidden="1" customWidth="1"/>
    <col min="24" max="26" width="0" style="14" hidden="1" customWidth="1"/>
    <col min="27" max="28" width="10.54296875" style="14" hidden="1" customWidth="1"/>
    <col min="29" max="36" width="0" style="14" hidden="1" customWidth="1"/>
    <col min="37" max="41" width="10.54296875" style="14" hidden="1" customWidth="1"/>
    <col min="42" max="44" width="0" style="14" hidden="1" customWidth="1"/>
    <col min="45" max="46" width="10.54296875" style="14" hidden="1" customWidth="1"/>
    <col min="47" max="51" width="0" style="14" hidden="1" customWidth="1"/>
    <col min="52" max="53" width="10.54296875" style="14" hidden="1" customWidth="1"/>
    <col min="54" max="59" width="0" style="14" hidden="1" customWidth="1"/>
    <col min="60" max="16384" width="10.54296875" style="14" hidden="1"/>
  </cols>
  <sheetData>
    <row r="1" spans="2:6" ht="14.25" customHeight="1" x14ac:dyDescent="0.25">
      <c r="C1" s="143"/>
      <c r="D1" s="143"/>
      <c r="E1" s="143"/>
      <c r="F1" s="143"/>
    </row>
    <row r="2" spans="2:6" ht="14.25" customHeight="1" x14ac:dyDescent="0.25">
      <c r="B2" s="13" t="s">
        <v>261</v>
      </c>
    </row>
    <row r="3" spans="2:6" ht="14.25" customHeight="1" x14ac:dyDescent="0.25">
      <c r="B3" s="15" t="s">
        <v>225</v>
      </c>
      <c r="C3" s="16"/>
      <c r="D3" s="16"/>
      <c r="E3" s="16"/>
      <c r="F3" s="16"/>
    </row>
    <row r="4" spans="2:6" ht="14.25" customHeight="1" x14ac:dyDescent="0.25">
      <c r="B4" s="15"/>
      <c r="C4" s="16"/>
      <c r="D4" s="16"/>
      <c r="E4" s="16"/>
      <c r="F4" s="16"/>
    </row>
    <row r="5" spans="2:6" ht="14.25" customHeight="1" thickBot="1" x14ac:dyDescent="0.3">
      <c r="B5" s="191" t="s">
        <v>262</v>
      </c>
      <c r="C5" s="189">
        <v>2021</v>
      </c>
      <c r="D5" s="189">
        <v>2022</v>
      </c>
      <c r="E5" s="189">
        <v>2023</v>
      </c>
      <c r="F5" s="124"/>
    </row>
    <row r="6" spans="2:6" ht="14.25" customHeight="1" x14ac:dyDescent="0.25">
      <c r="B6" s="144" t="s">
        <v>263</v>
      </c>
      <c r="C6" s="145">
        <v>4.8</v>
      </c>
      <c r="D6" s="145">
        <v>1.1000000000000001</v>
      </c>
      <c r="E6" s="145">
        <v>2.2999999999999998</v>
      </c>
      <c r="F6" s="124"/>
    </row>
    <row r="7" spans="2:6" ht="14.25" customHeight="1" thickBot="1" x14ac:dyDescent="0.3">
      <c r="B7" s="127" t="s">
        <v>117</v>
      </c>
      <c r="C7" s="146">
        <v>4.8</v>
      </c>
      <c r="D7" s="147">
        <v>1.1000000000000001</v>
      </c>
      <c r="E7" s="147">
        <v>2.2999999999999998</v>
      </c>
      <c r="F7" s="124"/>
    </row>
    <row r="8" spans="2:6" ht="14.25" customHeight="1" x14ac:dyDescent="0.25">
      <c r="B8" s="15"/>
      <c r="C8" s="16"/>
      <c r="D8" s="16"/>
      <c r="E8" s="16"/>
      <c r="F8" s="16"/>
    </row>
    <row r="9" spans="2:6" ht="14.25" customHeight="1" thickBot="1" x14ac:dyDescent="0.3">
      <c r="B9" s="191" t="s">
        <v>264</v>
      </c>
      <c r="C9" s="189">
        <v>2021</v>
      </c>
      <c r="D9" s="189">
        <v>2022</v>
      </c>
      <c r="E9" s="189">
        <v>2023</v>
      </c>
      <c r="F9" s="124"/>
    </row>
    <row r="10" spans="2:6" ht="14.25" customHeight="1" thickBot="1" x14ac:dyDescent="0.3">
      <c r="B10" s="127" t="s">
        <v>265</v>
      </c>
      <c r="C10" s="146">
        <v>7.9</v>
      </c>
      <c r="D10" s="147">
        <v>8.1999999999999993</v>
      </c>
      <c r="E10" s="147">
        <v>8.6</v>
      </c>
      <c r="F10" s="124"/>
    </row>
    <row r="11" spans="2:6" ht="14.25" customHeight="1" x14ac:dyDescent="0.25">
      <c r="B11" s="125"/>
      <c r="C11" s="148"/>
      <c r="D11" s="149"/>
      <c r="E11" s="149"/>
      <c r="F11" s="124"/>
    </row>
    <row r="12" spans="2:6" s="9" customFormat="1" ht="14.25" customHeight="1" x14ac:dyDescent="0.2">
      <c r="B12" s="150" t="s">
        <v>266</v>
      </c>
      <c r="C12" s="20"/>
      <c r="D12" s="20"/>
      <c r="E12" s="20"/>
      <c r="F12" s="20"/>
    </row>
    <row r="13" spans="2:6" ht="14.25" customHeight="1" x14ac:dyDescent="0.25">
      <c r="B13" s="125"/>
      <c r="C13" s="148"/>
      <c r="D13" s="149"/>
      <c r="E13" s="149"/>
      <c r="F13" s="124"/>
    </row>
    <row r="14" spans="2:6" ht="14.25" customHeight="1" thickBot="1" x14ac:dyDescent="0.3">
      <c r="B14" s="191" t="s">
        <v>267</v>
      </c>
      <c r="C14" s="189">
        <v>2021</v>
      </c>
      <c r="D14" s="189">
        <v>2022</v>
      </c>
      <c r="E14" s="189">
        <v>2023</v>
      </c>
      <c r="F14" s="124"/>
    </row>
    <row r="15" spans="2:6" ht="14.25" customHeight="1" x14ac:dyDescent="0.25">
      <c r="B15" s="141" t="s">
        <v>268</v>
      </c>
      <c r="C15" s="151" t="s">
        <v>269</v>
      </c>
      <c r="D15" s="145">
        <v>332.7</v>
      </c>
      <c r="E15" s="145">
        <v>655.20000000000005</v>
      </c>
      <c r="F15" s="124"/>
    </row>
    <row r="16" spans="2:6" ht="14.25" customHeight="1" x14ac:dyDescent="0.25">
      <c r="B16" s="141" t="s">
        <v>270</v>
      </c>
      <c r="C16" s="145">
        <v>59.6</v>
      </c>
      <c r="D16" s="145">
        <v>545.6</v>
      </c>
      <c r="E16" s="145">
        <v>1065.5999999999999</v>
      </c>
      <c r="F16" s="124"/>
    </row>
    <row r="17" spans="2:6" ht="14.25" customHeight="1" x14ac:dyDescent="0.25">
      <c r="B17" s="141" t="s">
        <v>271</v>
      </c>
      <c r="C17" s="152" t="s">
        <v>272</v>
      </c>
      <c r="D17" s="152" t="s">
        <v>272</v>
      </c>
      <c r="E17" s="152" t="s">
        <v>272</v>
      </c>
      <c r="F17" s="124"/>
    </row>
    <row r="18" spans="2:6" ht="14.25" customHeight="1" thickBot="1" x14ac:dyDescent="0.3">
      <c r="B18" s="127" t="s">
        <v>273</v>
      </c>
      <c r="C18" s="147">
        <v>12.7</v>
      </c>
      <c r="D18" s="147">
        <v>878.2</v>
      </c>
      <c r="E18" s="147">
        <v>1720.8</v>
      </c>
      <c r="F18" s="124"/>
    </row>
    <row r="19" spans="2:6" ht="14.25" customHeight="1" x14ac:dyDescent="0.25">
      <c r="B19" s="125" t="s">
        <v>274</v>
      </c>
      <c r="C19" s="153">
        <v>21.9</v>
      </c>
      <c r="D19" s="154">
        <v>27.7</v>
      </c>
      <c r="E19" s="154">
        <v>31.1</v>
      </c>
      <c r="F19" s="124"/>
    </row>
    <row r="20" spans="2:6" ht="14.25" customHeight="1" x14ac:dyDescent="0.25">
      <c r="B20" s="141" t="s">
        <v>275</v>
      </c>
      <c r="C20" s="151" t="s">
        <v>276</v>
      </c>
      <c r="D20" s="145">
        <v>12</v>
      </c>
      <c r="E20" s="145">
        <v>21.1</v>
      </c>
      <c r="F20" s="124"/>
    </row>
    <row r="21" spans="2:6" ht="14.25" customHeight="1" x14ac:dyDescent="0.25">
      <c r="B21" s="141" t="s">
        <v>277</v>
      </c>
      <c r="C21" s="155">
        <v>2.7</v>
      </c>
      <c r="D21" s="145">
        <v>19.7</v>
      </c>
      <c r="E21" s="145">
        <v>34.299999999999997</v>
      </c>
      <c r="F21" s="124"/>
    </row>
    <row r="22" spans="2:6" ht="14.25" customHeight="1" x14ac:dyDescent="0.25">
      <c r="B22" s="141" t="s">
        <v>278</v>
      </c>
      <c r="C22" s="152" t="s">
        <v>272</v>
      </c>
      <c r="D22" s="152" t="s">
        <v>272</v>
      </c>
      <c r="E22" s="152" t="s">
        <v>272</v>
      </c>
      <c r="F22" s="124"/>
    </row>
    <row r="23" spans="2:6" s="156" customFormat="1" ht="14.25" customHeight="1" thickBot="1" x14ac:dyDescent="0.3">
      <c r="B23" s="127" t="s">
        <v>279</v>
      </c>
      <c r="C23" s="147">
        <v>0.6</v>
      </c>
      <c r="D23" s="147">
        <v>31.7</v>
      </c>
      <c r="E23" s="147">
        <v>55.3</v>
      </c>
      <c r="F23" s="124"/>
    </row>
    <row r="24" spans="2:6" ht="14.25" customHeight="1" x14ac:dyDescent="0.25">
      <c r="B24" s="125"/>
      <c r="C24" s="148"/>
      <c r="D24" s="149"/>
      <c r="E24" s="149"/>
      <c r="F24" s="124"/>
    </row>
    <row r="25" spans="2:6" s="9" customFormat="1" ht="14.25" customHeight="1" x14ac:dyDescent="0.2">
      <c r="B25" s="150" t="s">
        <v>280</v>
      </c>
      <c r="C25" s="20"/>
      <c r="D25" s="20"/>
      <c r="E25" s="20"/>
      <c r="F25" s="20"/>
    </row>
    <row r="26" spans="2:6" ht="14.25" customHeight="1" x14ac:dyDescent="0.25">
      <c r="B26" s="150" t="s">
        <v>281</v>
      </c>
      <c r="C26" s="148"/>
      <c r="D26" s="149"/>
      <c r="E26" s="149"/>
      <c r="F26" s="124"/>
    </row>
    <row r="27" spans="2:6" ht="14.25" customHeight="1" x14ac:dyDescent="0.25">
      <c r="B27" s="150" t="s">
        <v>282</v>
      </c>
      <c r="C27" s="148"/>
      <c r="D27" s="149"/>
      <c r="E27" s="149"/>
      <c r="F27" s="124"/>
    </row>
    <row r="28" spans="2:6" x14ac:dyDescent="0.25"/>
    <row r="29" spans="2:6" ht="14.25" customHeight="1" thickBot="1" x14ac:dyDescent="0.3">
      <c r="B29" s="191" t="s">
        <v>283</v>
      </c>
      <c r="C29" s="189">
        <v>2021</v>
      </c>
      <c r="D29" s="189">
        <v>2022</v>
      </c>
      <c r="E29" s="189">
        <v>2023</v>
      </c>
      <c r="F29" s="124"/>
    </row>
    <row r="30" spans="2:6" ht="14.25" customHeight="1" x14ac:dyDescent="0.25">
      <c r="B30" s="125" t="s">
        <v>284</v>
      </c>
      <c r="C30" s="140">
        <v>4170</v>
      </c>
      <c r="D30" s="140">
        <v>4287</v>
      </c>
      <c r="E30" s="140">
        <v>4314</v>
      </c>
      <c r="F30" s="124"/>
    </row>
    <row r="31" spans="2:6" ht="14.25" customHeight="1" x14ac:dyDescent="0.25">
      <c r="B31" s="141" t="s">
        <v>285</v>
      </c>
      <c r="C31" s="157">
        <v>0.61799999999999999</v>
      </c>
      <c r="D31" s="158">
        <v>0.59399999999999997</v>
      </c>
      <c r="E31" s="158">
        <v>0.59299999999999997</v>
      </c>
      <c r="F31" s="124"/>
    </row>
    <row r="32" spans="2:6" ht="14.25" customHeight="1" x14ac:dyDescent="0.25">
      <c r="B32" s="125" t="s">
        <v>286</v>
      </c>
      <c r="C32" s="140">
        <v>2581</v>
      </c>
      <c r="D32" s="140">
        <v>2936</v>
      </c>
      <c r="E32" s="140">
        <v>2959</v>
      </c>
      <c r="F32" s="124"/>
    </row>
    <row r="33" spans="2:6" ht="14.25" customHeight="1" x14ac:dyDescent="0.25">
      <c r="B33" s="141" t="s">
        <v>285</v>
      </c>
      <c r="C33" s="157">
        <v>0.38200000000000001</v>
      </c>
      <c r="D33" s="158">
        <v>0.40600000000000003</v>
      </c>
      <c r="E33" s="158">
        <v>0.40699999999999997</v>
      </c>
      <c r="F33" s="124"/>
    </row>
    <row r="34" spans="2:6" ht="14.25" customHeight="1" thickBot="1" x14ac:dyDescent="0.3">
      <c r="B34" s="127" t="s">
        <v>117</v>
      </c>
      <c r="C34" s="159">
        <v>6751</v>
      </c>
      <c r="D34" s="139">
        <v>7223</v>
      </c>
      <c r="E34" s="139">
        <v>7273</v>
      </c>
      <c r="F34" s="124"/>
    </row>
    <row r="35" spans="2:6" ht="14.25" customHeight="1" x14ac:dyDescent="0.25">
      <c r="B35" s="125"/>
      <c r="C35" s="126"/>
      <c r="D35" s="126"/>
      <c r="E35" s="126"/>
      <c r="F35" s="124"/>
    </row>
    <row r="36" spans="2:6" ht="14.25" customHeight="1" thickBot="1" x14ac:dyDescent="0.3">
      <c r="B36" s="191" t="s">
        <v>287</v>
      </c>
      <c r="C36" s="189">
        <v>2021</v>
      </c>
      <c r="D36" s="189">
        <v>2022</v>
      </c>
      <c r="E36" s="189">
        <v>2023</v>
      </c>
      <c r="F36" s="124"/>
    </row>
    <row r="37" spans="2:6" ht="14.25" customHeight="1" x14ac:dyDescent="0.25">
      <c r="B37" s="125" t="s">
        <v>288</v>
      </c>
      <c r="C37" s="140">
        <v>133</v>
      </c>
      <c r="D37" s="140">
        <v>158</v>
      </c>
      <c r="E37" s="140">
        <v>158</v>
      </c>
      <c r="F37" s="124"/>
    </row>
    <row r="38" spans="2:6" ht="14.25" customHeight="1" x14ac:dyDescent="0.25">
      <c r="B38" s="141" t="s">
        <v>285</v>
      </c>
      <c r="C38" s="157">
        <v>0.02</v>
      </c>
      <c r="D38" s="158">
        <v>2.1999999999999999E-2</v>
      </c>
      <c r="E38" s="158">
        <v>2.1999999999999999E-2</v>
      </c>
      <c r="F38" s="124"/>
    </row>
    <row r="39" spans="2:6" ht="14.25" customHeight="1" x14ac:dyDescent="0.25">
      <c r="B39" s="125" t="s">
        <v>289</v>
      </c>
      <c r="C39" s="140">
        <v>4283</v>
      </c>
      <c r="D39" s="140">
        <v>4503</v>
      </c>
      <c r="E39" s="140">
        <v>4354</v>
      </c>
      <c r="F39" s="124"/>
    </row>
    <row r="40" spans="2:6" ht="14.25" customHeight="1" x14ac:dyDescent="0.25">
      <c r="B40" s="141" t="s">
        <v>285</v>
      </c>
      <c r="C40" s="157">
        <v>0.63400000000000001</v>
      </c>
      <c r="D40" s="158">
        <v>0.623</v>
      </c>
      <c r="E40" s="158">
        <v>0.59899999999999998</v>
      </c>
      <c r="F40" s="124"/>
    </row>
    <row r="41" spans="2:6" ht="14.25" customHeight="1" x14ac:dyDescent="0.25">
      <c r="B41" s="125" t="s">
        <v>290</v>
      </c>
      <c r="C41" s="140">
        <v>9</v>
      </c>
      <c r="D41" s="140">
        <v>11</v>
      </c>
      <c r="E41" s="140">
        <v>14</v>
      </c>
      <c r="F41" s="124"/>
    </row>
    <row r="42" spans="2:6" ht="14.25" customHeight="1" x14ac:dyDescent="0.25">
      <c r="B42" s="141" t="s">
        <v>285</v>
      </c>
      <c r="C42" s="157">
        <v>1E-3</v>
      </c>
      <c r="D42" s="158">
        <v>2E-3</v>
      </c>
      <c r="E42" s="158">
        <v>2E-3</v>
      </c>
      <c r="F42" s="124"/>
    </row>
    <row r="43" spans="2:6" ht="14.25" customHeight="1" x14ac:dyDescent="0.25">
      <c r="B43" s="125" t="s">
        <v>291</v>
      </c>
      <c r="C43" s="140">
        <v>166</v>
      </c>
      <c r="D43" s="140">
        <v>95</v>
      </c>
      <c r="E43" s="140">
        <v>226</v>
      </c>
      <c r="F43" s="124"/>
    </row>
    <row r="44" spans="2:6" ht="14.25" customHeight="1" x14ac:dyDescent="0.25">
      <c r="B44" s="141" t="s">
        <v>285</v>
      </c>
      <c r="C44" s="157">
        <v>2.5000000000000001E-2</v>
      </c>
      <c r="D44" s="158">
        <v>1.2999999999999999E-2</v>
      </c>
      <c r="E44" s="158">
        <v>3.1E-2</v>
      </c>
      <c r="F44" s="124"/>
    </row>
    <row r="45" spans="2:6" ht="14.25" customHeight="1" x14ac:dyDescent="0.25">
      <c r="B45" s="125" t="s">
        <v>292</v>
      </c>
      <c r="C45" s="140">
        <v>484</v>
      </c>
      <c r="D45" s="140">
        <v>547</v>
      </c>
      <c r="E45" s="140">
        <v>483</v>
      </c>
      <c r="F45" s="124"/>
    </row>
    <row r="46" spans="2:6" ht="14.25" customHeight="1" x14ac:dyDescent="0.25">
      <c r="B46" s="141" t="s">
        <v>285</v>
      </c>
      <c r="C46" s="157">
        <v>7.1999999999999995E-2</v>
      </c>
      <c r="D46" s="158">
        <v>7.5999999999999998E-2</v>
      </c>
      <c r="E46" s="158">
        <v>6.6000000000000003E-2</v>
      </c>
      <c r="F46" s="124"/>
    </row>
    <row r="47" spans="2:6" ht="14.25" customHeight="1" x14ac:dyDescent="0.25">
      <c r="B47" s="125" t="s">
        <v>293</v>
      </c>
      <c r="C47" s="140">
        <v>1676</v>
      </c>
      <c r="D47" s="140">
        <v>1909</v>
      </c>
      <c r="E47" s="140">
        <v>2038</v>
      </c>
      <c r="F47" s="124"/>
    </row>
    <row r="48" spans="2:6" ht="14.25" customHeight="1" x14ac:dyDescent="0.25">
      <c r="B48" s="141" t="s">
        <v>285</v>
      </c>
      <c r="C48" s="157">
        <v>0.248</v>
      </c>
      <c r="D48" s="158">
        <v>0.26400000000000001</v>
      </c>
      <c r="E48" s="158">
        <v>0.28000000000000003</v>
      </c>
      <c r="F48" s="124"/>
    </row>
    <row r="49" spans="2:6" ht="14.25" customHeight="1" thickBot="1" x14ac:dyDescent="0.3">
      <c r="B49" s="127" t="s">
        <v>117</v>
      </c>
      <c r="C49" s="159">
        <v>6751</v>
      </c>
      <c r="D49" s="139">
        <v>7223</v>
      </c>
      <c r="E49" s="139">
        <v>7273</v>
      </c>
      <c r="F49" s="124"/>
    </row>
    <row r="50" spans="2:6" ht="14.25" customHeight="1" x14ac:dyDescent="0.25">
      <c r="B50" s="125"/>
      <c r="C50" s="126"/>
      <c r="D50" s="126"/>
      <c r="E50" s="126"/>
      <c r="F50" s="124"/>
    </row>
    <row r="51" spans="2:6" ht="14.25" customHeight="1" thickBot="1" x14ac:dyDescent="0.3">
      <c r="B51" s="191" t="s">
        <v>294</v>
      </c>
      <c r="C51" s="189">
        <v>2021</v>
      </c>
      <c r="D51" s="189">
        <v>2022</v>
      </c>
      <c r="E51" s="189">
        <v>2023</v>
      </c>
      <c r="F51" s="124"/>
    </row>
    <row r="52" spans="2:6" ht="14.25" customHeight="1" x14ac:dyDescent="0.25">
      <c r="B52" s="125" t="s">
        <v>295</v>
      </c>
      <c r="C52" s="140">
        <v>265</v>
      </c>
      <c r="D52" s="140">
        <v>257</v>
      </c>
      <c r="E52" s="140">
        <v>284</v>
      </c>
      <c r="F52" s="124"/>
    </row>
    <row r="53" spans="2:6" ht="14.25" customHeight="1" x14ac:dyDescent="0.25">
      <c r="B53" s="141" t="s">
        <v>285</v>
      </c>
      <c r="C53" s="157">
        <v>3.9E-2</v>
      </c>
      <c r="D53" s="158">
        <v>3.5999999999999997E-2</v>
      </c>
      <c r="E53" s="158">
        <v>3.9E-2</v>
      </c>
      <c r="F53" s="124"/>
    </row>
    <row r="54" spans="2:6" ht="14.25" customHeight="1" x14ac:dyDescent="0.25">
      <c r="B54" s="125" t="s">
        <v>296</v>
      </c>
      <c r="C54" s="140">
        <v>454</v>
      </c>
      <c r="D54" s="140">
        <v>451</v>
      </c>
      <c r="E54" s="140">
        <v>570</v>
      </c>
      <c r="F54" s="124"/>
    </row>
    <row r="55" spans="2:6" ht="14.25" customHeight="1" x14ac:dyDescent="0.25">
      <c r="B55" s="141" t="s">
        <v>285</v>
      </c>
      <c r="C55" s="157">
        <v>6.7000000000000004E-2</v>
      </c>
      <c r="D55" s="158">
        <v>6.2E-2</v>
      </c>
      <c r="E55" s="158">
        <v>7.8E-2</v>
      </c>
      <c r="F55" s="124"/>
    </row>
    <row r="56" spans="2:6" ht="14.25" customHeight="1" x14ac:dyDescent="0.25">
      <c r="B56" s="125" t="s">
        <v>297</v>
      </c>
      <c r="C56" s="140">
        <v>93</v>
      </c>
      <c r="D56" s="140">
        <v>100</v>
      </c>
      <c r="E56" s="140">
        <v>147</v>
      </c>
      <c r="F56" s="124"/>
    </row>
    <row r="57" spans="2:6" ht="14.25" customHeight="1" x14ac:dyDescent="0.25">
      <c r="B57" s="141" t="s">
        <v>285</v>
      </c>
      <c r="C57" s="157">
        <v>1.4E-2</v>
      </c>
      <c r="D57" s="158">
        <v>1.4E-2</v>
      </c>
      <c r="E57" s="158">
        <v>0.02</v>
      </c>
      <c r="F57" s="124"/>
    </row>
    <row r="58" spans="2:6" ht="14.25" customHeight="1" x14ac:dyDescent="0.25">
      <c r="B58" s="125" t="s">
        <v>298</v>
      </c>
      <c r="C58" s="140">
        <v>5260</v>
      </c>
      <c r="D58" s="140">
        <v>5754</v>
      </c>
      <c r="E58" s="140">
        <v>5575</v>
      </c>
      <c r="F58" s="124"/>
    </row>
    <row r="59" spans="2:6" ht="14.25" customHeight="1" x14ac:dyDescent="0.25">
      <c r="B59" s="141" t="s">
        <v>285</v>
      </c>
      <c r="C59" s="157">
        <v>0.77900000000000003</v>
      </c>
      <c r="D59" s="158">
        <v>0.79700000000000004</v>
      </c>
      <c r="E59" s="158">
        <v>0.76700000000000002</v>
      </c>
      <c r="F59" s="124"/>
    </row>
    <row r="60" spans="2:6" ht="14.25" customHeight="1" x14ac:dyDescent="0.25">
      <c r="B60" s="125" t="s">
        <v>299</v>
      </c>
      <c r="C60" s="140">
        <v>667</v>
      </c>
      <c r="D60" s="140">
        <v>651</v>
      </c>
      <c r="E60" s="140">
        <v>689</v>
      </c>
      <c r="F60" s="124"/>
    </row>
    <row r="61" spans="2:6" ht="14.25" customHeight="1" x14ac:dyDescent="0.25">
      <c r="B61" s="141" t="s">
        <v>285</v>
      </c>
      <c r="C61" s="157">
        <v>9.9000000000000005E-2</v>
      </c>
      <c r="D61" s="158">
        <v>0.09</v>
      </c>
      <c r="E61" s="158">
        <v>9.5000000000000001E-2</v>
      </c>
      <c r="F61" s="124"/>
    </row>
    <row r="62" spans="2:6" ht="14.25" customHeight="1" x14ac:dyDescent="0.25">
      <c r="B62" s="125" t="s">
        <v>300</v>
      </c>
      <c r="C62" s="140">
        <v>12</v>
      </c>
      <c r="D62" s="140">
        <v>10</v>
      </c>
      <c r="E62" s="140">
        <v>8</v>
      </c>
      <c r="F62" s="124"/>
    </row>
    <row r="63" spans="2:6" ht="14.25" customHeight="1" x14ac:dyDescent="0.25">
      <c r="B63" s="141" t="s">
        <v>285</v>
      </c>
      <c r="C63" s="157">
        <v>2E-3</v>
      </c>
      <c r="D63" s="158">
        <v>1E-3</v>
      </c>
      <c r="E63" s="158">
        <v>1E-3</v>
      </c>
      <c r="F63" s="124"/>
    </row>
    <row r="64" spans="2:6" ht="14.25" customHeight="1" thickBot="1" x14ac:dyDescent="0.3">
      <c r="B64" s="127" t="s">
        <v>117</v>
      </c>
      <c r="C64" s="159">
        <v>6751</v>
      </c>
      <c r="D64" s="139">
        <v>7223</v>
      </c>
      <c r="E64" s="139">
        <v>7273</v>
      </c>
      <c r="F64" s="124"/>
    </row>
    <row r="65" spans="2:6" ht="14.25" customHeight="1" x14ac:dyDescent="0.25">
      <c r="B65" s="125"/>
      <c r="C65" s="126"/>
      <c r="D65" s="126"/>
      <c r="E65" s="126"/>
      <c r="F65" s="124"/>
    </row>
    <row r="66" spans="2:6" ht="14.25" customHeight="1" thickBot="1" x14ac:dyDescent="0.3">
      <c r="B66" s="191" t="s">
        <v>301</v>
      </c>
      <c r="C66" s="189">
        <v>2021</v>
      </c>
      <c r="D66" s="189">
        <v>2022</v>
      </c>
      <c r="E66" s="189">
        <v>2023</v>
      </c>
      <c r="F66" s="124"/>
    </row>
    <row r="67" spans="2:6" ht="14.25" customHeight="1" x14ac:dyDescent="0.25">
      <c r="B67" s="125" t="s">
        <v>302</v>
      </c>
      <c r="C67" s="140">
        <v>39</v>
      </c>
      <c r="D67" s="140">
        <v>42</v>
      </c>
      <c r="E67" s="140">
        <v>46</v>
      </c>
      <c r="F67" s="124"/>
    </row>
    <row r="68" spans="2:6" ht="14.25" customHeight="1" x14ac:dyDescent="0.25">
      <c r="B68" s="141" t="s">
        <v>285</v>
      </c>
      <c r="C68" s="158">
        <v>6.0000000000000001E-3</v>
      </c>
      <c r="D68" s="158">
        <v>6.0000000000000001E-3</v>
      </c>
      <c r="E68" s="158">
        <v>6.0000000000000001E-3</v>
      </c>
      <c r="F68" s="124"/>
    </row>
    <row r="69" spans="2:6" ht="14.25" customHeight="1" x14ac:dyDescent="0.25">
      <c r="B69" s="125" t="s">
        <v>303</v>
      </c>
      <c r="C69" s="140">
        <v>403</v>
      </c>
      <c r="D69" s="140">
        <v>461</v>
      </c>
      <c r="E69" s="140">
        <v>455</v>
      </c>
      <c r="F69" s="124"/>
    </row>
    <row r="70" spans="2:6" ht="14.25" customHeight="1" x14ac:dyDescent="0.25">
      <c r="B70" s="141" t="s">
        <v>285</v>
      </c>
      <c r="C70" s="158">
        <v>0.06</v>
      </c>
      <c r="D70" s="158">
        <v>6.4000000000000001E-2</v>
      </c>
      <c r="E70" s="158">
        <v>6.2E-2</v>
      </c>
      <c r="F70" s="124"/>
    </row>
    <row r="71" spans="2:6" ht="14.25" customHeight="1" x14ac:dyDescent="0.25">
      <c r="B71" s="125" t="s">
        <v>304</v>
      </c>
      <c r="C71" s="140">
        <v>645</v>
      </c>
      <c r="D71" s="140">
        <v>726</v>
      </c>
      <c r="E71" s="140">
        <v>709</v>
      </c>
      <c r="F71" s="124"/>
    </row>
    <row r="72" spans="2:6" ht="14.25" customHeight="1" x14ac:dyDescent="0.25">
      <c r="B72" s="141" t="s">
        <v>285</v>
      </c>
      <c r="C72" s="158">
        <v>9.6000000000000002E-2</v>
      </c>
      <c r="D72" s="158">
        <v>0.10100000000000001</v>
      </c>
      <c r="E72" s="158">
        <v>9.7000000000000003E-2</v>
      </c>
      <c r="F72" s="124"/>
    </row>
    <row r="73" spans="2:6" ht="14.25" customHeight="1" x14ac:dyDescent="0.25">
      <c r="B73" s="125" t="s">
        <v>305</v>
      </c>
      <c r="C73" s="140">
        <v>308</v>
      </c>
      <c r="D73" s="140">
        <v>313</v>
      </c>
      <c r="E73" s="140">
        <v>319</v>
      </c>
      <c r="F73" s="124"/>
    </row>
    <row r="74" spans="2:6" ht="14.25" customHeight="1" x14ac:dyDescent="0.25">
      <c r="B74" s="141" t="s">
        <v>285</v>
      </c>
      <c r="C74" s="158">
        <v>4.5999999999999999E-2</v>
      </c>
      <c r="D74" s="158">
        <v>4.2999999999999997E-2</v>
      </c>
      <c r="E74" s="158">
        <v>4.2999999999999997E-2</v>
      </c>
      <c r="F74" s="124"/>
    </row>
    <row r="75" spans="2:6" ht="14.25" customHeight="1" x14ac:dyDescent="0.25">
      <c r="B75" s="125" t="s">
        <v>306</v>
      </c>
      <c r="C75" s="140">
        <v>5349</v>
      </c>
      <c r="D75" s="140">
        <v>5657</v>
      </c>
      <c r="E75" s="140">
        <v>5711</v>
      </c>
      <c r="F75" s="124"/>
    </row>
    <row r="76" spans="2:6" ht="14.25" customHeight="1" x14ac:dyDescent="0.25">
      <c r="B76" s="141" t="s">
        <v>285</v>
      </c>
      <c r="C76" s="158">
        <v>0.79200000000000004</v>
      </c>
      <c r="D76" s="158">
        <v>0.78300000000000003</v>
      </c>
      <c r="E76" s="158">
        <v>0.78500000000000003</v>
      </c>
      <c r="F76" s="124"/>
    </row>
    <row r="77" spans="2:6" ht="14.25" customHeight="1" x14ac:dyDescent="0.25">
      <c r="B77" s="125" t="s">
        <v>307</v>
      </c>
      <c r="C77" s="140">
        <v>18</v>
      </c>
      <c r="D77" s="140">
        <v>7</v>
      </c>
      <c r="E77" s="140">
        <v>33</v>
      </c>
      <c r="F77" s="124"/>
    </row>
    <row r="78" spans="2:6" ht="14.25" customHeight="1" x14ac:dyDescent="0.25">
      <c r="B78" s="141" t="s">
        <v>285</v>
      </c>
      <c r="C78" s="157">
        <v>4.0000000000000001E-3</v>
      </c>
      <c r="D78" s="158">
        <v>1E-3</v>
      </c>
      <c r="E78" s="158">
        <v>4.0000000000000001E-3</v>
      </c>
      <c r="F78" s="124"/>
    </row>
    <row r="79" spans="2:6" ht="14.25" customHeight="1" thickBot="1" x14ac:dyDescent="0.3">
      <c r="B79" s="127" t="s">
        <v>117</v>
      </c>
      <c r="C79" s="159">
        <v>6751</v>
      </c>
      <c r="D79" s="139">
        <v>7223</v>
      </c>
      <c r="E79" s="139">
        <v>7273</v>
      </c>
      <c r="F79" s="124"/>
    </row>
    <row r="80" spans="2:6" ht="14.25" customHeight="1" x14ac:dyDescent="0.25">
      <c r="B80" s="125"/>
      <c r="C80" s="126"/>
      <c r="D80" s="126"/>
      <c r="E80" s="126"/>
      <c r="F80" s="124"/>
    </row>
    <row r="81" spans="2:6" ht="14.25" customHeight="1" thickBot="1" x14ac:dyDescent="0.3">
      <c r="B81" s="191" t="s">
        <v>308</v>
      </c>
      <c r="C81" s="189">
        <v>2021</v>
      </c>
      <c r="D81" s="189">
        <v>2022</v>
      </c>
      <c r="E81" s="189">
        <v>2023</v>
      </c>
      <c r="F81" s="124"/>
    </row>
    <row r="82" spans="2:6" ht="14.25" customHeight="1" x14ac:dyDescent="0.25">
      <c r="B82" s="125" t="s">
        <v>302</v>
      </c>
      <c r="C82" s="140">
        <v>31</v>
      </c>
      <c r="D82" s="140">
        <v>32</v>
      </c>
      <c r="E82" s="140">
        <v>33</v>
      </c>
      <c r="F82" s="124"/>
    </row>
    <row r="83" spans="2:6" ht="14.25" customHeight="1" x14ac:dyDescent="0.25">
      <c r="B83" s="141" t="s">
        <v>285</v>
      </c>
      <c r="C83" s="160">
        <v>0.79</v>
      </c>
      <c r="D83" s="160">
        <v>0.76</v>
      </c>
      <c r="E83" s="160">
        <v>0.72</v>
      </c>
      <c r="F83" s="124"/>
    </row>
    <row r="84" spans="2:6" ht="14.25" customHeight="1" x14ac:dyDescent="0.25">
      <c r="B84" s="125" t="s">
        <v>303</v>
      </c>
      <c r="C84" s="140">
        <v>296</v>
      </c>
      <c r="D84" s="140">
        <v>335</v>
      </c>
      <c r="E84" s="140">
        <v>315</v>
      </c>
      <c r="F84" s="124"/>
    </row>
    <row r="85" spans="2:6" ht="14.25" customHeight="1" x14ac:dyDescent="0.25">
      <c r="B85" s="141" t="s">
        <v>285</v>
      </c>
      <c r="C85" s="160">
        <v>0.73</v>
      </c>
      <c r="D85" s="160">
        <v>0.73</v>
      </c>
      <c r="E85" s="160">
        <v>0.69</v>
      </c>
      <c r="F85" s="124"/>
    </row>
    <row r="86" spans="2:6" ht="14.25" customHeight="1" x14ac:dyDescent="0.25">
      <c r="B86" s="125" t="s">
        <v>304</v>
      </c>
      <c r="C86" s="140">
        <v>432</v>
      </c>
      <c r="D86" s="140">
        <v>476</v>
      </c>
      <c r="E86" s="140">
        <v>462</v>
      </c>
      <c r="F86" s="124"/>
    </row>
    <row r="87" spans="2:6" ht="14.25" customHeight="1" x14ac:dyDescent="0.25">
      <c r="B87" s="141" t="s">
        <v>285</v>
      </c>
      <c r="C87" s="160">
        <v>0.7</v>
      </c>
      <c r="D87" s="160">
        <v>0.66</v>
      </c>
      <c r="E87" s="160">
        <v>0.65</v>
      </c>
      <c r="F87" s="124"/>
    </row>
    <row r="88" spans="2:6" ht="14.25" customHeight="1" x14ac:dyDescent="0.25">
      <c r="B88" s="125" t="s">
        <v>305</v>
      </c>
      <c r="C88" s="140">
        <v>229</v>
      </c>
      <c r="D88" s="140">
        <v>229</v>
      </c>
      <c r="E88" s="140">
        <v>223</v>
      </c>
      <c r="F88" s="124"/>
    </row>
    <row r="89" spans="2:6" ht="14.25" customHeight="1" x14ac:dyDescent="0.25">
      <c r="B89" s="141" t="s">
        <v>285</v>
      </c>
      <c r="C89" s="160">
        <v>0.74</v>
      </c>
      <c r="D89" s="160">
        <v>0.73</v>
      </c>
      <c r="E89" s="160">
        <v>0.7</v>
      </c>
      <c r="F89" s="124"/>
    </row>
    <row r="90" spans="2:6" ht="14.25" customHeight="1" x14ac:dyDescent="0.25">
      <c r="B90" s="125" t="s">
        <v>306</v>
      </c>
      <c r="C90" s="140">
        <v>3160</v>
      </c>
      <c r="D90" s="140">
        <v>3204</v>
      </c>
      <c r="E90" s="140">
        <v>3269</v>
      </c>
      <c r="F90" s="124"/>
    </row>
    <row r="91" spans="2:6" ht="14.25" customHeight="1" x14ac:dyDescent="0.25">
      <c r="B91" s="141" t="s">
        <v>285</v>
      </c>
      <c r="C91" s="160">
        <v>0.59</v>
      </c>
      <c r="D91" s="160">
        <v>0.56999999999999995</v>
      </c>
      <c r="E91" s="160">
        <v>0.56999999999999995</v>
      </c>
      <c r="F91" s="124"/>
    </row>
    <row r="92" spans="2:6" ht="14.25" customHeight="1" x14ac:dyDescent="0.25">
      <c r="B92" s="125" t="s">
        <v>307</v>
      </c>
      <c r="C92" s="140">
        <v>2</v>
      </c>
      <c r="D92" s="140">
        <v>11</v>
      </c>
      <c r="E92" s="140">
        <v>12</v>
      </c>
      <c r="F92" s="124"/>
    </row>
    <row r="93" spans="2:6" ht="14.25" customHeight="1" x14ac:dyDescent="0.25">
      <c r="B93" s="141" t="s">
        <v>285</v>
      </c>
      <c r="C93" s="161">
        <v>0.28999999999999998</v>
      </c>
      <c r="D93" s="160">
        <v>0.46</v>
      </c>
      <c r="E93" s="160">
        <v>0.36</v>
      </c>
      <c r="F93" s="124"/>
    </row>
    <row r="94" spans="2:6" ht="14.25" customHeight="1" thickBot="1" x14ac:dyDescent="0.3">
      <c r="B94" s="127" t="s">
        <v>117</v>
      </c>
      <c r="C94" s="159">
        <v>4170</v>
      </c>
      <c r="D94" s="159">
        <v>4287</v>
      </c>
      <c r="E94" s="159">
        <v>4314</v>
      </c>
      <c r="F94" s="124"/>
    </row>
    <row r="95" spans="2:6" ht="14.25" customHeight="1" x14ac:dyDescent="0.25">
      <c r="B95" s="125"/>
      <c r="C95" s="126"/>
      <c r="D95" s="126"/>
      <c r="E95" s="126"/>
      <c r="F95" s="124"/>
    </row>
    <row r="96" spans="2:6" ht="14.25" customHeight="1" thickBot="1" x14ac:dyDescent="0.3">
      <c r="B96" s="191" t="s">
        <v>309</v>
      </c>
      <c r="C96" s="189">
        <v>2021</v>
      </c>
      <c r="D96" s="189">
        <v>2022</v>
      </c>
      <c r="E96" s="189">
        <v>2023</v>
      </c>
      <c r="F96" s="124"/>
    </row>
    <row r="97" spans="2:6" ht="14.25" customHeight="1" x14ac:dyDescent="0.25">
      <c r="B97" s="125" t="s">
        <v>302</v>
      </c>
      <c r="C97" s="140">
        <v>8</v>
      </c>
      <c r="D97" s="140">
        <v>10</v>
      </c>
      <c r="E97" s="140">
        <v>13</v>
      </c>
      <c r="F97" s="124"/>
    </row>
    <row r="98" spans="2:6" ht="14.25" customHeight="1" x14ac:dyDescent="0.25">
      <c r="B98" s="141" t="s">
        <v>285</v>
      </c>
      <c r="C98" s="160">
        <v>0.21</v>
      </c>
      <c r="D98" s="160">
        <v>0.24</v>
      </c>
      <c r="E98" s="160">
        <v>0.28000000000000003</v>
      </c>
      <c r="F98" s="124"/>
    </row>
    <row r="99" spans="2:6" ht="14.25" customHeight="1" x14ac:dyDescent="0.25">
      <c r="B99" s="125" t="s">
        <v>303</v>
      </c>
      <c r="C99" s="140">
        <v>107</v>
      </c>
      <c r="D99" s="140">
        <v>126</v>
      </c>
      <c r="E99" s="140">
        <v>140</v>
      </c>
      <c r="F99" s="124"/>
    </row>
    <row r="100" spans="2:6" ht="14.25" customHeight="1" x14ac:dyDescent="0.25">
      <c r="B100" s="141" t="s">
        <v>285</v>
      </c>
      <c r="C100" s="160">
        <v>0.27</v>
      </c>
      <c r="D100" s="160">
        <v>0.27</v>
      </c>
      <c r="E100" s="160">
        <v>0.31</v>
      </c>
      <c r="F100" s="124"/>
    </row>
    <row r="101" spans="2:6" ht="14.25" customHeight="1" x14ac:dyDescent="0.25">
      <c r="B101" s="125" t="s">
        <v>304</v>
      </c>
      <c r="C101" s="140">
        <v>193</v>
      </c>
      <c r="D101" s="140">
        <v>250</v>
      </c>
      <c r="E101" s="140">
        <v>247</v>
      </c>
      <c r="F101" s="124"/>
    </row>
    <row r="102" spans="2:6" ht="14.25" customHeight="1" x14ac:dyDescent="0.25">
      <c r="B102" s="141" t="s">
        <v>285</v>
      </c>
      <c r="C102" s="160">
        <v>0.3</v>
      </c>
      <c r="D102" s="160">
        <v>0.34</v>
      </c>
      <c r="E102" s="160">
        <v>0.35</v>
      </c>
      <c r="F102" s="124"/>
    </row>
    <row r="103" spans="2:6" ht="14.25" customHeight="1" x14ac:dyDescent="0.25">
      <c r="B103" s="125" t="s">
        <v>305</v>
      </c>
      <c r="C103" s="140">
        <v>79</v>
      </c>
      <c r="D103" s="140">
        <v>84</v>
      </c>
      <c r="E103" s="140">
        <v>96</v>
      </c>
      <c r="F103" s="124"/>
    </row>
    <row r="104" spans="2:6" ht="14.25" customHeight="1" x14ac:dyDescent="0.25">
      <c r="B104" s="141" t="s">
        <v>285</v>
      </c>
      <c r="C104" s="160">
        <v>0.26</v>
      </c>
      <c r="D104" s="160">
        <v>0.27</v>
      </c>
      <c r="E104" s="160">
        <v>0.3</v>
      </c>
      <c r="F104" s="124"/>
    </row>
    <row r="105" spans="2:6" ht="14.25" customHeight="1" x14ac:dyDescent="0.25">
      <c r="B105" s="125" t="s">
        <v>306</v>
      </c>
      <c r="C105" s="140">
        <v>2189</v>
      </c>
      <c r="D105" s="140">
        <v>2453</v>
      </c>
      <c r="E105" s="140">
        <v>2442</v>
      </c>
      <c r="F105" s="124"/>
    </row>
    <row r="106" spans="2:6" ht="14.25" customHeight="1" x14ac:dyDescent="0.25">
      <c r="B106" s="141" t="s">
        <v>285</v>
      </c>
      <c r="C106" s="160">
        <v>0.41</v>
      </c>
      <c r="D106" s="160">
        <v>0.43</v>
      </c>
      <c r="E106" s="160">
        <v>0.43</v>
      </c>
      <c r="F106" s="124"/>
    </row>
    <row r="107" spans="2:6" ht="14.25" customHeight="1" x14ac:dyDescent="0.25">
      <c r="B107" s="125" t="s">
        <v>307</v>
      </c>
      <c r="C107" s="140">
        <v>5</v>
      </c>
      <c r="D107" s="140">
        <v>13</v>
      </c>
      <c r="E107" s="140">
        <v>21</v>
      </c>
      <c r="F107" s="124"/>
    </row>
    <row r="108" spans="2:6" ht="14.25" customHeight="1" x14ac:dyDescent="0.25">
      <c r="B108" s="141" t="s">
        <v>285</v>
      </c>
      <c r="C108" s="161">
        <v>0.71</v>
      </c>
      <c r="D108" s="160">
        <v>0.54</v>
      </c>
      <c r="E108" s="160">
        <v>0.64</v>
      </c>
      <c r="F108" s="124"/>
    </row>
    <row r="109" spans="2:6" ht="14.25" customHeight="1" thickBot="1" x14ac:dyDescent="0.3">
      <c r="B109" s="127" t="s">
        <v>117</v>
      </c>
      <c r="C109" s="159">
        <v>2581</v>
      </c>
      <c r="D109" s="159">
        <v>2936</v>
      </c>
      <c r="E109" s="159">
        <v>2959</v>
      </c>
      <c r="F109" s="124"/>
    </row>
    <row r="110" spans="2:6" ht="14.25" customHeight="1" x14ac:dyDescent="0.25">
      <c r="B110" s="23"/>
      <c r="C110" s="20"/>
      <c r="D110" s="48"/>
      <c r="E110" s="48"/>
      <c r="F110" s="162"/>
    </row>
    <row r="111" spans="2:6" ht="14.25" customHeight="1" thickBot="1" x14ac:dyDescent="0.3">
      <c r="B111" s="191" t="s">
        <v>310</v>
      </c>
      <c r="C111" s="189">
        <v>2021</v>
      </c>
      <c r="D111" s="189">
        <v>2022</v>
      </c>
      <c r="E111" s="189">
        <v>2023</v>
      </c>
      <c r="F111" s="162"/>
    </row>
    <row r="112" spans="2:6" ht="14.25" customHeight="1" x14ac:dyDescent="0.25">
      <c r="B112" s="14" t="s">
        <v>310</v>
      </c>
      <c r="C112" s="163">
        <v>38</v>
      </c>
      <c r="D112" s="14">
        <v>36.9</v>
      </c>
      <c r="E112" s="14">
        <v>40.1</v>
      </c>
      <c r="F112" s="162"/>
    </row>
    <row r="113" spans="2:6" ht="14.25" customHeight="1" thickBot="1" x14ac:dyDescent="0.3">
      <c r="B113" s="127" t="s">
        <v>117</v>
      </c>
      <c r="C113" s="146">
        <v>38</v>
      </c>
      <c r="D113" s="147">
        <v>36.9</v>
      </c>
      <c r="E113" s="147">
        <v>40.1</v>
      </c>
      <c r="F113" s="162"/>
    </row>
    <row r="114" spans="2:6" ht="14.25" customHeight="1" x14ac:dyDescent="0.25">
      <c r="B114" s="23"/>
      <c r="C114" s="20"/>
      <c r="D114" s="48"/>
      <c r="E114" s="48"/>
      <c r="F114" s="162"/>
    </row>
    <row r="115" spans="2:6" ht="14.25" customHeight="1" thickBot="1" x14ac:dyDescent="0.3">
      <c r="B115" s="191" t="s">
        <v>311</v>
      </c>
      <c r="C115" s="189">
        <v>2021</v>
      </c>
      <c r="D115" s="189">
        <v>2022</v>
      </c>
      <c r="E115" s="189">
        <v>2023</v>
      </c>
      <c r="F115" s="162"/>
    </row>
    <row r="116" spans="2:6" s="156" customFormat="1" ht="14.25" customHeight="1" x14ac:dyDescent="0.25">
      <c r="B116" s="156" t="s">
        <v>284</v>
      </c>
      <c r="C116" s="164">
        <v>2808</v>
      </c>
      <c r="D116" s="164">
        <v>1753</v>
      </c>
      <c r="E116" s="164">
        <v>1663</v>
      </c>
      <c r="F116" s="165"/>
    </row>
    <row r="117" spans="2:6" ht="14.25" customHeight="1" x14ac:dyDescent="0.25">
      <c r="B117" s="14" t="s">
        <v>285</v>
      </c>
      <c r="C117" s="163">
        <v>61.4</v>
      </c>
      <c r="D117" s="14">
        <v>55.6</v>
      </c>
      <c r="E117" s="163">
        <v>57</v>
      </c>
      <c r="F117" s="162"/>
    </row>
    <row r="118" spans="2:6" s="156" customFormat="1" ht="14.25" customHeight="1" x14ac:dyDescent="0.25">
      <c r="B118" s="156" t="s">
        <v>286</v>
      </c>
      <c r="C118" s="164">
        <v>1767</v>
      </c>
      <c r="D118" s="164">
        <v>1402</v>
      </c>
      <c r="E118" s="164">
        <v>1254</v>
      </c>
      <c r="F118" s="165"/>
    </row>
    <row r="119" spans="2:6" ht="14.25" customHeight="1" x14ac:dyDescent="0.25">
      <c r="B119" s="14" t="s">
        <v>285</v>
      </c>
      <c r="C119" s="163">
        <v>38.6</v>
      </c>
      <c r="D119" s="14">
        <v>44.4</v>
      </c>
      <c r="E119" s="163">
        <v>43</v>
      </c>
      <c r="F119" s="162"/>
    </row>
    <row r="120" spans="2:6" ht="14.25" customHeight="1" thickBot="1" x14ac:dyDescent="0.3">
      <c r="B120" s="127" t="s">
        <v>117</v>
      </c>
      <c r="C120" s="159">
        <v>4575</v>
      </c>
      <c r="D120" s="139">
        <v>3155</v>
      </c>
      <c r="E120" s="139">
        <v>2917</v>
      </c>
      <c r="F120" s="162"/>
    </row>
    <row r="121" spans="2:6" ht="14.25" customHeight="1" x14ac:dyDescent="0.25">
      <c r="B121" s="23"/>
      <c r="C121" s="20"/>
      <c r="D121" s="48"/>
      <c r="E121" s="48"/>
      <c r="F121" s="162"/>
    </row>
    <row r="122" spans="2:6" ht="14.25" customHeight="1" thickBot="1" x14ac:dyDescent="0.3">
      <c r="B122" s="191" t="s">
        <v>312</v>
      </c>
      <c r="C122" s="189">
        <v>2021</v>
      </c>
      <c r="D122" s="189">
        <v>2022</v>
      </c>
      <c r="E122" s="189">
        <v>2023</v>
      </c>
      <c r="F122" s="162"/>
    </row>
    <row r="123" spans="2:6" s="156" customFormat="1" ht="14.25" customHeight="1" x14ac:dyDescent="0.25">
      <c r="B123" s="156" t="s">
        <v>302</v>
      </c>
      <c r="C123" s="164">
        <v>4</v>
      </c>
      <c r="D123" s="164">
        <v>4</v>
      </c>
      <c r="E123" s="164">
        <v>7</v>
      </c>
      <c r="F123" s="165"/>
    </row>
    <row r="124" spans="2:6" ht="14.25" customHeight="1" x14ac:dyDescent="0.25">
      <c r="B124" s="14" t="s">
        <v>285</v>
      </c>
      <c r="C124" s="163">
        <v>0.1</v>
      </c>
      <c r="D124" s="14">
        <v>0.1</v>
      </c>
      <c r="E124" s="163">
        <v>0.2</v>
      </c>
      <c r="F124" s="162"/>
    </row>
    <row r="125" spans="2:6" s="156" customFormat="1" ht="14.25" customHeight="1" x14ac:dyDescent="0.25">
      <c r="B125" s="156" t="s">
        <v>303</v>
      </c>
      <c r="C125" s="166">
        <v>81</v>
      </c>
      <c r="D125" s="166">
        <v>59</v>
      </c>
      <c r="E125" s="166">
        <v>49</v>
      </c>
      <c r="F125" s="165"/>
    </row>
    <row r="126" spans="2:6" ht="14.25" customHeight="1" x14ac:dyDescent="0.25">
      <c r="B126" s="14" t="s">
        <v>285</v>
      </c>
      <c r="C126" s="163">
        <v>1.8</v>
      </c>
      <c r="D126" s="14">
        <v>1.9</v>
      </c>
      <c r="E126" s="163">
        <v>1.7</v>
      </c>
      <c r="F126" s="162"/>
    </row>
    <row r="127" spans="2:6" s="156" customFormat="1" ht="14.25" customHeight="1" x14ac:dyDescent="0.25">
      <c r="B127" s="156" t="s">
        <v>304</v>
      </c>
      <c r="C127" s="164">
        <v>218</v>
      </c>
      <c r="D127" s="164">
        <v>148</v>
      </c>
      <c r="E127" s="164">
        <v>55</v>
      </c>
      <c r="F127" s="165"/>
    </row>
    <row r="128" spans="2:6" ht="14.25" customHeight="1" x14ac:dyDescent="0.25">
      <c r="B128" s="14" t="s">
        <v>285</v>
      </c>
      <c r="C128" s="163">
        <v>4.8</v>
      </c>
      <c r="D128" s="14">
        <v>4.7</v>
      </c>
      <c r="E128" s="163">
        <v>1.9</v>
      </c>
      <c r="F128" s="162"/>
    </row>
    <row r="129" spans="2:6" s="156" customFormat="1" ht="14.25" customHeight="1" x14ac:dyDescent="0.25">
      <c r="B129" s="156" t="s">
        <v>305</v>
      </c>
      <c r="C129" s="166">
        <v>135</v>
      </c>
      <c r="D129" s="166">
        <v>57</v>
      </c>
      <c r="E129" s="166">
        <v>20</v>
      </c>
      <c r="F129" s="165"/>
    </row>
    <row r="130" spans="2:6" ht="14.25" customHeight="1" x14ac:dyDescent="0.25">
      <c r="B130" s="14" t="s">
        <v>285</v>
      </c>
      <c r="C130" s="163">
        <v>3</v>
      </c>
      <c r="D130" s="14">
        <v>1.8</v>
      </c>
      <c r="E130" s="163">
        <v>0.7</v>
      </c>
      <c r="F130" s="162"/>
    </row>
    <row r="131" spans="2:6" ht="14.25" customHeight="1" x14ac:dyDescent="0.25">
      <c r="B131" s="156" t="s">
        <v>306</v>
      </c>
      <c r="C131" s="164">
        <v>4131</v>
      </c>
      <c r="D131" s="164">
        <v>2860</v>
      </c>
      <c r="E131" s="164">
        <v>2755</v>
      </c>
      <c r="F131" s="162"/>
    </row>
    <row r="132" spans="2:6" ht="14.25" customHeight="1" x14ac:dyDescent="0.25">
      <c r="B132" s="14" t="s">
        <v>285</v>
      </c>
      <c r="C132" s="163">
        <v>90.3</v>
      </c>
      <c r="D132" s="14">
        <v>90.6</v>
      </c>
      <c r="E132" s="163">
        <v>94.4</v>
      </c>
      <c r="F132" s="162"/>
    </row>
    <row r="133" spans="2:6" s="156" customFormat="1" ht="14.25" customHeight="1" x14ac:dyDescent="0.25">
      <c r="B133" s="156" t="s">
        <v>307</v>
      </c>
      <c r="C133" s="166">
        <v>6</v>
      </c>
      <c r="D133" s="164">
        <v>27</v>
      </c>
      <c r="E133" s="164">
        <v>31</v>
      </c>
      <c r="F133" s="165"/>
    </row>
    <row r="134" spans="2:6" ht="14.25" customHeight="1" x14ac:dyDescent="0.25">
      <c r="B134" s="14" t="s">
        <v>285</v>
      </c>
      <c r="C134" s="163">
        <v>0.1</v>
      </c>
      <c r="D134" s="14">
        <v>0.9</v>
      </c>
      <c r="E134" s="163">
        <v>1.1000000000000001</v>
      </c>
      <c r="F134" s="162"/>
    </row>
    <row r="135" spans="2:6" ht="14.25" customHeight="1" thickBot="1" x14ac:dyDescent="0.3">
      <c r="B135" s="127" t="s">
        <v>117</v>
      </c>
      <c r="C135" s="159">
        <v>4575</v>
      </c>
      <c r="D135" s="139">
        <v>3155</v>
      </c>
      <c r="E135" s="139">
        <v>2917</v>
      </c>
      <c r="F135" s="162"/>
    </row>
    <row r="136" spans="2:6" ht="14.25" customHeight="1" x14ac:dyDescent="0.25">
      <c r="B136" s="23"/>
      <c r="C136" s="20"/>
      <c r="D136" s="48"/>
      <c r="E136" s="48"/>
      <c r="F136" s="162"/>
    </row>
    <row r="137" spans="2:6" ht="14.25" customHeight="1" thickBot="1" x14ac:dyDescent="0.3">
      <c r="B137" s="191" t="s">
        <v>313</v>
      </c>
      <c r="C137" s="189">
        <v>2021</v>
      </c>
      <c r="D137" s="189">
        <v>2022</v>
      </c>
      <c r="E137" s="189">
        <v>2023</v>
      </c>
      <c r="F137" s="162"/>
    </row>
    <row r="138" spans="2:6" s="156" customFormat="1" ht="14.25" customHeight="1" x14ac:dyDescent="0.25">
      <c r="B138" s="156" t="s">
        <v>295</v>
      </c>
      <c r="C138" s="164">
        <v>253</v>
      </c>
      <c r="D138" s="164">
        <v>113</v>
      </c>
      <c r="E138" s="164">
        <v>178</v>
      </c>
      <c r="F138" s="165"/>
    </row>
    <row r="139" spans="2:6" ht="14.25" customHeight="1" x14ac:dyDescent="0.25">
      <c r="B139" s="14" t="s">
        <v>285</v>
      </c>
      <c r="C139" s="163">
        <v>5.5</v>
      </c>
      <c r="D139" s="14">
        <v>3.6</v>
      </c>
      <c r="E139" s="163">
        <v>6.1</v>
      </c>
      <c r="F139" s="162"/>
    </row>
    <row r="140" spans="2:6" s="156" customFormat="1" ht="14.25" customHeight="1" x14ac:dyDescent="0.25">
      <c r="B140" s="156" t="s">
        <v>296</v>
      </c>
      <c r="C140" s="166">
        <v>569</v>
      </c>
      <c r="D140" s="166">
        <v>336</v>
      </c>
      <c r="E140" s="166">
        <v>299</v>
      </c>
      <c r="F140" s="165"/>
    </row>
    <row r="141" spans="2:6" ht="14.25" customHeight="1" x14ac:dyDescent="0.25">
      <c r="B141" s="14" t="s">
        <v>285</v>
      </c>
      <c r="C141" s="163">
        <v>12.4</v>
      </c>
      <c r="D141" s="14">
        <v>10.6</v>
      </c>
      <c r="E141" s="163">
        <v>10.3</v>
      </c>
      <c r="F141" s="162"/>
    </row>
    <row r="142" spans="2:6" s="156" customFormat="1" ht="14.25" customHeight="1" x14ac:dyDescent="0.25">
      <c r="B142" s="156" t="s">
        <v>297</v>
      </c>
      <c r="C142" s="164">
        <v>179</v>
      </c>
      <c r="D142" s="164">
        <v>88</v>
      </c>
      <c r="E142" s="164">
        <v>100</v>
      </c>
      <c r="F142" s="165"/>
    </row>
    <row r="143" spans="2:6" ht="14.25" customHeight="1" x14ac:dyDescent="0.25">
      <c r="B143" s="14" t="s">
        <v>285</v>
      </c>
      <c r="C143" s="163">
        <v>3.9</v>
      </c>
      <c r="D143" s="14">
        <v>2.8</v>
      </c>
      <c r="E143" s="163">
        <v>3.4</v>
      </c>
      <c r="F143" s="162"/>
    </row>
    <row r="144" spans="2:6" s="156" customFormat="1" ht="14.25" customHeight="1" x14ac:dyDescent="0.25">
      <c r="B144" s="156" t="s">
        <v>298</v>
      </c>
      <c r="C144" s="164">
        <v>2981</v>
      </c>
      <c r="D144" s="164">
        <v>2266</v>
      </c>
      <c r="E144" s="164">
        <v>1939</v>
      </c>
      <c r="F144" s="165"/>
    </row>
    <row r="145" spans="2:6" ht="14.25" customHeight="1" x14ac:dyDescent="0.25">
      <c r="B145" s="14" t="s">
        <v>285</v>
      </c>
      <c r="C145" s="163">
        <v>65.2</v>
      </c>
      <c r="D145" s="14">
        <v>71.8</v>
      </c>
      <c r="E145" s="163">
        <v>66.5</v>
      </c>
      <c r="F145" s="162"/>
    </row>
    <row r="146" spans="2:6" ht="14.25" customHeight="1" x14ac:dyDescent="0.25">
      <c r="B146" s="156" t="s">
        <v>299</v>
      </c>
      <c r="C146" s="166">
        <v>583</v>
      </c>
      <c r="D146" s="166">
        <v>342</v>
      </c>
      <c r="E146" s="166">
        <v>401</v>
      </c>
      <c r="F146" s="162"/>
    </row>
    <row r="147" spans="2:6" ht="14.25" customHeight="1" x14ac:dyDescent="0.25">
      <c r="B147" s="14" t="s">
        <v>285</v>
      </c>
      <c r="C147" s="163">
        <v>12.7</v>
      </c>
      <c r="D147" s="14">
        <v>10.8</v>
      </c>
      <c r="E147" s="163">
        <v>13.7</v>
      </c>
      <c r="F147" s="162"/>
    </row>
    <row r="148" spans="2:6" s="156" customFormat="1" ht="14.25" customHeight="1" x14ac:dyDescent="0.25">
      <c r="B148" s="156" t="s">
        <v>300</v>
      </c>
      <c r="C148" s="166">
        <v>10</v>
      </c>
      <c r="D148" s="164">
        <v>10</v>
      </c>
      <c r="E148" s="114" t="s">
        <v>230</v>
      </c>
      <c r="F148" s="165"/>
    </row>
    <row r="149" spans="2:6" ht="14.25" customHeight="1" x14ac:dyDescent="0.25">
      <c r="B149" s="14" t="s">
        <v>285</v>
      </c>
      <c r="C149" s="163">
        <v>0.2</v>
      </c>
      <c r="D149" s="14">
        <v>0.3</v>
      </c>
      <c r="E149" s="163">
        <v>0</v>
      </c>
      <c r="F149" s="162"/>
    </row>
    <row r="150" spans="2:6" ht="14.25" customHeight="1" thickBot="1" x14ac:dyDescent="0.3">
      <c r="B150" s="127" t="s">
        <v>117</v>
      </c>
      <c r="C150" s="159">
        <v>4575</v>
      </c>
      <c r="D150" s="139">
        <v>3155</v>
      </c>
      <c r="E150" s="139">
        <v>2917</v>
      </c>
      <c r="F150" s="162"/>
    </row>
    <row r="151" spans="2:6" ht="14.25" customHeight="1" x14ac:dyDescent="0.25">
      <c r="B151" s="23"/>
      <c r="C151" s="20"/>
      <c r="D151" s="48"/>
      <c r="E151" s="48"/>
      <c r="F151" s="162"/>
    </row>
    <row r="152" spans="2:6" ht="14.25" customHeight="1" thickBot="1" x14ac:dyDescent="0.3">
      <c r="B152" s="191" t="s">
        <v>314</v>
      </c>
      <c r="C152" s="189">
        <v>2021</v>
      </c>
      <c r="D152" s="189">
        <v>2022</v>
      </c>
      <c r="E152" s="189">
        <v>2023</v>
      </c>
      <c r="F152" s="162"/>
    </row>
    <row r="153" spans="2:6" s="156" customFormat="1" ht="14.25" customHeight="1" x14ac:dyDescent="0.25">
      <c r="B153" s="156" t="s">
        <v>315</v>
      </c>
      <c r="C153" s="164">
        <v>1479</v>
      </c>
      <c r="D153" s="164">
        <v>1207</v>
      </c>
      <c r="E153" s="164">
        <v>875</v>
      </c>
      <c r="F153" s="165"/>
    </row>
    <row r="154" spans="2:6" ht="14.25" customHeight="1" x14ac:dyDescent="0.25">
      <c r="B154" s="14" t="s">
        <v>285</v>
      </c>
      <c r="C154" s="163">
        <v>32.299999999999997</v>
      </c>
      <c r="D154" s="14">
        <v>38.299999999999997</v>
      </c>
      <c r="E154" s="163">
        <v>30</v>
      </c>
      <c r="F154" s="162"/>
    </row>
    <row r="155" spans="2:6" s="156" customFormat="1" ht="14.25" customHeight="1" x14ac:dyDescent="0.25">
      <c r="B155" s="156" t="s">
        <v>316</v>
      </c>
      <c r="C155" s="164">
        <v>2986</v>
      </c>
      <c r="D155" s="164">
        <v>1900</v>
      </c>
      <c r="E155" s="164">
        <v>1934</v>
      </c>
      <c r="F155" s="165"/>
    </row>
    <row r="156" spans="2:6" ht="14.25" customHeight="1" x14ac:dyDescent="0.25">
      <c r="B156" s="14" t="s">
        <v>285</v>
      </c>
      <c r="C156" s="163">
        <v>65.3</v>
      </c>
      <c r="D156" s="14">
        <v>60.2</v>
      </c>
      <c r="E156" s="163">
        <v>66.3</v>
      </c>
      <c r="F156" s="162"/>
    </row>
    <row r="157" spans="2:6" s="156" customFormat="1" ht="14.25" customHeight="1" x14ac:dyDescent="0.25">
      <c r="B157" s="156" t="s">
        <v>317</v>
      </c>
      <c r="C157" s="164">
        <v>110</v>
      </c>
      <c r="D157" s="164">
        <v>48</v>
      </c>
      <c r="E157" s="164">
        <v>108</v>
      </c>
      <c r="F157" s="165"/>
    </row>
    <row r="158" spans="2:6" ht="14.25" customHeight="1" x14ac:dyDescent="0.25">
      <c r="B158" s="14" t="s">
        <v>285</v>
      </c>
      <c r="C158" s="163">
        <v>2.4</v>
      </c>
      <c r="D158" s="14">
        <v>1.5</v>
      </c>
      <c r="E158" s="163">
        <v>3.7</v>
      </c>
      <c r="F158" s="162"/>
    </row>
    <row r="159" spans="2:6" ht="14.25" customHeight="1" thickBot="1" x14ac:dyDescent="0.3">
      <c r="B159" s="127" t="s">
        <v>117</v>
      </c>
      <c r="C159" s="159">
        <v>4575</v>
      </c>
      <c r="D159" s="139">
        <v>3155</v>
      </c>
      <c r="E159" s="139">
        <v>2917</v>
      </c>
      <c r="F159" s="162"/>
    </row>
    <row r="160" spans="2:6" ht="14.25" customHeight="1" x14ac:dyDescent="0.25">
      <c r="B160" s="23"/>
      <c r="C160" s="20"/>
      <c r="D160" s="48"/>
      <c r="E160" s="48"/>
      <c r="F160" s="162"/>
    </row>
    <row r="161" spans="2:6" ht="14.25" customHeight="1" thickBot="1" x14ac:dyDescent="0.3">
      <c r="B161" s="191" t="s">
        <v>318</v>
      </c>
      <c r="C161" s="189">
        <v>2021</v>
      </c>
      <c r="D161" s="189">
        <v>2022</v>
      </c>
      <c r="E161" s="189">
        <v>2023</v>
      </c>
      <c r="F161" s="162"/>
    </row>
    <row r="162" spans="2:6" s="156" customFormat="1" ht="14.25" customHeight="1" x14ac:dyDescent="0.25">
      <c r="B162" s="156" t="s">
        <v>284</v>
      </c>
      <c r="C162" s="164">
        <v>1639</v>
      </c>
      <c r="D162" s="164">
        <v>1627</v>
      </c>
      <c r="E162" s="164">
        <v>1667</v>
      </c>
      <c r="F162" s="165"/>
    </row>
    <row r="163" spans="2:6" ht="14.25" customHeight="1" x14ac:dyDescent="0.25">
      <c r="B163" s="14" t="s">
        <v>285</v>
      </c>
      <c r="C163" s="163">
        <v>63.9</v>
      </c>
      <c r="D163" s="163">
        <v>61</v>
      </c>
      <c r="E163" s="163">
        <v>57.2</v>
      </c>
      <c r="F163" s="162"/>
    </row>
    <row r="164" spans="2:6" s="156" customFormat="1" ht="14.25" customHeight="1" x14ac:dyDescent="0.25">
      <c r="B164" s="156" t="s">
        <v>286</v>
      </c>
      <c r="C164" s="166">
        <v>924</v>
      </c>
      <c r="D164" s="164">
        <v>1040</v>
      </c>
      <c r="E164" s="164">
        <v>1247</v>
      </c>
      <c r="F164" s="165"/>
    </row>
    <row r="165" spans="2:6" ht="14.25" customHeight="1" x14ac:dyDescent="0.25">
      <c r="B165" s="14" t="s">
        <v>285</v>
      </c>
      <c r="C165" s="163">
        <v>36.1</v>
      </c>
      <c r="D165" s="14">
        <v>39</v>
      </c>
      <c r="E165" s="163">
        <v>42.8</v>
      </c>
      <c r="F165" s="162"/>
    </row>
    <row r="166" spans="2:6" ht="14.25" customHeight="1" thickBot="1" x14ac:dyDescent="0.3">
      <c r="B166" s="127" t="s">
        <v>117</v>
      </c>
      <c r="C166" s="159">
        <v>2563</v>
      </c>
      <c r="D166" s="139">
        <v>2667</v>
      </c>
      <c r="E166" s="139">
        <v>2914</v>
      </c>
      <c r="F166" s="162"/>
    </row>
    <row r="167" spans="2:6" ht="14.25" customHeight="1" x14ac:dyDescent="0.25">
      <c r="B167" s="125"/>
      <c r="C167" s="167"/>
      <c r="D167" s="140"/>
      <c r="E167" s="140"/>
      <c r="F167" s="162"/>
    </row>
    <row r="168" spans="2:6" ht="14.25" customHeight="1" thickBot="1" x14ac:dyDescent="0.3">
      <c r="B168" s="191" t="s">
        <v>319</v>
      </c>
      <c r="C168" s="189">
        <v>2021</v>
      </c>
      <c r="D168" s="189">
        <v>2022</v>
      </c>
      <c r="E168" s="189">
        <v>2023</v>
      </c>
      <c r="F168" s="162"/>
    </row>
    <row r="169" spans="2:6" s="156" customFormat="1" ht="14.25" customHeight="1" x14ac:dyDescent="0.25">
      <c r="B169" s="156" t="s">
        <v>302</v>
      </c>
      <c r="C169" s="164">
        <v>8</v>
      </c>
      <c r="D169" s="164">
        <v>9</v>
      </c>
      <c r="E169" s="164">
        <v>11</v>
      </c>
      <c r="F169" s="165"/>
    </row>
    <row r="170" spans="2:6" ht="14.25" customHeight="1" x14ac:dyDescent="0.25">
      <c r="B170" s="14" t="s">
        <v>285</v>
      </c>
      <c r="C170" s="163">
        <v>0.3</v>
      </c>
      <c r="D170" s="14">
        <v>0.3</v>
      </c>
      <c r="E170" s="163">
        <v>0.4</v>
      </c>
      <c r="F170" s="162"/>
    </row>
    <row r="171" spans="2:6" s="156" customFormat="1" ht="14.25" customHeight="1" x14ac:dyDescent="0.25">
      <c r="B171" s="156" t="s">
        <v>303</v>
      </c>
      <c r="C171" s="166">
        <v>91</v>
      </c>
      <c r="D171" s="166">
        <v>114</v>
      </c>
      <c r="E171" s="166">
        <v>110</v>
      </c>
      <c r="F171" s="165"/>
    </row>
    <row r="172" spans="2:6" ht="14.25" customHeight="1" x14ac:dyDescent="0.25">
      <c r="B172" s="14" t="s">
        <v>285</v>
      </c>
      <c r="C172" s="163">
        <v>3.6</v>
      </c>
      <c r="D172" s="14">
        <v>4.3</v>
      </c>
      <c r="E172" s="163">
        <v>3.8</v>
      </c>
      <c r="F172" s="162"/>
    </row>
    <row r="173" spans="2:6" s="156" customFormat="1" ht="14.25" customHeight="1" x14ac:dyDescent="0.25">
      <c r="B173" s="156" t="s">
        <v>304</v>
      </c>
      <c r="C173" s="164">
        <v>127</v>
      </c>
      <c r="D173" s="164">
        <v>161</v>
      </c>
      <c r="E173" s="164">
        <v>154</v>
      </c>
      <c r="F173" s="165"/>
    </row>
    <row r="174" spans="2:6" ht="14.25" customHeight="1" x14ac:dyDescent="0.25">
      <c r="B174" s="14" t="s">
        <v>285</v>
      </c>
      <c r="C174" s="163">
        <v>5</v>
      </c>
      <c r="D174" s="163">
        <v>6</v>
      </c>
      <c r="E174" s="163">
        <v>5.3</v>
      </c>
      <c r="F174" s="162"/>
    </row>
    <row r="175" spans="2:6" s="156" customFormat="1" ht="14.25" customHeight="1" x14ac:dyDescent="0.25">
      <c r="B175" s="156" t="s">
        <v>305</v>
      </c>
      <c r="C175" s="166">
        <v>129</v>
      </c>
      <c r="D175" s="166">
        <v>105</v>
      </c>
      <c r="E175" s="166">
        <v>131</v>
      </c>
      <c r="F175" s="165"/>
    </row>
    <row r="176" spans="2:6" ht="14.25" customHeight="1" x14ac:dyDescent="0.25">
      <c r="B176" s="14" t="s">
        <v>285</v>
      </c>
      <c r="C176" s="163">
        <v>5</v>
      </c>
      <c r="D176" s="14">
        <v>3.9</v>
      </c>
      <c r="E176" s="163">
        <v>4.5</v>
      </c>
      <c r="F176" s="162"/>
    </row>
    <row r="177" spans="2:6" ht="14.25" customHeight="1" x14ac:dyDescent="0.25">
      <c r="B177" s="156" t="s">
        <v>306</v>
      </c>
      <c r="C177" s="164">
        <v>2190</v>
      </c>
      <c r="D177" s="164">
        <v>2268</v>
      </c>
      <c r="E177" s="164">
        <v>2480</v>
      </c>
      <c r="F177" s="162"/>
    </row>
    <row r="178" spans="2:6" ht="14.25" customHeight="1" x14ac:dyDescent="0.25">
      <c r="B178" s="14" t="s">
        <v>285</v>
      </c>
      <c r="C178" s="163">
        <v>85.4</v>
      </c>
      <c r="D178" s="14">
        <v>85</v>
      </c>
      <c r="E178" s="163">
        <v>85.1</v>
      </c>
      <c r="F178" s="162"/>
    </row>
    <row r="179" spans="2:6" s="156" customFormat="1" ht="14.25" customHeight="1" x14ac:dyDescent="0.25">
      <c r="B179" s="156" t="s">
        <v>307</v>
      </c>
      <c r="C179" s="166">
        <v>18</v>
      </c>
      <c r="D179" s="164">
        <v>10</v>
      </c>
      <c r="E179" s="164">
        <v>28</v>
      </c>
      <c r="F179" s="165"/>
    </row>
    <row r="180" spans="2:6" ht="14.25" customHeight="1" x14ac:dyDescent="0.25">
      <c r="B180" s="14" t="s">
        <v>285</v>
      </c>
      <c r="C180" s="163">
        <v>0.7</v>
      </c>
      <c r="D180" s="14">
        <v>0.4</v>
      </c>
      <c r="E180" s="163">
        <v>1</v>
      </c>
      <c r="F180" s="162"/>
    </row>
    <row r="181" spans="2:6" ht="14.25" customHeight="1" thickBot="1" x14ac:dyDescent="0.3">
      <c r="B181" s="127" t="s">
        <v>117</v>
      </c>
      <c r="C181" s="159">
        <v>2563</v>
      </c>
      <c r="D181" s="139">
        <v>2667</v>
      </c>
      <c r="E181" s="139">
        <v>2914</v>
      </c>
      <c r="F181" s="162"/>
    </row>
    <row r="182" spans="2:6" ht="14.25" customHeight="1" x14ac:dyDescent="0.25">
      <c r="B182" s="125"/>
      <c r="C182" s="167"/>
      <c r="D182" s="140"/>
      <c r="E182" s="140"/>
      <c r="F182" s="162"/>
    </row>
    <row r="183" spans="2:6" ht="14.25" customHeight="1" thickBot="1" x14ac:dyDescent="0.3">
      <c r="B183" s="191" t="s">
        <v>320</v>
      </c>
      <c r="C183" s="189">
        <v>2021</v>
      </c>
      <c r="D183" s="189">
        <v>2022</v>
      </c>
      <c r="E183" s="189">
        <v>2023</v>
      </c>
      <c r="F183" s="162"/>
    </row>
    <row r="184" spans="2:6" s="156" customFormat="1" ht="14.25" customHeight="1" x14ac:dyDescent="0.25">
      <c r="B184" s="156" t="s">
        <v>295</v>
      </c>
      <c r="C184" s="164">
        <v>137</v>
      </c>
      <c r="D184" s="164">
        <v>99</v>
      </c>
      <c r="E184" s="164">
        <v>143</v>
      </c>
      <c r="F184" s="165"/>
    </row>
    <row r="185" spans="2:6" ht="14.25" customHeight="1" x14ac:dyDescent="0.25">
      <c r="B185" s="14" t="s">
        <v>285</v>
      </c>
      <c r="C185" s="163">
        <v>5.3</v>
      </c>
      <c r="D185" s="14">
        <v>3.7</v>
      </c>
      <c r="E185" s="163">
        <v>4.9000000000000004</v>
      </c>
      <c r="F185" s="162"/>
    </row>
    <row r="186" spans="2:6" s="156" customFormat="1" ht="14.25" customHeight="1" x14ac:dyDescent="0.25">
      <c r="B186" s="156" t="s">
        <v>296</v>
      </c>
      <c r="C186" s="166">
        <v>303</v>
      </c>
      <c r="D186" s="166">
        <v>172</v>
      </c>
      <c r="E186" s="166">
        <v>186</v>
      </c>
      <c r="F186" s="165"/>
    </row>
    <row r="187" spans="2:6" ht="14.25" customHeight="1" x14ac:dyDescent="0.25">
      <c r="B187" s="14" t="s">
        <v>285</v>
      </c>
      <c r="C187" s="163">
        <v>11.8</v>
      </c>
      <c r="D187" s="14">
        <v>6.4</v>
      </c>
      <c r="E187" s="163">
        <v>6.4</v>
      </c>
      <c r="F187" s="162"/>
    </row>
    <row r="188" spans="2:6" s="156" customFormat="1" ht="14.25" customHeight="1" x14ac:dyDescent="0.25">
      <c r="B188" s="156" t="s">
        <v>297</v>
      </c>
      <c r="C188" s="164">
        <v>106</v>
      </c>
      <c r="D188" s="164">
        <v>53</v>
      </c>
      <c r="E188" s="164">
        <v>55</v>
      </c>
      <c r="F188" s="165"/>
    </row>
    <row r="189" spans="2:6" ht="14.25" customHeight="1" x14ac:dyDescent="0.25">
      <c r="B189" s="14" t="s">
        <v>285</v>
      </c>
      <c r="C189" s="163">
        <v>4.0999999999999996</v>
      </c>
      <c r="D189" s="163">
        <v>2</v>
      </c>
      <c r="E189" s="163">
        <v>1.9</v>
      </c>
      <c r="F189" s="162"/>
    </row>
    <row r="190" spans="2:6" s="156" customFormat="1" ht="14.25" customHeight="1" x14ac:dyDescent="0.25">
      <c r="B190" s="156" t="s">
        <v>298</v>
      </c>
      <c r="C190" s="164">
        <v>1695</v>
      </c>
      <c r="D190" s="164">
        <v>1976</v>
      </c>
      <c r="E190" s="164">
        <v>2182</v>
      </c>
      <c r="F190" s="165"/>
    </row>
    <row r="191" spans="2:6" ht="14.25" customHeight="1" x14ac:dyDescent="0.25">
      <c r="B191" s="14" t="s">
        <v>285</v>
      </c>
      <c r="C191" s="163">
        <v>66.099999999999994</v>
      </c>
      <c r="D191" s="14">
        <v>74.099999999999994</v>
      </c>
      <c r="E191" s="163">
        <v>74.900000000000006</v>
      </c>
      <c r="F191" s="162"/>
    </row>
    <row r="192" spans="2:6" ht="14.25" customHeight="1" x14ac:dyDescent="0.25">
      <c r="B192" s="156" t="s">
        <v>299</v>
      </c>
      <c r="C192" s="166">
        <v>313</v>
      </c>
      <c r="D192" s="166">
        <v>367</v>
      </c>
      <c r="E192" s="166">
        <v>348</v>
      </c>
      <c r="F192" s="162"/>
    </row>
    <row r="193" spans="2:6" ht="14.25" customHeight="1" x14ac:dyDescent="0.25">
      <c r="B193" s="14" t="s">
        <v>285</v>
      </c>
      <c r="C193" s="163">
        <v>12.2</v>
      </c>
      <c r="D193" s="14">
        <v>13.8</v>
      </c>
      <c r="E193" s="163">
        <v>11.9</v>
      </c>
      <c r="F193" s="162"/>
    </row>
    <row r="194" spans="2:6" s="156" customFormat="1" ht="14.25" customHeight="1" x14ac:dyDescent="0.25">
      <c r="B194" s="156" t="s">
        <v>300</v>
      </c>
      <c r="C194" s="166">
        <v>9</v>
      </c>
      <c r="D194" s="164">
        <v>0</v>
      </c>
      <c r="E194" s="114" t="s">
        <v>230</v>
      </c>
      <c r="F194" s="165"/>
    </row>
    <row r="195" spans="2:6" ht="14.25" customHeight="1" x14ac:dyDescent="0.25">
      <c r="B195" s="14" t="s">
        <v>285</v>
      </c>
      <c r="C195" s="163">
        <v>0.4</v>
      </c>
      <c r="D195" s="163">
        <v>0</v>
      </c>
      <c r="E195" s="163">
        <v>0</v>
      </c>
      <c r="F195" s="162"/>
    </row>
    <row r="196" spans="2:6" ht="14.25" customHeight="1" thickBot="1" x14ac:dyDescent="0.3">
      <c r="B196" s="127" t="s">
        <v>117</v>
      </c>
      <c r="C196" s="159">
        <v>2563</v>
      </c>
      <c r="D196" s="139">
        <v>2667</v>
      </c>
      <c r="E196" s="139">
        <v>2914</v>
      </c>
      <c r="F196" s="162"/>
    </row>
    <row r="197" spans="2:6" ht="14.25" customHeight="1" x14ac:dyDescent="0.25">
      <c r="B197" s="125"/>
      <c r="C197" s="167"/>
      <c r="D197" s="140"/>
      <c r="E197" s="140"/>
      <c r="F197" s="162"/>
    </row>
    <row r="198" spans="2:6" ht="14.25" customHeight="1" thickBot="1" x14ac:dyDescent="0.3">
      <c r="B198" s="191" t="s">
        <v>321</v>
      </c>
      <c r="C198" s="189">
        <v>2021</v>
      </c>
      <c r="D198" s="189">
        <v>2022</v>
      </c>
      <c r="E198" s="189">
        <v>2023</v>
      </c>
      <c r="F198" s="162"/>
    </row>
    <row r="199" spans="2:6" s="156" customFormat="1" ht="14.25" customHeight="1" x14ac:dyDescent="0.25">
      <c r="B199" s="156" t="s">
        <v>315</v>
      </c>
      <c r="C199" s="164">
        <v>732</v>
      </c>
      <c r="D199" s="164">
        <v>754</v>
      </c>
      <c r="E199" s="164">
        <v>671</v>
      </c>
      <c r="F199" s="165"/>
    </row>
    <row r="200" spans="2:6" ht="14.25" customHeight="1" x14ac:dyDescent="0.25">
      <c r="B200" s="14" t="s">
        <v>285</v>
      </c>
      <c r="C200" s="163">
        <v>28.6</v>
      </c>
      <c r="D200" s="14">
        <v>28.3</v>
      </c>
      <c r="E200" s="163">
        <v>23</v>
      </c>
      <c r="F200" s="162"/>
    </row>
    <row r="201" spans="2:6" s="156" customFormat="1" ht="14.25" customHeight="1" x14ac:dyDescent="0.25">
      <c r="B201" s="156" t="s">
        <v>316</v>
      </c>
      <c r="C201" s="164">
        <v>1767</v>
      </c>
      <c r="D201" s="164">
        <v>1844</v>
      </c>
      <c r="E201" s="164">
        <v>2134</v>
      </c>
      <c r="F201" s="165"/>
    </row>
    <row r="202" spans="2:6" ht="14.25" customHeight="1" x14ac:dyDescent="0.25">
      <c r="B202" s="14" t="s">
        <v>285</v>
      </c>
      <c r="C202" s="163">
        <v>68.900000000000006</v>
      </c>
      <c r="D202" s="14">
        <v>69.099999999999994</v>
      </c>
      <c r="E202" s="14">
        <v>73.2</v>
      </c>
      <c r="F202" s="162"/>
    </row>
    <row r="203" spans="2:6" s="156" customFormat="1" ht="14.25" customHeight="1" x14ac:dyDescent="0.25">
      <c r="B203" s="156" t="s">
        <v>317</v>
      </c>
      <c r="C203" s="164">
        <v>64</v>
      </c>
      <c r="D203" s="164">
        <v>69</v>
      </c>
      <c r="E203" s="164">
        <v>109</v>
      </c>
      <c r="F203" s="165"/>
    </row>
    <row r="204" spans="2:6" ht="14.25" customHeight="1" x14ac:dyDescent="0.25">
      <c r="B204" s="14" t="s">
        <v>285</v>
      </c>
      <c r="C204" s="163">
        <v>2.5</v>
      </c>
      <c r="D204" s="14">
        <v>2.6</v>
      </c>
      <c r="E204" s="163">
        <v>3.7</v>
      </c>
      <c r="F204" s="162"/>
    </row>
    <row r="205" spans="2:6" ht="14.25" customHeight="1" thickBot="1" x14ac:dyDescent="0.3">
      <c r="B205" s="127" t="s">
        <v>117</v>
      </c>
      <c r="C205" s="159">
        <v>2563</v>
      </c>
      <c r="D205" s="139">
        <v>2667</v>
      </c>
      <c r="E205" s="139">
        <v>2914</v>
      </c>
      <c r="F205" s="162"/>
    </row>
    <row r="206" spans="2:6" ht="14.25" customHeight="1" x14ac:dyDescent="0.25">
      <c r="B206" s="125"/>
      <c r="C206" s="167"/>
      <c r="D206" s="140"/>
      <c r="E206" s="140"/>
      <c r="F206" s="162"/>
    </row>
    <row r="207" spans="2:6" ht="14.25" customHeight="1" thickBot="1" x14ac:dyDescent="0.3">
      <c r="B207" s="191" t="s">
        <v>322</v>
      </c>
      <c r="C207" s="189">
        <v>2021</v>
      </c>
      <c r="D207" s="189">
        <v>2022</v>
      </c>
      <c r="E207" s="189">
        <v>2023</v>
      </c>
      <c r="F207" s="162"/>
    </row>
    <row r="208" spans="2:6" s="156" customFormat="1" ht="14.25" customHeight="1" x14ac:dyDescent="0.25">
      <c r="B208" s="14" t="s">
        <v>284</v>
      </c>
      <c r="C208" s="168">
        <v>0.90687499999999999</v>
      </c>
      <c r="D208" s="169">
        <v>1.1716666666666666</v>
      </c>
      <c r="E208" s="169">
        <v>1.2242476851851851</v>
      </c>
      <c r="F208" s="165"/>
    </row>
    <row r="209" spans="2:6" ht="14.25" customHeight="1" thickBot="1" x14ac:dyDescent="0.3">
      <c r="B209" s="170" t="s">
        <v>286</v>
      </c>
      <c r="C209" s="171">
        <v>0.9431018518518518</v>
      </c>
      <c r="D209" s="172">
        <v>1.0971643518518519</v>
      </c>
      <c r="E209" s="172">
        <v>1.1155324074074073</v>
      </c>
      <c r="F209" s="162"/>
    </row>
    <row r="210" spans="2:6" ht="14.25" customHeight="1" x14ac:dyDescent="0.25">
      <c r="B210" s="125"/>
      <c r="C210" s="167"/>
      <c r="D210" s="140"/>
      <c r="E210" s="140"/>
      <c r="F210" s="162"/>
    </row>
    <row r="211" spans="2:6" ht="14.25" customHeight="1" thickBot="1" x14ac:dyDescent="0.3">
      <c r="B211" s="191" t="s">
        <v>323</v>
      </c>
      <c r="C211" s="189">
        <v>2021</v>
      </c>
      <c r="D211" s="189">
        <v>2022</v>
      </c>
      <c r="E211" s="189">
        <v>2023</v>
      </c>
      <c r="F211" s="162"/>
    </row>
    <row r="212" spans="2:6" ht="14.25" customHeight="1" x14ac:dyDescent="0.25">
      <c r="B212" s="173" t="s">
        <v>324</v>
      </c>
      <c r="C212" s="174">
        <v>89</v>
      </c>
      <c r="D212" s="174">
        <v>96</v>
      </c>
      <c r="E212" s="174">
        <v>85</v>
      </c>
      <c r="F212" s="162"/>
    </row>
    <row r="213" spans="2:6" ht="14.25" customHeight="1" thickBot="1" x14ac:dyDescent="0.3">
      <c r="B213" s="170" t="s">
        <v>325</v>
      </c>
      <c r="C213" s="175">
        <v>66</v>
      </c>
      <c r="D213" s="176">
        <v>85</v>
      </c>
      <c r="E213" s="176">
        <v>78</v>
      </c>
      <c r="F213" s="162"/>
    </row>
    <row r="214" spans="2:6" s="156" customFormat="1" ht="14.25" customHeight="1" thickBot="1" x14ac:dyDescent="0.3">
      <c r="B214" s="127"/>
      <c r="C214" s="177"/>
      <c r="D214" s="178"/>
      <c r="E214" s="178"/>
      <c r="F214" s="165"/>
    </row>
    <row r="215" spans="2:6" ht="14.25" customHeight="1" thickBot="1" x14ac:dyDescent="0.3">
      <c r="B215" s="191" t="s">
        <v>326</v>
      </c>
      <c r="C215" s="189">
        <v>2021</v>
      </c>
      <c r="D215" s="189">
        <v>2022</v>
      </c>
      <c r="E215" s="189">
        <v>2023</v>
      </c>
      <c r="F215" s="162"/>
    </row>
    <row r="216" spans="2:6" ht="14.25" customHeight="1" x14ac:dyDescent="0.25">
      <c r="B216" s="173" t="s">
        <v>324</v>
      </c>
      <c r="C216" s="174">
        <v>100</v>
      </c>
      <c r="D216" s="174">
        <v>100</v>
      </c>
      <c r="E216" s="174">
        <v>93</v>
      </c>
      <c r="F216" s="162"/>
    </row>
    <row r="217" spans="2:6" ht="14.25" customHeight="1" thickBot="1" x14ac:dyDescent="0.3">
      <c r="B217" s="170" t="s">
        <v>325</v>
      </c>
      <c r="C217" s="175">
        <v>69</v>
      </c>
      <c r="D217" s="176">
        <v>85</v>
      </c>
      <c r="E217" s="176">
        <v>78</v>
      </c>
      <c r="F217" s="162"/>
    </row>
    <row r="218" spans="2:6" ht="14.25" customHeight="1" x14ac:dyDescent="0.25">
      <c r="B218" s="125"/>
      <c r="C218" s="167"/>
      <c r="D218" s="140"/>
      <c r="E218" s="140"/>
      <c r="F218" s="162"/>
    </row>
    <row r="219" spans="2:6" ht="14.25" customHeight="1" thickBot="1" x14ac:dyDescent="0.3">
      <c r="B219" s="191" t="s">
        <v>327</v>
      </c>
      <c r="C219" s="189">
        <v>2021</v>
      </c>
      <c r="D219" s="189">
        <v>2022</v>
      </c>
      <c r="E219" s="189">
        <v>2023</v>
      </c>
      <c r="F219" s="162"/>
    </row>
    <row r="220" spans="2:6" ht="14.25" customHeight="1" x14ac:dyDescent="0.25">
      <c r="B220" s="173" t="s">
        <v>324</v>
      </c>
      <c r="C220" s="174">
        <v>74</v>
      </c>
      <c r="D220" s="174">
        <v>91</v>
      </c>
      <c r="E220" s="174">
        <v>79</v>
      </c>
      <c r="F220" s="162"/>
    </row>
    <row r="221" spans="2:6" ht="14.25" customHeight="1" thickBot="1" x14ac:dyDescent="0.3">
      <c r="B221" s="170" t="s">
        <v>325</v>
      </c>
      <c r="C221" s="175">
        <v>63</v>
      </c>
      <c r="D221" s="176">
        <v>74</v>
      </c>
      <c r="E221" s="176">
        <v>60</v>
      </c>
      <c r="F221" s="162"/>
    </row>
    <row r="222" spans="2:6" ht="14.25" customHeight="1" x14ac:dyDescent="0.25">
      <c r="B222" s="125"/>
      <c r="C222" s="167"/>
      <c r="D222" s="140"/>
      <c r="E222" s="140"/>
      <c r="F222" s="162"/>
    </row>
    <row r="223" spans="2:6" ht="14.25" customHeight="1" x14ac:dyDescent="0.25">
      <c r="B223" s="125"/>
      <c r="C223" s="167"/>
      <c r="D223" s="140"/>
      <c r="E223" s="140"/>
      <c r="F223" s="162"/>
    </row>
    <row r="224" spans="2:6" ht="14.25" hidden="1" customHeight="1" x14ac:dyDescent="0.25">
      <c r="B224" s="125"/>
      <c r="C224" s="167"/>
      <c r="D224" s="140"/>
      <c r="E224" s="140"/>
      <c r="F224" s="162"/>
    </row>
    <row r="225" spans="2:32" ht="14.25" hidden="1" customHeight="1" x14ac:dyDescent="0.25">
      <c r="B225" s="125"/>
      <c r="C225" s="167"/>
      <c r="D225" s="140"/>
      <c r="E225" s="140"/>
      <c r="F225" s="162"/>
    </row>
    <row r="226" spans="2:32" ht="14.25" hidden="1" customHeight="1" x14ac:dyDescent="0.25">
      <c r="B226" s="125"/>
      <c r="C226" s="167"/>
      <c r="D226" s="140"/>
      <c r="E226" s="140"/>
      <c r="F226" s="162"/>
    </row>
    <row r="227" spans="2:32" ht="14.25" hidden="1" customHeight="1" x14ac:dyDescent="0.25">
      <c r="B227" s="125"/>
      <c r="C227" s="167"/>
      <c r="D227" s="140"/>
      <c r="E227" s="140"/>
      <c r="F227" s="162"/>
    </row>
    <row r="228" spans="2:32" ht="14.25" hidden="1" customHeight="1" x14ac:dyDescent="0.25"/>
    <row r="233" spans="2:32" ht="0" hidden="1" customHeight="1" x14ac:dyDescent="0.25">
      <c r="AF233" s="14">
        <v>-221.27221609</v>
      </c>
    </row>
  </sheetData>
  <hyperlinks>
    <hyperlink ref="B3" r:id="rId1" xr:uid="{0AF2DBF9-B510-4755-80F6-8B20934E73CD}"/>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7FAE-CE8A-4318-B862-2327CEE24A3C}">
  <sheetPr>
    <tabColor rgb="FFFFE72D"/>
  </sheetPr>
  <dimension ref="A1:BG126"/>
  <sheetViews>
    <sheetView showGridLines="0" topLeftCell="A8" workbookViewId="0">
      <selection activeCell="C17" sqref="C17"/>
    </sheetView>
  </sheetViews>
  <sheetFormatPr defaultColWidth="0" defaultRowHeight="10.5" zeroHeight="1" x14ac:dyDescent="0.25"/>
  <cols>
    <col min="1" max="1" width="2.54296875" style="14" customWidth="1"/>
    <col min="2" max="2" width="60.54296875" style="14" customWidth="1"/>
    <col min="3" max="5" width="11.7265625" style="14" customWidth="1"/>
    <col min="6" max="6" width="2.81640625" style="14" customWidth="1"/>
    <col min="7" max="9" width="10.54296875" style="14" hidden="1" customWidth="1"/>
    <col min="10" max="18" width="0" style="14" hidden="1" customWidth="1"/>
    <col min="19" max="23" width="10.54296875" style="14" hidden="1" customWidth="1"/>
    <col min="24" max="26" width="0" style="14" hidden="1" customWidth="1"/>
    <col min="27" max="28" width="10.54296875" style="14" hidden="1" customWidth="1"/>
    <col min="29" max="36" width="0" style="14" hidden="1" customWidth="1"/>
    <col min="37" max="41" width="10.54296875" style="14" hidden="1" customWidth="1"/>
    <col min="42" max="44" width="0" style="14" hidden="1" customWidth="1"/>
    <col min="45" max="46" width="10.54296875" style="14" hidden="1" customWidth="1"/>
    <col min="47" max="51" width="0" style="14" hidden="1" customWidth="1"/>
    <col min="52" max="53" width="10.54296875" style="14" hidden="1" customWidth="1"/>
    <col min="54" max="59" width="0" style="14" hidden="1" customWidth="1"/>
    <col min="60" max="16384" width="10.54296875" style="14" hidden="1"/>
  </cols>
  <sheetData>
    <row r="1" spans="2:6" ht="14.25" customHeight="1" x14ac:dyDescent="0.25">
      <c r="C1" s="143"/>
      <c r="D1" s="143"/>
      <c r="E1" s="143"/>
      <c r="F1" s="143"/>
    </row>
    <row r="2" spans="2:6" ht="14.25" customHeight="1" x14ac:dyDescent="0.25">
      <c r="B2" s="13" t="s">
        <v>328</v>
      </c>
    </row>
    <row r="3" spans="2:6" ht="14.25" customHeight="1" x14ac:dyDescent="0.25">
      <c r="B3" s="15" t="s">
        <v>225</v>
      </c>
      <c r="C3" s="16"/>
      <c r="D3" s="16"/>
      <c r="E3" s="16"/>
      <c r="F3" s="16"/>
    </row>
    <row r="4" spans="2:6" x14ac:dyDescent="0.25">
      <c r="B4" s="15"/>
      <c r="C4" s="16"/>
      <c r="D4" s="16"/>
      <c r="E4" s="16"/>
      <c r="F4" s="16"/>
    </row>
    <row r="5" spans="2:6" ht="14.25" customHeight="1" thickBot="1" x14ac:dyDescent="0.3">
      <c r="B5" s="191" t="s">
        <v>329</v>
      </c>
      <c r="C5" s="189">
        <v>2021</v>
      </c>
      <c r="D5" s="189">
        <v>2022</v>
      </c>
      <c r="E5" s="189">
        <v>2023</v>
      </c>
      <c r="F5" s="113"/>
    </row>
    <row r="6" spans="2:6" ht="14.25" customHeight="1" x14ac:dyDescent="0.25">
      <c r="B6" s="17" t="s">
        <v>330</v>
      </c>
      <c r="C6" s="18" t="s">
        <v>331</v>
      </c>
      <c r="D6" s="18" t="s">
        <v>332</v>
      </c>
      <c r="E6" s="18" t="s">
        <v>333</v>
      </c>
      <c r="F6" s="18"/>
    </row>
    <row r="7" spans="2:6" ht="14.25" customHeight="1" x14ac:dyDescent="0.25">
      <c r="B7" s="17" t="s">
        <v>334</v>
      </c>
      <c r="C7" s="18" t="s">
        <v>335</v>
      </c>
      <c r="D7" s="18" t="s">
        <v>335</v>
      </c>
      <c r="E7" s="18" t="s">
        <v>335</v>
      </c>
      <c r="F7" s="18"/>
    </row>
    <row r="8" spans="2:6" ht="14.25" customHeight="1" x14ac:dyDescent="0.25">
      <c r="B8" s="17" t="s">
        <v>336</v>
      </c>
      <c r="C8" s="19">
        <v>28.5</v>
      </c>
      <c r="D8" s="19">
        <v>20.5</v>
      </c>
      <c r="E8" s="19">
        <v>18.3</v>
      </c>
      <c r="F8" s="19"/>
    </row>
    <row r="9" spans="2:6" ht="14.25" customHeight="1" x14ac:dyDescent="0.25">
      <c r="B9" s="17" t="s">
        <v>337</v>
      </c>
      <c r="C9" s="20">
        <v>7</v>
      </c>
      <c r="D9" s="20">
        <v>17</v>
      </c>
      <c r="E9" s="20">
        <v>38</v>
      </c>
      <c r="F9" s="20"/>
    </row>
    <row r="10" spans="2:6" ht="14.25" customHeight="1" x14ac:dyDescent="0.25">
      <c r="B10" s="17" t="s">
        <v>338</v>
      </c>
      <c r="C10" s="105">
        <v>3.45</v>
      </c>
      <c r="D10" s="105">
        <v>3.96</v>
      </c>
      <c r="E10" s="105">
        <v>3.96</v>
      </c>
      <c r="F10" s="20"/>
    </row>
    <row r="11" spans="2:6" ht="14.25" customHeight="1" x14ac:dyDescent="0.25">
      <c r="B11" s="17" t="s">
        <v>339</v>
      </c>
      <c r="C11" s="18" t="s">
        <v>230</v>
      </c>
      <c r="D11" s="18" t="s">
        <v>230</v>
      </c>
      <c r="E11" s="18" t="s">
        <v>340</v>
      </c>
      <c r="F11" s="18"/>
    </row>
    <row r="12" spans="2:6" ht="14.25" customHeight="1" thickBot="1" x14ac:dyDescent="0.3">
      <c r="B12" s="21" t="s">
        <v>341</v>
      </c>
      <c r="C12" s="59" t="s">
        <v>230</v>
      </c>
      <c r="D12" s="59" t="s">
        <v>230</v>
      </c>
      <c r="E12" s="22">
        <v>828</v>
      </c>
      <c r="F12" s="18"/>
    </row>
    <row r="13" spans="2:6" x14ac:dyDescent="0.25">
      <c r="B13" s="15"/>
      <c r="C13" s="16"/>
      <c r="D13" s="16"/>
      <c r="E13" s="16"/>
      <c r="F13" s="16"/>
    </row>
    <row r="14" spans="2:6" ht="14.25" customHeight="1" thickBot="1" x14ac:dyDescent="0.3">
      <c r="B14" s="191" t="s">
        <v>342</v>
      </c>
      <c r="C14" s="189">
        <v>2021</v>
      </c>
      <c r="D14" s="189">
        <v>2022</v>
      </c>
      <c r="E14" s="189">
        <v>2023</v>
      </c>
      <c r="F14" s="113"/>
    </row>
    <row r="15" spans="2:6" ht="14.25" customHeight="1" x14ac:dyDescent="0.25">
      <c r="B15" s="17" t="s">
        <v>343</v>
      </c>
      <c r="C15" s="18" t="s">
        <v>247</v>
      </c>
      <c r="D15" s="18" t="s">
        <v>247</v>
      </c>
      <c r="E15" s="18" t="s">
        <v>247</v>
      </c>
      <c r="F15" s="18"/>
    </row>
    <row r="16" spans="2:6" ht="14.25" customHeight="1" x14ac:dyDescent="0.25">
      <c r="B16" s="17" t="s">
        <v>344</v>
      </c>
      <c r="C16" s="18" t="s">
        <v>247</v>
      </c>
      <c r="D16" s="18" t="s">
        <v>247</v>
      </c>
      <c r="E16" s="18" t="s">
        <v>247</v>
      </c>
      <c r="F16" s="18"/>
    </row>
    <row r="17" spans="2:6" ht="14.25" customHeight="1" x14ac:dyDescent="0.25">
      <c r="B17" s="17" t="s">
        <v>345</v>
      </c>
      <c r="C17" s="18" t="s">
        <v>346</v>
      </c>
      <c r="D17" s="18" t="s">
        <v>247</v>
      </c>
      <c r="E17" s="18" t="s">
        <v>247</v>
      </c>
      <c r="F17" s="19"/>
    </row>
    <row r="18" spans="2:6" ht="14.25" customHeight="1" x14ac:dyDescent="0.25">
      <c r="B18" s="17" t="s">
        <v>347</v>
      </c>
      <c r="C18" s="18" t="s">
        <v>346</v>
      </c>
      <c r="D18" s="18" t="s">
        <v>247</v>
      </c>
      <c r="E18" s="18" t="s">
        <v>247</v>
      </c>
      <c r="F18" s="20"/>
    </row>
    <row r="19" spans="2:6" ht="14.25" customHeight="1" thickBot="1" x14ac:dyDescent="0.3">
      <c r="B19" s="21" t="s">
        <v>246</v>
      </c>
      <c r="C19" s="22" t="s">
        <v>346</v>
      </c>
      <c r="D19" s="22" t="s">
        <v>247</v>
      </c>
      <c r="E19" s="22" t="s">
        <v>247</v>
      </c>
      <c r="F19" s="18"/>
    </row>
    <row r="20" spans="2:6" x14ac:dyDescent="0.25">
      <c r="B20" s="125"/>
      <c r="C20" s="167"/>
      <c r="D20" s="140"/>
      <c r="E20" s="140"/>
      <c r="F20" s="162"/>
    </row>
    <row r="21" spans="2:6" x14ac:dyDescent="0.25">
      <c r="B21" s="150" t="s">
        <v>348</v>
      </c>
      <c r="C21" s="20"/>
      <c r="D21" s="20"/>
      <c r="E21" s="20"/>
      <c r="F21" s="20"/>
    </row>
    <row r="22" spans="2:6" x14ac:dyDescent="0.25">
      <c r="B22" s="150"/>
      <c r="C22" s="20"/>
      <c r="D22" s="20"/>
      <c r="E22" s="20"/>
      <c r="F22" s="20"/>
    </row>
    <row r="23" spans="2:6" ht="14.25" customHeight="1" thickBot="1" x14ac:dyDescent="0.3">
      <c r="B23" s="191" t="s">
        <v>349</v>
      </c>
      <c r="C23" s="220" t="s">
        <v>350</v>
      </c>
      <c r="D23" s="220"/>
      <c r="E23" s="220"/>
      <c r="F23" s="113"/>
    </row>
    <row r="24" spans="2:6" ht="14.25" customHeight="1" x14ac:dyDescent="0.25">
      <c r="B24" s="17" t="s">
        <v>351</v>
      </c>
      <c r="C24" s="221" t="s">
        <v>352</v>
      </c>
      <c r="D24" s="221"/>
      <c r="E24" s="221"/>
      <c r="F24" s="18"/>
    </row>
    <row r="25" spans="2:6" ht="14.25" customHeight="1" x14ac:dyDescent="0.25">
      <c r="B25" s="17" t="s">
        <v>353</v>
      </c>
      <c r="C25" s="219" t="s">
        <v>354</v>
      </c>
      <c r="D25" s="219"/>
      <c r="E25" s="219"/>
      <c r="F25" s="18"/>
    </row>
    <row r="26" spans="2:6" ht="14.25" customHeight="1" x14ac:dyDescent="0.25">
      <c r="B26" s="17" t="s">
        <v>355</v>
      </c>
      <c r="C26" s="219" t="s">
        <v>356</v>
      </c>
      <c r="D26" s="219"/>
      <c r="E26" s="219"/>
      <c r="F26" s="19"/>
    </row>
    <row r="27" spans="2:6" ht="14.25" customHeight="1" x14ac:dyDescent="0.25">
      <c r="B27" s="17" t="s">
        <v>357</v>
      </c>
      <c r="C27" s="219" t="s">
        <v>356</v>
      </c>
      <c r="D27" s="219"/>
      <c r="E27" s="219"/>
      <c r="F27" s="20"/>
    </row>
    <row r="28" spans="2:6" x14ac:dyDescent="0.25">
      <c r="B28" s="17" t="s">
        <v>358</v>
      </c>
      <c r="C28" s="219" t="s">
        <v>359</v>
      </c>
      <c r="D28" s="219"/>
      <c r="E28" s="219"/>
    </row>
    <row r="29" spans="2:6" x14ac:dyDescent="0.25">
      <c r="B29" s="17" t="s">
        <v>360</v>
      </c>
      <c r="C29" s="219" t="s">
        <v>361</v>
      </c>
      <c r="D29" s="219"/>
      <c r="E29" s="219"/>
      <c r="F29" s="20"/>
    </row>
    <row r="30" spans="2:6" ht="14.25" customHeight="1" thickBot="1" x14ac:dyDescent="0.3">
      <c r="B30" s="21" t="s">
        <v>362</v>
      </c>
      <c r="C30" s="223" t="s">
        <v>356</v>
      </c>
      <c r="D30" s="223"/>
      <c r="E30" s="223"/>
      <c r="F30" s="18"/>
    </row>
    <row r="31" spans="2:6" x14ac:dyDescent="0.25">
      <c r="B31" s="150"/>
      <c r="C31" s="20"/>
      <c r="D31" s="20"/>
      <c r="E31" s="20"/>
      <c r="F31" s="20"/>
    </row>
    <row r="32" spans="2:6" ht="14.25" customHeight="1" thickBot="1" x14ac:dyDescent="0.3">
      <c r="B32" s="191" t="s">
        <v>363</v>
      </c>
      <c r="C32" s="220"/>
      <c r="D32" s="220"/>
      <c r="E32" s="220"/>
      <c r="F32" s="113"/>
    </row>
    <row r="33" spans="2:6" ht="14.25" customHeight="1" x14ac:dyDescent="0.25">
      <c r="B33" s="17" t="s">
        <v>364</v>
      </c>
      <c r="C33" s="18"/>
      <c r="D33" s="18"/>
      <c r="E33" s="18"/>
      <c r="F33" s="18"/>
    </row>
    <row r="34" spans="2:6" ht="14.25" customHeight="1" x14ac:dyDescent="0.25">
      <c r="B34" s="17" t="s">
        <v>365</v>
      </c>
      <c r="C34" s="18"/>
      <c r="D34" s="18"/>
      <c r="E34" s="18"/>
      <c r="F34" s="18"/>
    </row>
    <row r="35" spans="2:6" ht="14.25" customHeight="1" x14ac:dyDescent="0.25">
      <c r="B35" s="17" t="s">
        <v>366</v>
      </c>
      <c r="C35" s="18"/>
      <c r="D35" s="18"/>
      <c r="E35" s="18"/>
      <c r="F35" s="19"/>
    </row>
    <row r="36" spans="2:6" ht="14.25" customHeight="1" x14ac:dyDescent="0.25">
      <c r="B36" s="17" t="s">
        <v>367</v>
      </c>
      <c r="C36" s="18"/>
      <c r="D36" s="18"/>
      <c r="E36" s="18"/>
      <c r="F36" s="20"/>
    </row>
    <row r="37" spans="2:6" x14ac:dyDescent="0.25">
      <c r="B37" s="17" t="s">
        <v>368</v>
      </c>
    </row>
    <row r="38" spans="2:6" ht="14.25" customHeight="1" thickBot="1" x14ac:dyDescent="0.3">
      <c r="B38" s="21" t="s">
        <v>360</v>
      </c>
      <c r="C38" s="22"/>
      <c r="D38" s="22"/>
      <c r="E38" s="22"/>
      <c r="F38" s="18"/>
    </row>
    <row r="39" spans="2:6" x14ac:dyDescent="0.25"/>
    <row r="40" spans="2:6" ht="14.25" customHeight="1" thickBot="1" x14ac:dyDescent="0.3">
      <c r="B40" s="191" t="s">
        <v>369</v>
      </c>
      <c r="C40" s="189">
        <v>2021</v>
      </c>
      <c r="D40" s="189">
        <v>2022</v>
      </c>
      <c r="E40" s="189">
        <v>2023</v>
      </c>
      <c r="F40" s="113"/>
    </row>
    <row r="41" spans="2:6" ht="14.25" customHeight="1" x14ac:dyDescent="0.25">
      <c r="B41" s="17" t="s">
        <v>370</v>
      </c>
      <c r="C41" s="18">
        <v>7</v>
      </c>
      <c r="D41" s="18">
        <v>6</v>
      </c>
      <c r="E41" s="18">
        <v>6</v>
      </c>
      <c r="F41" s="18"/>
    </row>
    <row r="42" spans="2:6" ht="14.25" customHeight="1" x14ac:dyDescent="0.25">
      <c r="B42" s="17" t="s">
        <v>371</v>
      </c>
      <c r="C42" s="18">
        <v>43</v>
      </c>
      <c r="D42" s="180">
        <v>50</v>
      </c>
      <c r="E42" s="180">
        <v>50</v>
      </c>
      <c r="F42" s="18"/>
    </row>
    <row r="43" spans="2:6" ht="14.25" customHeight="1" x14ac:dyDescent="0.25">
      <c r="B43" s="17" t="s">
        <v>372</v>
      </c>
      <c r="C43" s="18">
        <v>43</v>
      </c>
      <c r="D43" s="180">
        <v>50</v>
      </c>
      <c r="E43" s="180">
        <v>50</v>
      </c>
      <c r="F43" s="19"/>
    </row>
    <row r="44" spans="2:6" ht="14.25" customHeight="1" x14ac:dyDescent="0.25">
      <c r="B44" s="17" t="s">
        <v>373</v>
      </c>
      <c r="C44" s="18" t="s">
        <v>247</v>
      </c>
      <c r="D44" s="18" t="s">
        <v>247</v>
      </c>
      <c r="E44" s="18" t="s">
        <v>247</v>
      </c>
      <c r="F44" s="19"/>
    </row>
    <row r="45" spans="2:6" ht="14.25" customHeight="1" x14ac:dyDescent="0.25">
      <c r="B45" s="17" t="s">
        <v>374</v>
      </c>
      <c r="C45" s="18">
        <v>28</v>
      </c>
      <c r="D45" s="155">
        <v>0</v>
      </c>
      <c r="E45" s="155">
        <v>0</v>
      </c>
      <c r="F45" s="20"/>
    </row>
    <row r="46" spans="2:6" ht="14.25" customHeight="1" x14ac:dyDescent="0.25">
      <c r="B46" s="17" t="s">
        <v>375</v>
      </c>
      <c r="C46" s="18" t="s">
        <v>247</v>
      </c>
      <c r="D46" s="18" t="s">
        <v>346</v>
      </c>
      <c r="E46" s="155" t="s">
        <v>346</v>
      </c>
      <c r="F46" s="20"/>
    </row>
    <row r="47" spans="2:6" ht="14.25" customHeight="1" x14ac:dyDescent="0.25">
      <c r="B47" s="17" t="s">
        <v>376</v>
      </c>
      <c r="C47" s="155">
        <v>100</v>
      </c>
      <c r="D47" s="155">
        <v>100</v>
      </c>
      <c r="E47" s="155">
        <v>100</v>
      </c>
      <c r="F47" s="20"/>
    </row>
    <row r="48" spans="2:6" ht="14.25" customHeight="1" thickBot="1" x14ac:dyDescent="0.3">
      <c r="B48" s="21" t="s">
        <v>377</v>
      </c>
      <c r="C48" s="22" t="s">
        <v>346</v>
      </c>
      <c r="D48" s="22" t="s">
        <v>247</v>
      </c>
      <c r="E48" s="22" t="s">
        <v>247</v>
      </c>
      <c r="F48" s="18"/>
    </row>
    <row r="49" spans="2:6" ht="14.25" customHeight="1" x14ac:dyDescent="0.25">
      <c r="B49" s="17"/>
      <c r="C49" s="18"/>
      <c r="D49" s="18"/>
      <c r="E49" s="18"/>
      <c r="F49" s="18"/>
    </row>
    <row r="50" spans="2:6" ht="16.5" customHeight="1" x14ac:dyDescent="0.25">
      <c r="B50" s="218" t="s">
        <v>378</v>
      </c>
      <c r="C50" s="218"/>
      <c r="D50" s="218"/>
      <c r="E50" s="20"/>
      <c r="F50" s="20"/>
    </row>
    <row r="51" spans="2:6" ht="16.5" customHeight="1" x14ac:dyDescent="0.25">
      <c r="B51" s="112"/>
      <c r="C51" s="112"/>
      <c r="D51" s="112"/>
      <c r="E51" s="20"/>
      <c r="F51" s="20"/>
    </row>
    <row r="52" spans="2:6" ht="14.25" customHeight="1" thickBot="1" x14ac:dyDescent="0.3">
      <c r="B52" s="191" t="s">
        <v>379</v>
      </c>
      <c r="C52" s="220" t="s">
        <v>380</v>
      </c>
      <c r="D52" s="220"/>
      <c r="E52" s="220"/>
      <c r="F52" s="113"/>
    </row>
    <row r="53" spans="2:6" ht="14.25" customHeight="1" x14ac:dyDescent="0.25">
      <c r="B53" s="17" t="s">
        <v>381</v>
      </c>
      <c r="C53" s="221" t="s">
        <v>382</v>
      </c>
      <c r="D53" s="221"/>
      <c r="E53" s="221"/>
      <c r="F53" s="18"/>
    </row>
    <row r="54" spans="2:6" ht="14.25" customHeight="1" x14ac:dyDescent="0.25">
      <c r="B54" s="17" t="s">
        <v>383</v>
      </c>
      <c r="C54" s="219" t="s">
        <v>384</v>
      </c>
      <c r="D54" s="219"/>
      <c r="E54" s="219"/>
      <c r="F54" s="18"/>
    </row>
    <row r="55" spans="2:6" ht="14.25" customHeight="1" thickBot="1" x14ac:dyDescent="0.3">
      <c r="B55" s="21" t="s">
        <v>385</v>
      </c>
      <c r="C55" s="222" t="s">
        <v>386</v>
      </c>
      <c r="D55" s="222"/>
      <c r="E55" s="222"/>
      <c r="F55" s="18"/>
    </row>
    <row r="56" spans="2:6" ht="14.25" customHeight="1" x14ac:dyDescent="0.25">
      <c r="C56" s="167"/>
      <c r="D56" s="140"/>
      <c r="E56" s="140"/>
      <c r="F56" s="162"/>
    </row>
    <row r="57" spans="2:6" ht="14.25" customHeight="1" thickBot="1" x14ac:dyDescent="0.3">
      <c r="B57" s="191" t="s">
        <v>387</v>
      </c>
      <c r="C57" s="189" t="s">
        <v>380</v>
      </c>
      <c r="D57" s="189" t="s">
        <v>388</v>
      </c>
      <c r="E57" s="189" t="s">
        <v>389</v>
      </c>
      <c r="F57" s="113"/>
    </row>
    <row r="58" spans="2:6" ht="14.25" customHeight="1" x14ac:dyDescent="0.25">
      <c r="B58" s="17" t="s">
        <v>390</v>
      </c>
      <c r="C58" s="18" t="s">
        <v>391</v>
      </c>
      <c r="D58" s="18" t="s">
        <v>346</v>
      </c>
      <c r="E58" s="18" t="s">
        <v>392</v>
      </c>
      <c r="F58" s="18"/>
    </row>
    <row r="59" spans="2:6" ht="14.25" customHeight="1" x14ac:dyDescent="0.25">
      <c r="B59" s="17" t="s">
        <v>393</v>
      </c>
      <c r="C59" s="18" t="s">
        <v>394</v>
      </c>
      <c r="D59" s="18" t="s">
        <v>346</v>
      </c>
      <c r="E59" s="181" t="s">
        <v>395</v>
      </c>
      <c r="F59" s="18"/>
    </row>
    <row r="60" spans="2:6" ht="14.25" customHeight="1" x14ac:dyDescent="0.25">
      <c r="B60" s="17" t="s">
        <v>396</v>
      </c>
      <c r="C60" s="18" t="s">
        <v>397</v>
      </c>
      <c r="D60" s="18" t="s">
        <v>346</v>
      </c>
      <c r="E60" s="181" t="s">
        <v>398</v>
      </c>
      <c r="F60" s="19"/>
    </row>
    <row r="61" spans="2:6" ht="14.25" customHeight="1" x14ac:dyDescent="0.25">
      <c r="B61" s="17" t="s">
        <v>399</v>
      </c>
      <c r="C61" s="18" t="s">
        <v>397</v>
      </c>
      <c r="D61" s="18" t="s">
        <v>247</v>
      </c>
      <c r="E61" s="18" t="s">
        <v>400</v>
      </c>
      <c r="F61" s="20"/>
    </row>
    <row r="62" spans="2:6" ht="14.25" customHeight="1" x14ac:dyDescent="0.25">
      <c r="B62" s="17" t="s">
        <v>401</v>
      </c>
      <c r="C62" s="18" t="s">
        <v>397</v>
      </c>
      <c r="D62" s="18" t="s">
        <v>247</v>
      </c>
      <c r="E62" s="18" t="s">
        <v>402</v>
      </c>
      <c r="F62" s="20"/>
    </row>
    <row r="63" spans="2:6" ht="14.25" customHeight="1" thickBot="1" x14ac:dyDescent="0.3">
      <c r="B63" s="21" t="s">
        <v>403</v>
      </c>
      <c r="C63" s="59" t="s">
        <v>397</v>
      </c>
      <c r="D63" s="59" t="s">
        <v>247</v>
      </c>
      <c r="E63" s="22" t="s">
        <v>404</v>
      </c>
      <c r="F63" s="18"/>
    </row>
    <row r="64" spans="2:6" x14ac:dyDescent="0.25">
      <c r="B64" s="150"/>
      <c r="C64" s="20"/>
      <c r="D64" s="20"/>
      <c r="E64" s="20"/>
      <c r="F64" s="20"/>
    </row>
    <row r="65" spans="2:6" ht="14.25" customHeight="1" thickBot="1" x14ac:dyDescent="0.3">
      <c r="B65" s="191" t="s">
        <v>405</v>
      </c>
      <c r="C65" s="189"/>
      <c r="D65" s="189" t="s">
        <v>380</v>
      </c>
      <c r="E65" s="189" t="s">
        <v>388</v>
      </c>
      <c r="F65" s="113"/>
    </row>
    <row r="66" spans="2:6" ht="14.25" customHeight="1" x14ac:dyDescent="0.25">
      <c r="B66" s="17" t="s">
        <v>399</v>
      </c>
      <c r="C66" s="179"/>
      <c r="D66" s="179" t="s">
        <v>406</v>
      </c>
      <c r="E66" s="179" t="s">
        <v>247</v>
      </c>
      <c r="F66" s="18"/>
    </row>
    <row r="67" spans="2:6" ht="14.25" customHeight="1" x14ac:dyDescent="0.25">
      <c r="B67" s="17" t="s">
        <v>401</v>
      </c>
      <c r="C67" s="18"/>
      <c r="D67" s="18" t="s">
        <v>407</v>
      </c>
      <c r="E67" s="18" t="s">
        <v>247</v>
      </c>
      <c r="F67" s="18"/>
    </row>
    <row r="68" spans="2:6" ht="14.25" customHeight="1" thickBot="1" x14ac:dyDescent="0.3">
      <c r="B68" s="21" t="s">
        <v>403</v>
      </c>
      <c r="C68" s="59"/>
      <c r="D68" s="59" t="s">
        <v>407</v>
      </c>
      <c r="E68" s="22" t="s">
        <v>247</v>
      </c>
      <c r="F68" s="18"/>
    </row>
    <row r="69" spans="2:6" x14ac:dyDescent="0.25">
      <c r="B69" s="150"/>
      <c r="C69" s="20"/>
      <c r="D69" s="20"/>
      <c r="E69" s="20"/>
      <c r="F69" s="20"/>
    </row>
    <row r="70" spans="2:6" x14ac:dyDescent="0.25">
      <c r="B70" s="150" t="s">
        <v>408</v>
      </c>
      <c r="C70" s="20"/>
      <c r="D70" s="20"/>
      <c r="E70" s="20"/>
      <c r="F70" s="20"/>
    </row>
    <row r="71" spans="2:6" ht="14.25" customHeight="1" x14ac:dyDescent="0.25">
      <c r="B71" s="125"/>
      <c r="C71" s="167"/>
      <c r="D71" s="140"/>
      <c r="E71" s="140"/>
      <c r="F71" s="162"/>
    </row>
    <row r="72" spans="2:6" ht="14.25" customHeight="1" thickBot="1" x14ac:dyDescent="0.3">
      <c r="B72" s="191" t="s">
        <v>377</v>
      </c>
      <c r="C72" s="189"/>
      <c r="D72" s="189"/>
      <c r="E72" s="189" t="s">
        <v>380</v>
      </c>
      <c r="F72" s="113"/>
    </row>
    <row r="73" spans="2:6" ht="14.25" customHeight="1" x14ac:dyDescent="0.25">
      <c r="B73" s="17" t="s">
        <v>409</v>
      </c>
      <c r="C73" s="18"/>
      <c r="D73" s="18"/>
      <c r="E73" s="18" t="s">
        <v>391</v>
      </c>
      <c r="F73" s="18"/>
    </row>
    <row r="74" spans="2:6" ht="14.25" customHeight="1" x14ac:dyDescent="0.25">
      <c r="B74" s="17" t="s">
        <v>383</v>
      </c>
      <c r="C74" s="18"/>
      <c r="D74" s="18"/>
      <c r="E74" s="18" t="s">
        <v>407</v>
      </c>
      <c r="F74" s="18"/>
    </row>
    <row r="75" spans="2:6" ht="14.25" customHeight="1" x14ac:dyDescent="0.25">
      <c r="B75" s="17" t="s">
        <v>410</v>
      </c>
      <c r="C75" s="18"/>
      <c r="D75" s="18"/>
      <c r="E75" s="18" t="s">
        <v>407</v>
      </c>
      <c r="F75" s="19"/>
    </row>
    <row r="76" spans="2:6" ht="14.25" customHeight="1" x14ac:dyDescent="0.25">
      <c r="B76" s="17" t="s">
        <v>411</v>
      </c>
      <c r="C76" s="18"/>
      <c r="D76" s="18"/>
      <c r="E76" s="18" t="s">
        <v>407</v>
      </c>
      <c r="F76" s="19"/>
    </row>
    <row r="77" spans="2:6" ht="14.25" customHeight="1" x14ac:dyDescent="0.25">
      <c r="B77" s="17" t="s">
        <v>412</v>
      </c>
      <c r="C77" s="18"/>
      <c r="D77" s="18"/>
      <c r="E77" s="18" t="s">
        <v>407</v>
      </c>
      <c r="F77" s="19"/>
    </row>
    <row r="78" spans="2:6" ht="14.25" customHeight="1" x14ac:dyDescent="0.25">
      <c r="B78" s="17" t="s">
        <v>413</v>
      </c>
      <c r="C78" s="18"/>
      <c r="D78" s="18"/>
      <c r="E78" s="18" t="s">
        <v>407</v>
      </c>
      <c r="F78" s="20"/>
    </row>
    <row r="79" spans="2:6" ht="14.25" customHeight="1" x14ac:dyDescent="0.25">
      <c r="B79" s="17" t="s">
        <v>414</v>
      </c>
      <c r="C79" s="18"/>
      <c r="D79" s="18"/>
      <c r="E79" s="18" t="s">
        <v>407</v>
      </c>
      <c r="F79" s="20"/>
    </row>
    <row r="80" spans="2:6" ht="14.25" customHeight="1" thickBot="1" x14ac:dyDescent="0.3">
      <c r="B80" s="21" t="s">
        <v>415</v>
      </c>
      <c r="C80" s="59"/>
      <c r="D80" s="59"/>
      <c r="E80" s="59" t="s">
        <v>407</v>
      </c>
      <c r="F80" s="18"/>
    </row>
    <row r="81" spans="2:6" ht="14.25" customHeight="1" x14ac:dyDescent="0.25">
      <c r="B81" s="17"/>
      <c r="C81" s="54"/>
      <c r="D81" s="54"/>
      <c r="E81" s="18"/>
      <c r="F81" s="18"/>
    </row>
    <row r="82" spans="2:6" ht="14.25" customHeight="1" thickBot="1" x14ac:dyDescent="0.3">
      <c r="B82" s="191" t="s">
        <v>416</v>
      </c>
      <c r="C82" s="189">
        <v>2021</v>
      </c>
      <c r="D82" s="189">
        <v>2022</v>
      </c>
      <c r="E82" s="189">
        <v>2023</v>
      </c>
      <c r="F82" s="113"/>
    </row>
    <row r="83" spans="2:6" ht="14.25" customHeight="1" x14ac:dyDescent="0.25">
      <c r="B83" s="17" t="s">
        <v>417</v>
      </c>
      <c r="C83" s="179" t="s">
        <v>247</v>
      </c>
      <c r="D83" s="179" t="s">
        <v>247</v>
      </c>
      <c r="E83" s="179" t="s">
        <v>247</v>
      </c>
      <c r="F83" s="18"/>
    </row>
    <row r="84" spans="2:6" ht="14.25" customHeight="1" x14ac:dyDescent="0.25">
      <c r="B84" s="17" t="s">
        <v>418</v>
      </c>
      <c r="C84" s="54" t="s">
        <v>346</v>
      </c>
      <c r="D84" s="54" t="s">
        <v>346</v>
      </c>
      <c r="E84" s="54" t="s">
        <v>247</v>
      </c>
      <c r="F84" s="18"/>
    </row>
    <row r="85" spans="2:6" ht="14.25" customHeight="1" x14ac:dyDescent="0.25">
      <c r="B85" s="17" t="s">
        <v>419</v>
      </c>
      <c r="C85" s="54" t="s">
        <v>247</v>
      </c>
      <c r="D85" s="54" t="s">
        <v>247</v>
      </c>
      <c r="E85" s="54" t="s">
        <v>247</v>
      </c>
      <c r="F85" s="18"/>
    </row>
    <row r="86" spans="2:6" ht="14.25" customHeight="1" x14ac:dyDescent="0.25">
      <c r="B86" s="17" t="s">
        <v>420</v>
      </c>
      <c r="C86" s="54" t="s">
        <v>247</v>
      </c>
      <c r="D86" s="54" t="s">
        <v>247</v>
      </c>
      <c r="E86" s="54" t="s">
        <v>247</v>
      </c>
      <c r="F86" s="18"/>
    </row>
    <row r="87" spans="2:6" ht="14.25" customHeight="1" x14ac:dyDescent="0.25">
      <c r="B87" s="17" t="s">
        <v>421</v>
      </c>
      <c r="C87" s="54" t="s">
        <v>247</v>
      </c>
      <c r="D87" s="54" t="s">
        <v>247</v>
      </c>
      <c r="E87" s="54" t="s">
        <v>247</v>
      </c>
      <c r="F87" s="18"/>
    </row>
    <row r="88" spans="2:6" ht="14.25" customHeight="1" x14ac:dyDescent="0.25">
      <c r="B88" s="17" t="s">
        <v>422</v>
      </c>
      <c r="C88" s="54" t="s">
        <v>247</v>
      </c>
      <c r="D88" s="54" t="s">
        <v>247</v>
      </c>
      <c r="E88" s="54" t="s">
        <v>247</v>
      </c>
      <c r="F88" s="18"/>
    </row>
    <row r="89" spans="2:6" ht="14.25" customHeight="1" x14ac:dyDescent="0.25">
      <c r="B89" s="17" t="s">
        <v>423</v>
      </c>
      <c r="C89" s="54" t="s">
        <v>247</v>
      </c>
      <c r="D89" s="54" t="s">
        <v>247</v>
      </c>
      <c r="E89" s="54" t="s">
        <v>247</v>
      </c>
      <c r="F89" s="18"/>
    </row>
    <row r="90" spans="2:6" ht="14.25" customHeight="1" thickBot="1" x14ac:dyDescent="0.3">
      <c r="B90" s="21" t="s">
        <v>424</v>
      </c>
      <c r="C90" s="59" t="s">
        <v>247</v>
      </c>
      <c r="D90" s="59" t="s">
        <v>247</v>
      </c>
      <c r="E90" s="59" t="s">
        <v>247</v>
      </c>
      <c r="F90" s="18"/>
    </row>
    <row r="91" spans="2:6" ht="14.25" customHeight="1" x14ac:dyDescent="0.25">
      <c r="B91" s="17"/>
      <c r="C91" s="54"/>
      <c r="D91" s="54"/>
      <c r="E91" s="18"/>
      <c r="F91" s="18"/>
    </row>
    <row r="92" spans="2:6" ht="14.25" customHeight="1" thickBot="1" x14ac:dyDescent="0.3">
      <c r="B92" s="191" t="s">
        <v>425</v>
      </c>
      <c r="C92" s="189"/>
      <c r="D92" s="189"/>
      <c r="E92" s="189" t="s">
        <v>426</v>
      </c>
      <c r="F92" s="113"/>
    </row>
    <row r="93" spans="2:6" ht="14.25" customHeight="1" x14ac:dyDescent="0.25">
      <c r="B93" s="182" t="s">
        <v>427</v>
      </c>
      <c r="C93" s="179"/>
      <c r="D93" s="179"/>
      <c r="E93" s="183">
        <v>0</v>
      </c>
      <c r="F93" s="18"/>
    </row>
    <row r="94" spans="2:6" ht="14.25" customHeight="1" x14ac:dyDescent="0.25">
      <c r="B94" s="182" t="s">
        <v>428</v>
      </c>
      <c r="C94" s="54"/>
      <c r="D94" s="54"/>
      <c r="E94" s="111">
        <v>0</v>
      </c>
      <c r="F94" s="18"/>
    </row>
    <row r="95" spans="2:6" ht="14.25" customHeight="1" x14ac:dyDescent="0.25">
      <c r="B95" s="182" t="s">
        <v>429</v>
      </c>
      <c r="C95" s="54"/>
      <c r="D95" s="54"/>
      <c r="E95" s="111">
        <v>848733</v>
      </c>
      <c r="F95" s="18"/>
    </row>
    <row r="96" spans="2:6" s="156" customFormat="1" ht="14.25" customHeight="1" thickBot="1" x14ac:dyDescent="0.3">
      <c r="B96" s="119" t="s">
        <v>430</v>
      </c>
      <c r="C96" s="184"/>
      <c r="D96" s="184"/>
      <c r="E96" s="120">
        <v>848733</v>
      </c>
      <c r="F96" s="167"/>
    </row>
    <row r="97" spans="2:6" x14ac:dyDescent="0.25"/>
    <row r="98" spans="2:6" ht="14.25" customHeight="1" thickBot="1" x14ac:dyDescent="0.3">
      <c r="B98" s="191" t="s">
        <v>431</v>
      </c>
      <c r="C98" s="189">
        <v>2021</v>
      </c>
      <c r="D98" s="189">
        <v>2022</v>
      </c>
      <c r="E98" s="189">
        <v>2023</v>
      </c>
      <c r="F98" s="113"/>
    </row>
    <row r="99" spans="2:6" ht="14.25" customHeight="1" x14ac:dyDescent="0.25">
      <c r="B99" s="17" t="s">
        <v>432</v>
      </c>
      <c r="C99" s="185">
        <v>92</v>
      </c>
      <c r="D99" s="185">
        <v>98</v>
      </c>
      <c r="E99" s="185">
        <v>99</v>
      </c>
      <c r="F99" s="113"/>
    </row>
    <row r="100" spans="2:6" ht="14.25" customHeight="1" x14ac:dyDescent="0.25">
      <c r="B100" s="17" t="s">
        <v>433</v>
      </c>
      <c r="C100" s="185">
        <v>92</v>
      </c>
      <c r="D100" s="185">
        <v>98</v>
      </c>
      <c r="E100" s="185">
        <v>99</v>
      </c>
      <c r="F100" s="113"/>
    </row>
    <row r="101" spans="2:6" ht="14.25" customHeight="1" x14ac:dyDescent="0.25">
      <c r="B101" s="17" t="s">
        <v>434</v>
      </c>
      <c r="C101" s="185">
        <v>92</v>
      </c>
      <c r="D101" s="185">
        <v>98</v>
      </c>
      <c r="E101" s="185">
        <v>99</v>
      </c>
      <c r="F101" s="113"/>
    </row>
    <row r="102" spans="2:6" ht="14.25" customHeight="1" x14ac:dyDescent="0.25">
      <c r="B102" s="17" t="s">
        <v>435</v>
      </c>
      <c r="C102" s="185">
        <v>92</v>
      </c>
      <c r="D102" s="185">
        <v>98</v>
      </c>
      <c r="E102" s="185">
        <v>99</v>
      </c>
      <c r="F102" s="113"/>
    </row>
    <row r="103" spans="2:6" ht="14.25" customHeight="1" x14ac:dyDescent="0.25">
      <c r="B103" s="17" t="s">
        <v>436</v>
      </c>
      <c r="C103" s="185">
        <v>92</v>
      </c>
      <c r="D103" s="185">
        <v>98</v>
      </c>
      <c r="E103" s="185">
        <v>99</v>
      </c>
      <c r="F103" s="113"/>
    </row>
    <row r="104" spans="2:6" ht="14.25" customHeight="1" x14ac:dyDescent="0.25">
      <c r="B104" s="17" t="s">
        <v>437</v>
      </c>
      <c r="C104" s="185">
        <v>92</v>
      </c>
      <c r="D104" s="185">
        <v>98</v>
      </c>
      <c r="E104" s="185">
        <v>99</v>
      </c>
      <c r="F104" s="113"/>
    </row>
    <row r="105" spans="2:6" ht="14.25" customHeight="1" x14ac:dyDescent="0.25">
      <c r="B105" s="17" t="s">
        <v>438</v>
      </c>
      <c r="C105" s="185">
        <v>92</v>
      </c>
      <c r="D105" s="185">
        <v>98</v>
      </c>
      <c r="E105" s="185">
        <v>99</v>
      </c>
      <c r="F105" s="113"/>
    </row>
    <row r="106" spans="2:6" ht="14.25" customHeight="1" x14ac:dyDescent="0.25">
      <c r="B106" s="182" t="s">
        <v>439</v>
      </c>
      <c r="C106" s="185">
        <v>92</v>
      </c>
      <c r="D106" s="185">
        <v>98</v>
      </c>
      <c r="E106" s="185">
        <v>99</v>
      </c>
      <c r="F106" s="18"/>
    </row>
    <row r="107" spans="2:6" ht="14.25" customHeight="1" x14ac:dyDescent="0.25">
      <c r="B107" s="182" t="s">
        <v>440</v>
      </c>
      <c r="C107" s="185">
        <v>92</v>
      </c>
      <c r="D107" s="185">
        <v>98</v>
      </c>
      <c r="E107" s="185">
        <v>99</v>
      </c>
      <c r="F107" s="18"/>
    </row>
    <row r="108" spans="2:6" ht="14.25" customHeight="1" x14ac:dyDescent="0.25">
      <c r="B108" s="182" t="s">
        <v>441</v>
      </c>
      <c r="C108" s="185">
        <v>92</v>
      </c>
      <c r="D108" s="185">
        <v>98</v>
      </c>
      <c r="E108" s="185">
        <v>99</v>
      </c>
      <c r="F108" s="18"/>
    </row>
    <row r="109" spans="2:6" ht="14.25" customHeight="1" thickBot="1" x14ac:dyDescent="0.3">
      <c r="B109" s="21" t="s">
        <v>442</v>
      </c>
      <c r="C109" s="186">
        <v>92</v>
      </c>
      <c r="D109" s="186">
        <v>98</v>
      </c>
      <c r="E109" s="186">
        <v>99</v>
      </c>
      <c r="F109" s="18"/>
    </row>
    <row r="110" spans="2:6" ht="14.25" customHeight="1" x14ac:dyDescent="0.25">
      <c r="B110" s="125"/>
      <c r="C110" s="20"/>
      <c r="D110" s="20"/>
      <c r="E110" s="20"/>
      <c r="F110" s="20"/>
    </row>
    <row r="111" spans="2:6" ht="14.25" customHeight="1" thickBot="1" x14ac:dyDescent="0.3">
      <c r="B111" s="191" t="s">
        <v>443</v>
      </c>
      <c r="C111" s="189">
        <v>2021</v>
      </c>
      <c r="D111" s="189">
        <v>2022</v>
      </c>
      <c r="E111" s="189">
        <v>2023</v>
      </c>
      <c r="F111" s="113"/>
    </row>
    <row r="112" spans="2:6" ht="14.25" customHeight="1" x14ac:dyDescent="0.25">
      <c r="B112" s="17" t="s">
        <v>444</v>
      </c>
      <c r="C112" s="18">
        <v>6751</v>
      </c>
      <c r="D112" s="18">
        <v>7223</v>
      </c>
      <c r="E112" s="18">
        <v>7273</v>
      </c>
      <c r="F112" s="113"/>
    </row>
    <row r="113" spans="2:32" ht="14.25" customHeight="1" x14ac:dyDescent="0.25">
      <c r="B113" s="17" t="s">
        <v>445</v>
      </c>
      <c r="C113" s="187">
        <v>44</v>
      </c>
      <c r="D113" s="187">
        <v>19</v>
      </c>
      <c r="E113" s="187">
        <v>49</v>
      </c>
      <c r="F113" s="113"/>
    </row>
    <row r="114" spans="2:32" ht="14.25" customHeight="1" x14ac:dyDescent="0.25">
      <c r="B114" s="17" t="s">
        <v>446</v>
      </c>
      <c r="C114" s="185">
        <v>0.7</v>
      </c>
      <c r="D114" s="185">
        <v>0.3</v>
      </c>
      <c r="E114" s="185">
        <v>0.7</v>
      </c>
      <c r="F114" s="113"/>
    </row>
    <row r="115" spans="2:32" ht="14.25" customHeight="1" x14ac:dyDescent="0.25">
      <c r="B115" s="17" t="s">
        <v>447</v>
      </c>
      <c r="C115" s="187">
        <v>25</v>
      </c>
      <c r="D115" s="187">
        <v>7</v>
      </c>
      <c r="E115" s="187">
        <v>26</v>
      </c>
      <c r="F115" s="113"/>
    </row>
    <row r="116" spans="2:32" ht="14.25" customHeight="1" x14ac:dyDescent="0.25">
      <c r="B116" s="17" t="s">
        <v>448</v>
      </c>
      <c r="C116" s="185">
        <v>56.8</v>
      </c>
      <c r="D116" s="185">
        <v>36.799999999999997</v>
      </c>
      <c r="E116" s="185">
        <v>53.1</v>
      </c>
      <c r="F116" s="113"/>
    </row>
    <row r="117" spans="2:32" ht="14.25" customHeight="1" x14ac:dyDescent="0.25">
      <c r="B117" s="17" t="s">
        <v>449</v>
      </c>
      <c r="C117" s="187">
        <v>19</v>
      </c>
      <c r="D117" s="187">
        <v>12</v>
      </c>
      <c r="E117" s="187">
        <v>23</v>
      </c>
      <c r="F117" s="113"/>
    </row>
    <row r="118" spans="2:32" ht="14.25" customHeight="1" thickBot="1" x14ac:dyDescent="0.3">
      <c r="B118" s="21" t="s">
        <v>450</v>
      </c>
      <c r="C118" s="186">
        <v>43.2</v>
      </c>
      <c r="D118" s="186">
        <v>63.2</v>
      </c>
      <c r="E118" s="186">
        <v>46.9</v>
      </c>
      <c r="F118" s="18"/>
    </row>
    <row r="119" spans="2:32" ht="14.25" customHeight="1" x14ac:dyDescent="0.25">
      <c r="B119" s="24"/>
      <c r="C119" s="20"/>
      <c r="D119" s="20"/>
      <c r="E119" s="20"/>
      <c r="F119" s="20"/>
    </row>
    <row r="120" spans="2:32" ht="14.25" hidden="1" customHeight="1" x14ac:dyDescent="0.25"/>
    <row r="121" spans="2:32" x14ac:dyDescent="0.25"/>
    <row r="124" spans="2:32" x14ac:dyDescent="0.25"/>
    <row r="125" spans="2:32" ht="0" hidden="1" customHeight="1" x14ac:dyDescent="0.25">
      <c r="AF125" s="14">
        <v>-221.27221609</v>
      </c>
    </row>
    <row r="126" spans="2:32" x14ac:dyDescent="0.25"/>
  </sheetData>
  <mergeCells count="14">
    <mergeCell ref="C54:E54"/>
    <mergeCell ref="C55:E55"/>
    <mergeCell ref="C29:E29"/>
    <mergeCell ref="C30:E30"/>
    <mergeCell ref="C32:E32"/>
    <mergeCell ref="B50:D50"/>
    <mergeCell ref="C52:E52"/>
    <mergeCell ref="C53:E53"/>
    <mergeCell ref="C28:E28"/>
    <mergeCell ref="C23:E23"/>
    <mergeCell ref="C24:E24"/>
    <mergeCell ref="C25:E25"/>
    <mergeCell ref="C26:E26"/>
    <mergeCell ref="C27:E27"/>
  </mergeCells>
  <hyperlinks>
    <hyperlink ref="B3" r:id="rId1" xr:uid="{9D17B546-F98B-42C8-85AA-54031BE1C30F}"/>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E779-D7F8-45F5-91FA-774EAFA07C55}">
  <sheetPr>
    <tabColor rgb="FFFFE72D"/>
  </sheetPr>
  <dimension ref="A1:AD56"/>
  <sheetViews>
    <sheetView showGridLines="0" zoomScale="116" zoomScaleNormal="116" workbookViewId="0">
      <pane xSplit="2" ySplit="5" topLeftCell="P36" activePane="bottomRight" state="frozen"/>
      <selection pane="topRight" activeCell="C1" sqref="C1"/>
      <selection pane="bottomLeft" activeCell="A6" sqref="A6"/>
      <selection pane="bottomRight" activeCell="L53" sqref="L53"/>
    </sheetView>
  </sheetViews>
  <sheetFormatPr defaultColWidth="10.54296875" defaultRowHeight="14.25" customHeight="1" x14ac:dyDescent="0.35"/>
  <cols>
    <col min="1" max="1" width="2.54296875" style="3" customWidth="1"/>
    <col min="2" max="2" width="60.54296875" style="24" customWidth="1"/>
    <col min="3" max="24" width="10.54296875" style="24" customWidth="1"/>
    <col min="25" max="25" width="2.54296875" style="24" customWidth="1"/>
    <col min="26" max="30" width="10.7265625" style="24" customWidth="1"/>
    <col min="31" max="31" width="2.54296875" style="1" customWidth="1"/>
    <col min="32" max="16384" width="10.54296875" style="1"/>
  </cols>
  <sheetData>
    <row r="1" spans="1:30" ht="14.25" customHeight="1" x14ac:dyDescent="0.35">
      <c r="B1" s="19"/>
      <c r="C1" s="19"/>
      <c r="D1" s="19"/>
      <c r="E1" s="19"/>
      <c r="F1" s="19"/>
      <c r="G1" s="19"/>
      <c r="H1" s="19"/>
      <c r="I1" s="19"/>
      <c r="J1" s="19"/>
      <c r="K1" s="19"/>
      <c r="L1" s="19"/>
      <c r="M1" s="19"/>
      <c r="N1" s="19"/>
      <c r="O1" s="37"/>
      <c r="P1" s="37"/>
      <c r="Q1" s="37"/>
      <c r="R1" s="37"/>
      <c r="S1" s="37"/>
      <c r="T1" s="37"/>
      <c r="U1" s="37"/>
      <c r="V1" s="37"/>
      <c r="W1" s="37"/>
      <c r="X1" s="104"/>
    </row>
    <row r="2" spans="1:30" ht="14.25" customHeight="1" x14ac:dyDescent="0.35">
      <c r="B2" s="13" t="s">
        <v>0</v>
      </c>
      <c r="C2" s="19"/>
      <c r="D2" s="19"/>
      <c r="E2" s="19"/>
      <c r="F2" s="19"/>
      <c r="G2" s="19"/>
      <c r="H2" s="19"/>
      <c r="I2" s="19"/>
      <c r="J2" s="19"/>
      <c r="K2" s="19"/>
      <c r="L2" s="19"/>
      <c r="M2" s="19"/>
      <c r="N2" s="19"/>
      <c r="O2" s="37"/>
      <c r="P2" s="37"/>
      <c r="Q2" s="37"/>
      <c r="R2" s="37"/>
      <c r="S2" s="37"/>
      <c r="T2" s="104"/>
      <c r="U2" s="104"/>
      <c r="V2" s="104"/>
      <c r="W2" s="104"/>
      <c r="X2" s="104"/>
      <c r="AA2" s="105"/>
    </row>
    <row r="3" spans="1:30" ht="14.25" customHeight="1" x14ac:dyDescent="0.35">
      <c r="B3" s="15" t="s">
        <v>1</v>
      </c>
      <c r="C3" s="19"/>
      <c r="D3" s="19"/>
      <c r="E3" s="19"/>
      <c r="F3" s="19"/>
      <c r="G3" s="19"/>
      <c r="H3" s="47"/>
      <c r="I3" s="47"/>
      <c r="J3" s="47"/>
      <c r="O3" s="190"/>
      <c r="P3" s="37"/>
      <c r="Q3" s="37"/>
      <c r="R3" s="37"/>
      <c r="S3" s="37"/>
      <c r="T3" s="37"/>
      <c r="U3" s="37"/>
      <c r="V3" s="37"/>
      <c r="W3" s="37"/>
      <c r="X3" s="104"/>
      <c r="AA3" s="47"/>
      <c r="AB3" s="48"/>
    </row>
    <row r="4" spans="1:30" ht="14.25" customHeight="1" x14ac:dyDescent="0.35">
      <c r="B4" s="55"/>
      <c r="C4" s="19"/>
      <c r="D4" s="19"/>
      <c r="E4" s="19"/>
      <c r="F4" s="19"/>
      <c r="G4" s="19"/>
      <c r="H4" s="47"/>
      <c r="I4" s="47"/>
      <c r="J4" s="47"/>
      <c r="M4" s="37"/>
      <c r="N4" s="37"/>
      <c r="O4" s="190"/>
      <c r="P4" s="37"/>
      <c r="Q4" s="37"/>
      <c r="R4" s="37"/>
      <c r="S4" s="37"/>
      <c r="T4" s="37"/>
      <c r="U4" s="37"/>
      <c r="V4" s="37"/>
      <c r="W4" s="37"/>
      <c r="X4" s="37"/>
    </row>
    <row r="5" spans="1:30" ht="14.25" customHeight="1" thickBot="1" x14ac:dyDescent="0.4">
      <c r="B5" s="191" t="s">
        <v>487</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
        <v>20</v>
      </c>
      <c r="U5" s="189" t="s">
        <v>21</v>
      </c>
      <c r="V5" s="189" t="s">
        <v>22</v>
      </c>
      <c r="W5" s="189" t="s">
        <v>457</v>
      </c>
      <c r="X5" s="189" t="s">
        <v>493</v>
      </c>
      <c r="Z5" s="189">
        <v>2020</v>
      </c>
      <c r="AA5" s="189">
        <v>2021</v>
      </c>
      <c r="AB5" s="189">
        <v>2022</v>
      </c>
      <c r="AC5" s="189">
        <v>2023</v>
      </c>
      <c r="AD5" s="189">
        <v>2024</v>
      </c>
    </row>
    <row r="6" spans="1:30" ht="14.25" customHeight="1" x14ac:dyDescent="0.35">
      <c r="B6" s="63" t="s">
        <v>32</v>
      </c>
      <c r="C6" s="57" t="s">
        <v>28</v>
      </c>
      <c r="D6" s="57" t="s">
        <v>28</v>
      </c>
      <c r="E6" s="57" t="s">
        <v>28</v>
      </c>
      <c r="F6" s="57">
        <v>13</v>
      </c>
      <c r="G6" s="57">
        <v>14.8</v>
      </c>
      <c r="H6" s="57">
        <v>17.600000000000001</v>
      </c>
      <c r="I6" s="57">
        <v>19.600000000000001</v>
      </c>
      <c r="J6" s="57">
        <v>21.9</v>
      </c>
      <c r="K6" s="57">
        <v>23.2</v>
      </c>
      <c r="L6" s="57">
        <v>24.8</v>
      </c>
      <c r="M6" s="57">
        <v>25.9</v>
      </c>
      <c r="N6" s="57">
        <v>27.7</v>
      </c>
      <c r="O6" s="57">
        <v>28.673310000000001</v>
      </c>
      <c r="P6" s="57">
        <v>29.451136999999999</v>
      </c>
      <c r="Q6" s="57">
        <v>30.198974</v>
      </c>
      <c r="R6" s="57">
        <v>31.104813</v>
      </c>
      <c r="S6" s="57">
        <v>31.402324</v>
      </c>
      <c r="T6" s="57">
        <v>31.627034999999999</v>
      </c>
      <c r="U6" s="57">
        <v>32.078577000000003</v>
      </c>
      <c r="V6" s="57">
        <v>33.191000000000003</v>
      </c>
      <c r="W6" s="57">
        <v>31.997605</v>
      </c>
      <c r="X6" s="57">
        <v>33.051000000000002</v>
      </c>
      <c r="Z6" s="57">
        <v>13</v>
      </c>
      <c r="AA6" s="57">
        <v>21.9</v>
      </c>
      <c r="AB6" s="57">
        <v>27.7</v>
      </c>
      <c r="AC6" s="57">
        <v>31.104813</v>
      </c>
      <c r="AD6" s="57">
        <v>33.191000000000003</v>
      </c>
    </row>
    <row r="7" spans="1:30" ht="14.25" customHeight="1" x14ac:dyDescent="0.35">
      <c r="B7" s="64" t="s">
        <v>33</v>
      </c>
      <c r="C7" s="40">
        <v>6.0714520000000007</v>
      </c>
      <c r="D7" s="40">
        <v>6.9676890000000009</v>
      </c>
      <c r="E7" s="40">
        <v>8.4234159999999996</v>
      </c>
      <c r="F7" s="40">
        <v>9.7531770000000009</v>
      </c>
      <c r="G7" s="40">
        <v>10.786362</v>
      </c>
      <c r="H7" s="40">
        <v>12.644192</v>
      </c>
      <c r="I7" s="40">
        <v>13.469811999999999</v>
      </c>
      <c r="J7" s="40">
        <v>14.170696</v>
      </c>
      <c r="K7" s="40">
        <v>15.313468</v>
      </c>
      <c r="L7" s="40">
        <v>15.971961</v>
      </c>
      <c r="M7" s="40">
        <v>16.425982000000001</v>
      </c>
      <c r="N7" s="40">
        <v>16.826250999999999</v>
      </c>
      <c r="O7" s="40">
        <f>SUM(O8:O10)</f>
        <v>16.905943999999998</v>
      </c>
      <c r="P7" s="40">
        <f t="shared" ref="P7:U7" si="0">SUM(P8:P10)</f>
        <v>17.012934000000001</v>
      </c>
      <c r="Q7" s="40">
        <f t="shared" si="0"/>
        <v>17.257832000000001</v>
      </c>
      <c r="R7" s="40">
        <f t="shared" si="0"/>
        <v>17.215948000000004</v>
      </c>
      <c r="S7" s="40">
        <f t="shared" si="0"/>
        <v>17.338736999999998</v>
      </c>
      <c r="T7" s="40">
        <f t="shared" si="0"/>
        <v>17.681937000000001</v>
      </c>
      <c r="U7" s="40">
        <f t="shared" si="0"/>
        <v>17.682853000000001</v>
      </c>
      <c r="V7" s="40">
        <v>17.786242000000001</v>
      </c>
      <c r="W7" s="40">
        <v>17.674077</v>
      </c>
      <c r="X7" s="40">
        <f t="shared" ref="X7" si="1">SUM(X8:X10)</f>
        <v>17.702000000000002</v>
      </c>
      <c r="Z7" s="40">
        <v>9.7531770000000009</v>
      </c>
      <c r="AA7" s="40">
        <v>14.170696</v>
      </c>
      <c r="AB7" s="40">
        <v>16.826250999999999</v>
      </c>
      <c r="AC7" s="40">
        <v>17.215948000000004</v>
      </c>
      <c r="AD7" s="40">
        <v>17.786242000000001</v>
      </c>
    </row>
    <row r="8" spans="1:30" ht="14.25" customHeight="1" x14ac:dyDescent="0.35">
      <c r="B8" s="12" t="s">
        <v>468</v>
      </c>
      <c r="C8" s="38">
        <v>0.57544700000000004</v>
      </c>
      <c r="D8" s="38">
        <v>1.1726920000000001</v>
      </c>
      <c r="E8" s="38">
        <v>2.1544690000000002</v>
      </c>
      <c r="F8" s="38">
        <v>2.7190150000000002</v>
      </c>
      <c r="G8" s="38">
        <v>3.451562</v>
      </c>
      <c r="H8" s="38">
        <v>5.0831739999999996</v>
      </c>
      <c r="I8" s="38">
        <v>5.7690650000000003</v>
      </c>
      <c r="J8" s="38">
        <v>6.4779099999999996</v>
      </c>
      <c r="K8" s="38">
        <v>7.6428270000000005</v>
      </c>
      <c r="L8" s="38">
        <v>8.5012509999999999</v>
      </c>
      <c r="M8" s="38">
        <v>9.1110360000000004</v>
      </c>
      <c r="N8" s="38">
        <v>9.7458179999999999</v>
      </c>
      <c r="O8" s="38">
        <v>9.9894730000000003</v>
      </c>
      <c r="P8" s="38">
        <v>10.245122000000002</v>
      </c>
      <c r="Q8" s="38">
        <v>10.605456</v>
      </c>
      <c r="R8" s="38">
        <v>10.676731999999999</v>
      </c>
      <c r="S8" s="38">
        <v>10.850541</v>
      </c>
      <c r="T8" s="38">
        <v>11.238928</v>
      </c>
      <c r="U8" s="38">
        <v>11.268771000000001</v>
      </c>
      <c r="V8" s="38">
        <v>11.441878000000001</v>
      </c>
      <c r="W8" s="38">
        <v>11.40386</v>
      </c>
      <c r="X8" s="38">
        <v>11.459</v>
      </c>
      <c r="Z8" s="38">
        <v>2.7190150000000002</v>
      </c>
      <c r="AA8" s="38">
        <v>6.4779099999999996</v>
      </c>
      <c r="AB8" s="38">
        <v>9.7458179999999999</v>
      </c>
      <c r="AC8" s="38">
        <v>10.676731999999999</v>
      </c>
      <c r="AD8" s="38">
        <v>11.441878000000001</v>
      </c>
    </row>
    <row r="9" spans="1:30" ht="14.25" customHeight="1" x14ac:dyDescent="0.35">
      <c r="B9" s="12" t="s">
        <v>465</v>
      </c>
      <c r="C9" s="38">
        <v>3.17381</v>
      </c>
      <c r="D9" s="38">
        <v>3.740799</v>
      </c>
      <c r="E9" s="38">
        <v>4.5240479999999996</v>
      </c>
      <c r="F9" s="38">
        <v>5.1456390000000001</v>
      </c>
      <c r="G9" s="38">
        <v>5.6796839999999991</v>
      </c>
      <c r="H9" s="38">
        <v>6.1611820000000002</v>
      </c>
      <c r="I9" s="38">
        <v>6.4</v>
      </c>
      <c r="J9" s="38">
        <v>6.5946200000000008</v>
      </c>
      <c r="K9" s="38">
        <v>6.6874849999999979</v>
      </c>
      <c r="L9" s="38">
        <v>6.6413649999999995</v>
      </c>
      <c r="M9" s="38">
        <v>6.7</v>
      </c>
      <c r="N9" s="38">
        <v>6.4504249999999992</v>
      </c>
      <c r="O9" s="38">
        <v>6.3058290000000001</v>
      </c>
      <c r="P9" s="38">
        <v>6.1950569999999985</v>
      </c>
      <c r="Q9" s="38">
        <v>6.1335990000000002</v>
      </c>
      <c r="R9" s="38">
        <v>6.0708100000000016</v>
      </c>
      <c r="S9" s="38">
        <v>6.0506370000000009</v>
      </c>
      <c r="T9" s="38">
        <v>6.0428649999999982</v>
      </c>
      <c r="U9" s="38">
        <v>6.033599999999999</v>
      </c>
      <c r="V9" s="38">
        <v>6.001075000000001</v>
      </c>
      <c r="W9" s="38">
        <v>5.9287900000000011</v>
      </c>
      <c r="X9" s="38">
        <v>5.931</v>
      </c>
      <c r="Z9" s="38">
        <v>5.1456390000000001</v>
      </c>
      <c r="AA9" s="38">
        <v>6.5946200000000008</v>
      </c>
      <c r="AB9" s="38">
        <v>6.4504249999999992</v>
      </c>
      <c r="AC9" s="38">
        <v>6.0708100000000016</v>
      </c>
      <c r="AD9" s="38">
        <v>6.001075000000001</v>
      </c>
    </row>
    <row r="10" spans="1:30" ht="14.25" customHeight="1" x14ac:dyDescent="0.35">
      <c r="B10" s="12" t="s">
        <v>469</v>
      </c>
      <c r="C10" s="38">
        <v>2.3221950000000002</v>
      </c>
      <c r="D10" s="38">
        <v>2.0541980000000004</v>
      </c>
      <c r="E10" s="38">
        <v>1.7448990000000002</v>
      </c>
      <c r="F10" s="38">
        <v>1.8885230000000002</v>
      </c>
      <c r="G10" s="38">
        <v>1.6551160000000005</v>
      </c>
      <c r="H10" s="38">
        <v>1.3998359999999996</v>
      </c>
      <c r="I10" s="38">
        <v>1.3007469999999994</v>
      </c>
      <c r="J10" s="38">
        <v>1.0981659999999991</v>
      </c>
      <c r="K10" s="38">
        <v>0.98315600000000192</v>
      </c>
      <c r="L10" s="38">
        <v>0.82934500000000089</v>
      </c>
      <c r="M10" s="38">
        <v>0.61494599999999977</v>
      </c>
      <c r="N10" s="38">
        <v>0.63000800000000012</v>
      </c>
      <c r="O10" s="38">
        <v>0.6106419999999998</v>
      </c>
      <c r="P10" s="38">
        <v>0.57275500000000013</v>
      </c>
      <c r="Q10" s="38">
        <v>0.51877699999999916</v>
      </c>
      <c r="R10" s="38">
        <v>0.46840599999999993</v>
      </c>
      <c r="S10" s="38">
        <v>0.43755899999999837</v>
      </c>
      <c r="T10" s="38">
        <v>0.40014400000000294</v>
      </c>
      <c r="U10" s="38">
        <v>0.38048200000000176</v>
      </c>
      <c r="V10" s="38">
        <v>0.34328899999999885</v>
      </c>
      <c r="W10" s="38">
        <v>0.34142699999999876</v>
      </c>
      <c r="X10" s="38">
        <v>0.312</v>
      </c>
      <c r="Z10" s="38">
        <v>1.8885230000000002</v>
      </c>
      <c r="AA10" s="38">
        <v>1.0981659999999991</v>
      </c>
      <c r="AB10" s="38">
        <v>0.63000800000000012</v>
      </c>
      <c r="AC10" s="38">
        <v>0.46840599999999993</v>
      </c>
      <c r="AD10" s="38">
        <v>0.34328899999999885</v>
      </c>
    </row>
    <row r="11" spans="1:30" ht="14.25" customHeight="1" x14ac:dyDescent="0.35">
      <c r="B11" s="43" t="s">
        <v>466</v>
      </c>
      <c r="C11" s="40">
        <v>3.7492570000000001</v>
      </c>
      <c r="D11" s="40">
        <v>4.9134910000000005</v>
      </c>
      <c r="E11" s="40">
        <v>6.6785169999999994</v>
      </c>
      <c r="F11" s="40">
        <v>7.8646539999999998</v>
      </c>
      <c r="G11" s="40">
        <v>9.1312459999999991</v>
      </c>
      <c r="H11" s="40">
        <v>11.244356</v>
      </c>
      <c r="I11" s="40">
        <v>12.169065</v>
      </c>
      <c r="J11" s="40">
        <v>13.07253</v>
      </c>
      <c r="K11" s="40">
        <v>14.330311999999999</v>
      </c>
      <c r="L11" s="40">
        <v>15.142616</v>
      </c>
      <c r="M11" s="40">
        <v>15.811036000000001</v>
      </c>
      <c r="N11" s="40">
        <v>16.196242999999999</v>
      </c>
      <c r="O11" s="40">
        <f>SUM(O8:O9)</f>
        <v>16.295302</v>
      </c>
      <c r="P11" s="40">
        <f t="shared" ref="P11:U12" si="2">SUM(P8:P9)</f>
        <v>16.440179000000001</v>
      </c>
      <c r="Q11" s="40">
        <f t="shared" si="2"/>
        <v>16.739055</v>
      </c>
      <c r="R11" s="40">
        <f t="shared" si="2"/>
        <v>16.747542000000003</v>
      </c>
      <c r="S11" s="40">
        <f t="shared" si="2"/>
        <v>16.901178000000002</v>
      </c>
      <c r="T11" s="40">
        <f t="shared" si="2"/>
        <v>17.281792999999997</v>
      </c>
      <c r="U11" s="40">
        <f t="shared" si="2"/>
        <v>17.302371000000001</v>
      </c>
      <c r="V11" s="40">
        <f t="shared" ref="V11" si="3">SUM(V8:V9)</f>
        <v>17.442953000000003</v>
      </c>
      <c r="W11" s="40">
        <v>17.332650000000001</v>
      </c>
      <c r="X11" s="40">
        <f t="shared" ref="X11:X12" si="4">SUM(X8:X9)</f>
        <v>17.39</v>
      </c>
      <c r="Z11" s="40">
        <v>7.8646539999999998</v>
      </c>
      <c r="AA11" s="40">
        <v>13.07253</v>
      </c>
      <c r="AB11" s="40">
        <v>16.196242999999999</v>
      </c>
      <c r="AC11" s="40">
        <v>16.747542000000003</v>
      </c>
      <c r="AD11" s="40">
        <v>17.442953000000003</v>
      </c>
    </row>
    <row r="12" spans="1:30" ht="13.5" customHeight="1" thickBot="1" x14ac:dyDescent="0.4">
      <c r="B12" s="49" t="s">
        <v>467</v>
      </c>
      <c r="C12" s="45">
        <v>5.4960050000000003</v>
      </c>
      <c r="D12" s="45">
        <v>5.7949970000000004</v>
      </c>
      <c r="E12" s="45">
        <v>6.2689469999999998</v>
      </c>
      <c r="F12" s="45">
        <v>7.0341620000000002</v>
      </c>
      <c r="G12" s="45">
        <v>7.3347999999999995</v>
      </c>
      <c r="H12" s="45">
        <v>7.5610179999999998</v>
      </c>
      <c r="I12" s="45">
        <v>7.7007469999999998</v>
      </c>
      <c r="J12" s="45">
        <v>7.6927859999999999</v>
      </c>
      <c r="K12" s="45">
        <v>7.6706409999999998</v>
      </c>
      <c r="L12" s="45">
        <v>7.4707100000000004</v>
      </c>
      <c r="M12" s="45">
        <v>7.3149459999999999</v>
      </c>
      <c r="N12" s="45">
        <v>7.0804329999999993</v>
      </c>
      <c r="O12" s="45">
        <f>SUM(O9:O10)</f>
        <v>6.9164709999999996</v>
      </c>
      <c r="P12" s="45">
        <f t="shared" si="2"/>
        <v>6.7678119999999984</v>
      </c>
      <c r="Q12" s="45">
        <f t="shared" si="2"/>
        <v>6.6523759999999994</v>
      </c>
      <c r="R12" s="45">
        <f t="shared" si="2"/>
        <v>6.5392160000000015</v>
      </c>
      <c r="S12" s="45">
        <f t="shared" si="2"/>
        <v>6.4881959999999994</v>
      </c>
      <c r="T12" s="45">
        <f t="shared" si="2"/>
        <v>6.4430090000000009</v>
      </c>
      <c r="U12" s="45">
        <f t="shared" si="2"/>
        <v>6.4140820000000005</v>
      </c>
      <c r="V12" s="45">
        <f t="shared" ref="V12" si="5">SUM(V9:V10)</f>
        <v>6.3443639999999997</v>
      </c>
      <c r="W12" s="45">
        <v>6.2702169999999997</v>
      </c>
      <c r="X12" s="45">
        <f t="shared" si="4"/>
        <v>6.2430000000000003</v>
      </c>
      <c r="Z12" s="45">
        <v>7.0341620000000002</v>
      </c>
      <c r="AA12" s="45">
        <v>7.6927859999999999</v>
      </c>
      <c r="AB12" s="45">
        <v>7.0804329999999993</v>
      </c>
      <c r="AC12" s="45">
        <v>6.5392160000000015</v>
      </c>
      <c r="AD12" s="45">
        <v>6.3443639999999997</v>
      </c>
    </row>
    <row r="13" spans="1:30" ht="14.25" customHeight="1" x14ac:dyDescent="0.35">
      <c r="B13" s="65" t="s">
        <v>39</v>
      </c>
      <c r="C13" s="38"/>
      <c r="D13" s="38"/>
      <c r="E13" s="38"/>
      <c r="F13" s="38"/>
      <c r="G13" s="38"/>
      <c r="H13" s="38"/>
      <c r="I13" s="38"/>
      <c r="J13" s="38"/>
      <c r="K13" s="38"/>
      <c r="L13" s="38"/>
      <c r="M13" s="38"/>
      <c r="N13" s="38"/>
      <c r="O13" s="38"/>
      <c r="P13" s="38"/>
      <c r="Q13" s="38"/>
      <c r="R13" s="38"/>
      <c r="S13" s="109"/>
      <c r="T13" s="38"/>
      <c r="U13" s="38"/>
      <c r="V13" s="38"/>
      <c r="W13" s="38"/>
      <c r="X13" s="38"/>
      <c r="Z13" s="38"/>
      <c r="AA13" s="38"/>
      <c r="AB13" s="38"/>
      <c r="AC13" s="38"/>
      <c r="AD13" s="38"/>
    </row>
    <row r="14" spans="1:30" ht="14.5" customHeight="1" x14ac:dyDescent="0.35">
      <c r="B14" s="12"/>
      <c r="C14" s="38"/>
      <c r="D14" s="38"/>
      <c r="E14" s="38"/>
      <c r="F14" s="38"/>
      <c r="G14" s="38"/>
      <c r="H14" s="38"/>
      <c r="I14" s="38"/>
      <c r="J14" s="38"/>
      <c r="K14" s="38"/>
      <c r="L14" s="38"/>
      <c r="M14" s="38"/>
      <c r="N14" s="38"/>
      <c r="O14" s="38"/>
      <c r="P14" s="38"/>
      <c r="Q14" s="38"/>
      <c r="R14" s="38"/>
      <c r="S14" s="109"/>
      <c r="T14" s="109"/>
      <c r="U14" s="109"/>
      <c r="V14" s="109"/>
      <c r="W14" s="109"/>
      <c r="X14" s="109"/>
      <c r="Z14" s="38"/>
      <c r="AA14" s="38"/>
      <c r="AB14" s="38"/>
      <c r="AC14" s="38"/>
      <c r="AD14" s="38"/>
    </row>
    <row r="15" spans="1:30" ht="14.25" customHeight="1" thickBot="1" x14ac:dyDescent="0.4">
      <c r="A15" s="3" t="s">
        <v>26</v>
      </c>
      <c r="B15" s="191" t="s">
        <v>488</v>
      </c>
      <c r="C15" s="189" t="s">
        <v>3</v>
      </c>
      <c r="D15" s="189" t="s">
        <v>4</v>
      </c>
      <c r="E15" s="189" t="s">
        <v>5</v>
      </c>
      <c r="F15" s="189" t="s">
        <v>6</v>
      </c>
      <c r="G15" s="189" t="s">
        <v>7</v>
      </c>
      <c r="H15" s="189" t="s">
        <v>8</v>
      </c>
      <c r="I15" s="189" t="s">
        <v>9</v>
      </c>
      <c r="J15" s="189" t="s">
        <v>10</v>
      </c>
      <c r="K15" s="189" t="s">
        <v>11</v>
      </c>
      <c r="L15" s="189" t="s">
        <v>12</v>
      </c>
      <c r="M15" s="189" t="s">
        <v>13</v>
      </c>
      <c r="N15" s="189" t="s">
        <v>14</v>
      </c>
      <c r="O15" s="189" t="s">
        <v>15</v>
      </c>
      <c r="P15" s="189" t="s">
        <v>16</v>
      </c>
      <c r="Q15" s="189" t="s">
        <v>17</v>
      </c>
      <c r="R15" s="189" t="s">
        <v>18</v>
      </c>
      <c r="S15" s="189" t="s">
        <v>19</v>
      </c>
      <c r="T15" s="189" t="s">
        <v>20</v>
      </c>
      <c r="U15" s="189" t="s">
        <v>21</v>
      </c>
      <c r="V15" s="189" t="s">
        <v>22</v>
      </c>
      <c r="W15" s="189" t="s">
        <v>457</v>
      </c>
      <c r="X15" s="189" t="s">
        <v>493</v>
      </c>
      <c r="Z15" s="189">
        <v>2020</v>
      </c>
      <c r="AA15" s="189">
        <v>2021</v>
      </c>
      <c r="AB15" s="189">
        <v>2022</v>
      </c>
      <c r="AC15" s="189">
        <v>2023</v>
      </c>
      <c r="AD15" s="189">
        <v>2024</v>
      </c>
    </row>
    <row r="16" spans="1:30" ht="14.25" customHeight="1" x14ac:dyDescent="0.35">
      <c r="B16" s="63" t="s">
        <v>27</v>
      </c>
      <c r="C16" s="57">
        <v>0</v>
      </c>
      <c r="D16" s="57">
        <v>0</v>
      </c>
      <c r="E16" s="57">
        <v>0</v>
      </c>
      <c r="F16" s="57">
        <v>0</v>
      </c>
      <c r="G16" s="57">
        <v>0</v>
      </c>
      <c r="H16" s="57">
        <v>0</v>
      </c>
      <c r="I16" s="57">
        <v>0</v>
      </c>
      <c r="J16" s="57">
        <v>0</v>
      </c>
      <c r="K16" s="57">
        <v>0</v>
      </c>
      <c r="L16" s="57">
        <v>89.2</v>
      </c>
      <c r="M16" s="57">
        <v>90.3</v>
      </c>
      <c r="N16" s="57">
        <v>94.3</v>
      </c>
      <c r="O16" s="57">
        <f t="shared" ref="O16:V16" si="6">SUM(O17:O18)</f>
        <v>88.1</v>
      </c>
      <c r="P16" s="57">
        <f t="shared" si="6"/>
        <v>92.7</v>
      </c>
      <c r="Q16" s="57">
        <f t="shared" si="6"/>
        <v>99.8</v>
      </c>
      <c r="R16" s="57">
        <f t="shared" si="6"/>
        <v>113.7</v>
      </c>
      <c r="S16" s="57">
        <f t="shared" si="6"/>
        <v>111.80000000000001</v>
      </c>
      <c r="T16" s="57">
        <f t="shared" si="6"/>
        <v>124.4</v>
      </c>
      <c r="U16" s="57">
        <f t="shared" si="6"/>
        <v>136.30000000000001</v>
      </c>
      <c r="V16" s="57">
        <f t="shared" si="6"/>
        <v>146</v>
      </c>
      <c r="W16" s="57">
        <f t="shared" ref="W16:X16" si="7">SUM(W17:W18)</f>
        <v>129.19999999999999</v>
      </c>
      <c r="X16" s="57">
        <f t="shared" si="7"/>
        <v>129.60000000000002</v>
      </c>
      <c r="Z16" s="57">
        <v>161.6</v>
      </c>
      <c r="AA16" s="57">
        <v>252</v>
      </c>
      <c r="AB16" s="57">
        <v>353.90000000000003</v>
      </c>
      <c r="AC16" s="57">
        <v>394.3196707113176</v>
      </c>
      <c r="AD16" s="57">
        <v>518.4196022604948</v>
      </c>
    </row>
    <row r="17" spans="2:30" ht="14.25" customHeight="1" x14ac:dyDescent="0.35">
      <c r="B17" s="12" t="s">
        <v>462</v>
      </c>
      <c r="C17" s="38" t="s">
        <v>28</v>
      </c>
      <c r="D17" s="38" t="s">
        <v>28</v>
      </c>
      <c r="E17" s="38" t="s">
        <v>28</v>
      </c>
      <c r="F17" s="38" t="s">
        <v>28</v>
      </c>
      <c r="G17" s="38" t="s">
        <v>28</v>
      </c>
      <c r="H17" s="38" t="s">
        <v>28</v>
      </c>
      <c r="I17" s="38" t="s">
        <v>28</v>
      </c>
      <c r="J17" s="38" t="s">
        <v>28</v>
      </c>
      <c r="K17" s="38" t="s">
        <v>28</v>
      </c>
      <c r="L17" s="38" t="s">
        <v>28</v>
      </c>
      <c r="M17" s="38" t="s">
        <v>28</v>
      </c>
      <c r="N17" s="38" t="s">
        <v>28</v>
      </c>
      <c r="O17" s="38">
        <v>69.8</v>
      </c>
      <c r="P17" s="38">
        <v>72.7</v>
      </c>
      <c r="Q17" s="38">
        <v>77.8</v>
      </c>
      <c r="R17" s="38">
        <v>87.5</v>
      </c>
      <c r="S17" s="38">
        <v>85.7</v>
      </c>
      <c r="T17" s="38">
        <v>91.8</v>
      </c>
      <c r="U17" s="38">
        <v>96.9</v>
      </c>
      <c r="V17" s="38">
        <v>104.7</v>
      </c>
      <c r="W17" s="38">
        <v>95.2</v>
      </c>
      <c r="X17" s="38">
        <v>93.4</v>
      </c>
      <c r="Z17" s="38" t="s">
        <v>28</v>
      </c>
      <c r="AA17" s="38" t="s">
        <v>28</v>
      </c>
      <c r="AB17" s="38" t="s">
        <v>28</v>
      </c>
      <c r="AC17" s="38">
        <v>307.89999999999998</v>
      </c>
      <c r="AD17" s="38">
        <v>379.1</v>
      </c>
    </row>
    <row r="18" spans="2:30" ht="14.25" customHeight="1" thickBot="1" x14ac:dyDescent="0.4">
      <c r="B18" s="36" t="s">
        <v>463</v>
      </c>
      <c r="C18" s="60" t="s">
        <v>28</v>
      </c>
      <c r="D18" s="60" t="s">
        <v>28</v>
      </c>
      <c r="E18" s="60" t="s">
        <v>28</v>
      </c>
      <c r="F18" s="60" t="s">
        <v>28</v>
      </c>
      <c r="G18" s="60" t="s">
        <v>28</v>
      </c>
      <c r="H18" s="60" t="s">
        <v>28</v>
      </c>
      <c r="I18" s="60" t="s">
        <v>28</v>
      </c>
      <c r="J18" s="60" t="s">
        <v>28</v>
      </c>
      <c r="K18" s="60" t="s">
        <v>28</v>
      </c>
      <c r="L18" s="60" t="s">
        <v>28</v>
      </c>
      <c r="M18" s="60" t="s">
        <v>28</v>
      </c>
      <c r="N18" s="60" t="s">
        <v>28</v>
      </c>
      <c r="O18" s="60">
        <v>18.3</v>
      </c>
      <c r="P18" s="60">
        <v>20</v>
      </c>
      <c r="Q18" s="60">
        <v>22</v>
      </c>
      <c r="R18" s="60">
        <v>26.2</v>
      </c>
      <c r="S18" s="60">
        <v>26.1</v>
      </c>
      <c r="T18" s="60">
        <v>32.6</v>
      </c>
      <c r="U18" s="60">
        <v>39.4</v>
      </c>
      <c r="V18" s="60">
        <v>41.3</v>
      </c>
      <c r="W18" s="60">
        <v>34</v>
      </c>
      <c r="X18" s="38">
        <v>36.200000000000003</v>
      </c>
      <c r="Z18" s="60" t="s">
        <v>28</v>
      </c>
      <c r="AA18" s="60" t="s">
        <v>28</v>
      </c>
      <c r="AB18" s="60" t="s">
        <v>28</v>
      </c>
      <c r="AC18" s="60">
        <v>86.4</v>
      </c>
      <c r="AD18" s="60">
        <v>139.4</v>
      </c>
    </row>
    <row r="19" spans="2:30" ht="14.25" customHeight="1" thickBot="1" x14ac:dyDescent="0.4">
      <c r="B19" s="202" t="s">
        <v>484</v>
      </c>
      <c r="C19" s="203" t="s">
        <v>28</v>
      </c>
      <c r="D19" s="203" t="s">
        <v>28</v>
      </c>
      <c r="E19" s="203" t="s">
        <v>28</v>
      </c>
      <c r="F19" s="203" t="s">
        <v>28</v>
      </c>
      <c r="G19" s="203" t="s">
        <v>28</v>
      </c>
      <c r="H19" s="203" t="s">
        <v>28</v>
      </c>
      <c r="I19" s="203" t="s">
        <v>28</v>
      </c>
      <c r="J19" s="203" t="s">
        <v>28</v>
      </c>
      <c r="K19" s="203" t="s">
        <v>28</v>
      </c>
      <c r="L19" s="203" t="s">
        <v>28</v>
      </c>
      <c r="M19" s="203" t="s">
        <v>28</v>
      </c>
      <c r="N19" s="203" t="s">
        <v>28</v>
      </c>
      <c r="O19" s="203" t="s">
        <v>28</v>
      </c>
      <c r="P19" s="203" t="s">
        <v>28</v>
      </c>
      <c r="Q19" s="205">
        <v>4.471E-2</v>
      </c>
      <c r="R19" s="205">
        <v>6.9089999999999999E-2</v>
      </c>
      <c r="S19" s="205">
        <v>7.4969999999999995E-2</v>
      </c>
      <c r="T19" s="205">
        <v>0.1125</v>
      </c>
      <c r="U19" s="205">
        <v>0.14810999999999999</v>
      </c>
      <c r="V19" s="205">
        <v>0.16577</v>
      </c>
      <c r="W19" s="205">
        <v>0.15508</v>
      </c>
      <c r="X19" s="205">
        <v>0.17041000000000001</v>
      </c>
      <c r="Y19" s="54"/>
      <c r="Z19" s="204" t="s">
        <v>28</v>
      </c>
      <c r="AA19" s="204" t="s">
        <v>28</v>
      </c>
      <c r="AB19" s="203" t="s">
        <v>28</v>
      </c>
      <c r="AC19" s="203" t="s">
        <v>28</v>
      </c>
      <c r="AD19" s="203">
        <f>SUMPRODUCT(S19:V19,S16:V16)/AD16</f>
        <v>0.128788453810146</v>
      </c>
    </row>
    <row r="20" spans="2:30" ht="11" customHeight="1" x14ac:dyDescent="0.35">
      <c r="B20" s="65" t="s">
        <v>464</v>
      </c>
      <c r="C20" s="38"/>
      <c r="D20" s="38"/>
      <c r="E20" s="38"/>
      <c r="F20" s="38"/>
      <c r="G20" s="38"/>
      <c r="H20" s="38"/>
      <c r="I20" s="38"/>
      <c r="J20" s="38"/>
      <c r="K20" s="38"/>
      <c r="L20" s="38"/>
      <c r="M20" s="38"/>
      <c r="N20" s="38"/>
      <c r="O20" s="38"/>
      <c r="P20" s="38"/>
      <c r="Q20" s="38"/>
      <c r="R20" s="38"/>
      <c r="S20" s="38"/>
      <c r="T20" s="38"/>
      <c r="U20" s="38"/>
      <c r="V20" s="38"/>
      <c r="W20" s="38"/>
      <c r="X20" s="38"/>
      <c r="Z20" s="38"/>
      <c r="AA20" s="38"/>
      <c r="AB20" s="38"/>
      <c r="AC20" s="38"/>
      <c r="AD20" s="38"/>
    </row>
    <row r="21" spans="2:30" ht="14.25" customHeight="1" x14ac:dyDescent="0.35">
      <c r="B21" s="12"/>
      <c r="C21" s="12"/>
      <c r="D21" s="12"/>
      <c r="E21" s="12"/>
      <c r="F21" s="12"/>
      <c r="G21" s="12"/>
      <c r="H21" s="12"/>
      <c r="I21" s="12"/>
      <c r="J21" s="12"/>
      <c r="K21" s="12"/>
      <c r="L21" s="12"/>
      <c r="M21" s="12"/>
      <c r="N21" s="12"/>
      <c r="O21" s="38"/>
      <c r="P21" s="109"/>
      <c r="Q21" s="109"/>
      <c r="R21" s="109"/>
      <c r="S21" s="206"/>
      <c r="T21" s="109"/>
      <c r="U21" s="108"/>
      <c r="V21" s="109"/>
      <c r="W21" s="109"/>
      <c r="X21" s="109"/>
      <c r="Z21" s="38"/>
      <c r="AA21" s="38"/>
      <c r="AB21" s="38"/>
      <c r="AC21" s="38"/>
      <c r="AD21" s="38"/>
    </row>
    <row r="22" spans="2:30" ht="14.25" customHeight="1" thickBot="1" x14ac:dyDescent="0.4">
      <c r="B22" s="191" t="s">
        <v>489</v>
      </c>
      <c r="C22" s="189" t="s">
        <v>3</v>
      </c>
      <c r="D22" s="189" t="s">
        <v>4</v>
      </c>
      <c r="E22" s="189" t="s">
        <v>5</v>
      </c>
      <c r="F22" s="189" t="s">
        <v>6</v>
      </c>
      <c r="G22" s="189" t="s">
        <v>7</v>
      </c>
      <c r="H22" s="189" t="s">
        <v>8</v>
      </c>
      <c r="I22" s="189" t="s">
        <v>9</v>
      </c>
      <c r="J22" s="189" t="s">
        <v>10</v>
      </c>
      <c r="K22" s="189" t="s">
        <v>11</v>
      </c>
      <c r="L22" s="189" t="s">
        <v>12</v>
      </c>
      <c r="M22" s="189" t="s">
        <v>13</v>
      </c>
      <c r="N22" s="189" t="s">
        <v>14</v>
      </c>
      <c r="O22" s="189" t="s">
        <v>15</v>
      </c>
      <c r="P22" s="189" t="s">
        <v>16</v>
      </c>
      <c r="Q22" s="189" t="s">
        <v>17</v>
      </c>
      <c r="R22" s="189" t="s">
        <v>18</v>
      </c>
      <c r="S22" s="189" t="s">
        <v>19</v>
      </c>
      <c r="T22" s="189" t="s">
        <v>20</v>
      </c>
      <c r="U22" s="189" t="s">
        <v>21</v>
      </c>
      <c r="V22" s="189" t="s">
        <v>22</v>
      </c>
      <c r="W22" s="189" t="s">
        <v>457</v>
      </c>
      <c r="X22" s="189" t="s">
        <v>493</v>
      </c>
      <c r="Z22" s="189">
        <v>2020</v>
      </c>
      <c r="AA22" s="189">
        <v>2021</v>
      </c>
      <c r="AB22" s="189">
        <v>2022</v>
      </c>
      <c r="AC22" s="189">
        <v>2023</v>
      </c>
      <c r="AD22" s="189">
        <v>2024</v>
      </c>
    </row>
    <row r="23" spans="2:30" ht="14.25" customHeight="1" x14ac:dyDescent="0.35">
      <c r="B23" s="63" t="s">
        <v>27</v>
      </c>
      <c r="C23" s="57">
        <f t="shared" ref="C23:V23" si="8">C16</f>
        <v>0</v>
      </c>
      <c r="D23" s="57">
        <f t="shared" si="8"/>
        <v>0</v>
      </c>
      <c r="E23" s="57">
        <f t="shared" si="8"/>
        <v>0</v>
      </c>
      <c r="F23" s="57">
        <f t="shared" si="8"/>
        <v>0</v>
      </c>
      <c r="G23" s="57">
        <f t="shared" si="8"/>
        <v>0</v>
      </c>
      <c r="H23" s="57">
        <f t="shared" si="8"/>
        <v>0</v>
      </c>
      <c r="I23" s="57">
        <f t="shared" si="8"/>
        <v>0</v>
      </c>
      <c r="J23" s="57">
        <f t="shared" si="8"/>
        <v>0</v>
      </c>
      <c r="K23" s="57">
        <f t="shared" si="8"/>
        <v>0</v>
      </c>
      <c r="L23" s="57">
        <f t="shared" si="8"/>
        <v>89.2</v>
      </c>
      <c r="M23" s="57">
        <f t="shared" si="8"/>
        <v>90.3</v>
      </c>
      <c r="N23" s="57">
        <f t="shared" si="8"/>
        <v>94.3</v>
      </c>
      <c r="O23" s="57">
        <f t="shared" si="8"/>
        <v>88.1</v>
      </c>
      <c r="P23" s="57">
        <f t="shared" si="8"/>
        <v>92.7</v>
      </c>
      <c r="Q23" s="57">
        <f t="shared" si="8"/>
        <v>99.8</v>
      </c>
      <c r="R23" s="57">
        <f t="shared" si="8"/>
        <v>113.7</v>
      </c>
      <c r="S23" s="57">
        <f t="shared" si="8"/>
        <v>111.80000000000001</v>
      </c>
      <c r="T23" s="57">
        <f t="shared" si="8"/>
        <v>124.4</v>
      </c>
      <c r="U23" s="57">
        <f t="shared" si="8"/>
        <v>136.30000000000001</v>
      </c>
      <c r="V23" s="57">
        <f t="shared" si="8"/>
        <v>146</v>
      </c>
      <c r="W23" s="57">
        <f>W16</f>
        <v>129.19999999999999</v>
      </c>
      <c r="X23" s="57">
        <f>X16</f>
        <v>129.60000000000002</v>
      </c>
      <c r="Z23" s="57" t="s">
        <v>28</v>
      </c>
      <c r="AA23" s="57" t="s">
        <v>28</v>
      </c>
      <c r="AB23" s="57">
        <v>143.86460226657999</v>
      </c>
      <c r="AC23" s="57">
        <v>217.20857334557002</v>
      </c>
      <c r="AD23" s="57">
        <v>318.46016947197</v>
      </c>
    </row>
    <row r="24" spans="2:30" ht="14.25" customHeight="1" x14ac:dyDescent="0.35">
      <c r="B24" s="17" t="s">
        <v>486</v>
      </c>
      <c r="C24" s="38" t="s">
        <v>28</v>
      </c>
      <c r="D24" s="38" t="s">
        <v>28</v>
      </c>
      <c r="E24" s="38" t="s">
        <v>28</v>
      </c>
      <c r="F24" s="38" t="s">
        <v>28</v>
      </c>
      <c r="G24" s="38" t="s">
        <v>28</v>
      </c>
      <c r="H24" s="38" t="s">
        <v>28</v>
      </c>
      <c r="I24" s="38" t="s">
        <v>28</v>
      </c>
      <c r="J24" s="38" t="s">
        <v>28</v>
      </c>
      <c r="K24" s="38" t="str">
        <f>K18</f>
        <v>-</v>
      </c>
      <c r="L24" s="38">
        <f t="shared" ref="L24:X24" si="9">L12</f>
        <v>7.4707100000000004</v>
      </c>
      <c r="M24" s="38">
        <f t="shared" si="9"/>
        <v>7.3149459999999999</v>
      </c>
      <c r="N24" s="38">
        <f t="shared" si="9"/>
        <v>7.0804329999999993</v>
      </c>
      <c r="O24" s="38">
        <f t="shared" si="9"/>
        <v>6.9164709999999996</v>
      </c>
      <c r="P24" s="38">
        <f t="shared" si="9"/>
        <v>6.7678119999999984</v>
      </c>
      <c r="Q24" s="38">
        <f t="shared" si="9"/>
        <v>6.6523759999999994</v>
      </c>
      <c r="R24" s="38">
        <f t="shared" si="9"/>
        <v>6.5392160000000015</v>
      </c>
      <c r="S24" s="38">
        <f t="shared" si="9"/>
        <v>6.4881959999999994</v>
      </c>
      <c r="T24" s="38">
        <f t="shared" si="9"/>
        <v>6.4430090000000009</v>
      </c>
      <c r="U24" s="38">
        <f t="shared" si="9"/>
        <v>6.4140820000000005</v>
      </c>
      <c r="V24" s="38">
        <f t="shared" si="9"/>
        <v>6.3443639999999997</v>
      </c>
      <c r="W24" s="38">
        <f t="shared" si="9"/>
        <v>6.2702169999999997</v>
      </c>
      <c r="X24" s="38">
        <f t="shared" si="9"/>
        <v>6.2430000000000003</v>
      </c>
      <c r="Z24" s="38" t="s">
        <v>28</v>
      </c>
      <c r="AA24" s="38" t="s">
        <v>28</v>
      </c>
      <c r="AB24" s="38">
        <v>16.196242999999999</v>
      </c>
      <c r="AC24" s="38">
        <v>16.747542000000003</v>
      </c>
      <c r="AD24" s="38">
        <v>17.442953000000003</v>
      </c>
    </row>
    <row r="25" spans="2:30" ht="14.25" customHeight="1" thickBot="1" x14ac:dyDescent="0.4">
      <c r="B25" s="66" t="s">
        <v>485</v>
      </c>
      <c r="C25" s="45" t="s">
        <v>28</v>
      </c>
      <c r="D25" s="45" t="s">
        <v>28</v>
      </c>
      <c r="E25" s="45" t="s">
        <v>28</v>
      </c>
      <c r="F25" s="45" t="s">
        <v>28</v>
      </c>
      <c r="G25" s="45" t="s">
        <v>28</v>
      </c>
      <c r="H25" s="45" t="s">
        <v>28</v>
      </c>
      <c r="I25" s="45" t="s">
        <v>28</v>
      </c>
      <c r="J25" s="45" t="s">
        <v>28</v>
      </c>
      <c r="K25" s="45" t="s">
        <v>28</v>
      </c>
      <c r="L25" s="45">
        <f t="shared" ref="L25:Q25" si="10">L23/L24</f>
        <v>11.939962868321752</v>
      </c>
      <c r="M25" s="45">
        <f t="shared" si="10"/>
        <v>12.344588736540228</v>
      </c>
      <c r="N25" s="45">
        <f t="shared" si="10"/>
        <v>13.318394510618207</v>
      </c>
      <c r="O25" s="45">
        <f t="shared" si="10"/>
        <v>12.737709736656164</v>
      </c>
      <c r="P25" s="45">
        <f t="shared" si="10"/>
        <v>13.697188988110193</v>
      </c>
      <c r="Q25" s="45">
        <f t="shared" si="10"/>
        <v>15.002158627233339</v>
      </c>
      <c r="R25" s="45">
        <f t="shared" ref="R25:U25" si="11">R23/R24</f>
        <v>17.387405462673197</v>
      </c>
      <c r="S25" s="45">
        <f t="shared" si="11"/>
        <v>17.2312920263198</v>
      </c>
      <c r="T25" s="45">
        <f>T23/AVERAGE(S24:T24)</f>
        <v>19.240279618179436</v>
      </c>
      <c r="U25" s="45">
        <f t="shared" si="11"/>
        <v>21.250118099519153</v>
      </c>
      <c r="V25" s="45">
        <f t="shared" ref="V25:W25" si="12">V23/V24</f>
        <v>23.01255098225764</v>
      </c>
      <c r="W25" s="45">
        <f t="shared" si="12"/>
        <v>20.605347470430448</v>
      </c>
      <c r="X25" s="45">
        <v>20.710999999999999</v>
      </c>
      <c r="Z25" s="45" t="s">
        <v>28</v>
      </c>
      <c r="AA25" s="45" t="s">
        <v>28</v>
      </c>
      <c r="AB25" s="45">
        <v>8.8825909975899968</v>
      </c>
      <c r="AC25" s="45">
        <v>12.969579257993201</v>
      </c>
      <c r="AD25" s="45">
        <v>18.257239440590705</v>
      </c>
    </row>
    <row r="26" spans="2:30" ht="14.25" customHeight="1" x14ac:dyDescent="0.35">
      <c r="B26" s="12"/>
      <c r="C26" s="38"/>
      <c r="D26" s="38"/>
      <c r="E26" s="38"/>
      <c r="F26" s="38"/>
      <c r="G26" s="38"/>
      <c r="H26" s="38"/>
      <c r="I26" s="38"/>
      <c r="J26" s="38"/>
      <c r="K26" s="38"/>
      <c r="L26" s="38"/>
      <c r="M26" s="38"/>
      <c r="N26" s="38"/>
      <c r="O26" s="38"/>
      <c r="P26" s="38"/>
      <c r="Q26" s="38"/>
      <c r="R26" s="38"/>
      <c r="S26" s="103"/>
      <c r="T26" s="103"/>
      <c r="U26" s="103"/>
      <c r="V26" s="103"/>
      <c r="W26" s="103"/>
      <c r="X26" s="103"/>
      <c r="Z26" s="188"/>
      <c r="AA26" s="38"/>
      <c r="AB26" s="38"/>
      <c r="AC26" s="38"/>
      <c r="AD26" s="38"/>
    </row>
    <row r="27" spans="2:30" ht="14.25" customHeight="1" thickBot="1" x14ac:dyDescent="0.4">
      <c r="B27" s="191" t="s">
        <v>490</v>
      </c>
      <c r="C27" s="189" t="s">
        <v>3</v>
      </c>
      <c r="D27" s="189" t="s">
        <v>4</v>
      </c>
      <c r="E27" s="189" t="s">
        <v>5</v>
      </c>
      <c r="F27" s="189" t="s">
        <v>6</v>
      </c>
      <c r="G27" s="189" t="s">
        <v>7</v>
      </c>
      <c r="H27" s="189" t="s">
        <v>8</v>
      </c>
      <c r="I27" s="189" t="s">
        <v>9</v>
      </c>
      <c r="J27" s="189" t="s">
        <v>10</v>
      </c>
      <c r="K27" s="189" t="s">
        <v>11</v>
      </c>
      <c r="L27" s="189" t="s">
        <v>12</v>
      </c>
      <c r="M27" s="189" t="s">
        <v>13</v>
      </c>
      <c r="N27" s="189" t="s">
        <v>14</v>
      </c>
      <c r="O27" s="189" t="s">
        <v>15</v>
      </c>
      <c r="P27" s="189" t="s">
        <v>16</v>
      </c>
      <c r="Q27" s="189" t="s">
        <v>17</v>
      </c>
      <c r="R27" s="189" t="s">
        <v>18</v>
      </c>
      <c r="S27" s="189" t="s">
        <v>19</v>
      </c>
      <c r="T27" s="189" t="s">
        <v>20</v>
      </c>
      <c r="U27" s="189" t="s">
        <v>21</v>
      </c>
      <c r="V27" s="189" t="s">
        <v>22</v>
      </c>
      <c r="W27" s="189" t="s">
        <v>457</v>
      </c>
      <c r="X27" s="189" t="s">
        <v>493</v>
      </c>
      <c r="Z27" s="189">
        <v>2020</v>
      </c>
      <c r="AA27" s="189">
        <v>2021</v>
      </c>
      <c r="AB27" s="189">
        <v>2022</v>
      </c>
      <c r="AC27" s="189">
        <v>2023</v>
      </c>
      <c r="AD27" s="189">
        <v>2024</v>
      </c>
    </row>
    <row r="28" spans="2:30" ht="14.25" customHeight="1" x14ac:dyDescent="0.35">
      <c r="B28" s="63" t="s">
        <v>40</v>
      </c>
      <c r="C28" s="57" t="s">
        <v>28</v>
      </c>
      <c r="D28" s="57" t="s">
        <v>28</v>
      </c>
      <c r="E28" s="57" t="s">
        <v>28</v>
      </c>
      <c r="F28" s="57" t="s">
        <v>28</v>
      </c>
      <c r="G28" s="57" t="s">
        <v>28</v>
      </c>
      <c r="H28" s="57" t="s">
        <v>28</v>
      </c>
      <c r="I28" s="57" t="s">
        <v>28</v>
      </c>
      <c r="J28" s="57" t="s">
        <v>28</v>
      </c>
      <c r="K28" s="57">
        <v>24.904607734949998</v>
      </c>
      <c r="L28" s="57">
        <v>32.310918554539995</v>
      </c>
      <c r="M28" s="57">
        <v>41.899980778080007</v>
      </c>
      <c r="N28" s="57">
        <v>44.749095199009993</v>
      </c>
      <c r="O28" s="57">
        <v>44.352834749319996</v>
      </c>
      <c r="P28" s="57">
        <v>50.246587595379999</v>
      </c>
      <c r="Q28" s="57">
        <v>56.310097402609991</v>
      </c>
      <c r="R28" s="57">
        <v>66.299053598260016</v>
      </c>
      <c r="S28" s="57">
        <v>66.103151110479999</v>
      </c>
      <c r="T28" s="57">
        <v>75.051666640319993</v>
      </c>
      <c r="U28" s="57">
        <v>83.944688467069994</v>
      </c>
      <c r="V28" s="57">
        <v>93.360663254100004</v>
      </c>
      <c r="W28" s="57">
        <v>83.121517463109981</v>
      </c>
      <c r="X28" s="57">
        <v>90.572000000000003</v>
      </c>
      <c r="Z28" s="57" t="s">
        <v>28</v>
      </c>
      <c r="AA28" s="57" t="s">
        <v>28</v>
      </c>
      <c r="AB28" s="57">
        <v>143.86460226657999</v>
      </c>
      <c r="AC28" s="57">
        <v>217.20857334557002</v>
      </c>
      <c r="AD28" s="57">
        <v>318.46016947197</v>
      </c>
    </row>
    <row r="29" spans="2:30" ht="14.25" customHeight="1" x14ac:dyDescent="0.35">
      <c r="B29" s="17" t="s">
        <v>41</v>
      </c>
      <c r="C29" s="38" t="s">
        <v>28</v>
      </c>
      <c r="D29" s="38" t="s">
        <v>28</v>
      </c>
      <c r="E29" s="38" t="s">
        <v>28</v>
      </c>
      <c r="F29" s="38" t="s">
        <v>28</v>
      </c>
      <c r="G29" s="38" t="s">
        <v>28</v>
      </c>
      <c r="H29" s="38" t="s">
        <v>28</v>
      </c>
      <c r="I29" s="38" t="s">
        <v>28</v>
      </c>
      <c r="J29" s="38" t="s">
        <v>28</v>
      </c>
      <c r="K29" s="38">
        <f t="shared" ref="K29:U29" si="13">K11</f>
        <v>14.330311999999999</v>
      </c>
      <c r="L29" s="38">
        <f t="shared" si="13"/>
        <v>15.142616</v>
      </c>
      <c r="M29" s="38">
        <f t="shared" si="13"/>
        <v>15.811036000000001</v>
      </c>
      <c r="N29" s="38">
        <f t="shared" si="13"/>
        <v>16.196242999999999</v>
      </c>
      <c r="O29" s="38">
        <f t="shared" si="13"/>
        <v>16.295302</v>
      </c>
      <c r="P29" s="38">
        <f t="shared" si="13"/>
        <v>16.440179000000001</v>
      </c>
      <c r="Q29" s="38">
        <f t="shared" si="13"/>
        <v>16.739055</v>
      </c>
      <c r="R29" s="38">
        <f t="shared" si="13"/>
        <v>16.747542000000003</v>
      </c>
      <c r="S29" s="38">
        <f t="shared" si="13"/>
        <v>16.901178000000002</v>
      </c>
      <c r="T29" s="38">
        <f t="shared" si="13"/>
        <v>17.281792999999997</v>
      </c>
      <c r="U29" s="38">
        <f t="shared" si="13"/>
        <v>17.302371000000001</v>
      </c>
      <c r="V29" s="38">
        <v>17.442953000000003</v>
      </c>
      <c r="W29" s="38">
        <f>W11</f>
        <v>17.332650000000001</v>
      </c>
      <c r="X29" s="38">
        <f>X11</f>
        <v>17.39</v>
      </c>
      <c r="Z29" s="38" t="s">
        <v>28</v>
      </c>
      <c r="AA29" s="38" t="s">
        <v>28</v>
      </c>
      <c r="AB29" s="38">
        <v>16.196242999999999</v>
      </c>
      <c r="AC29" s="38">
        <v>16.747542000000003</v>
      </c>
      <c r="AD29" s="38">
        <v>17.442953000000003</v>
      </c>
    </row>
    <row r="30" spans="2:30" ht="14.25" customHeight="1" thickBot="1" x14ac:dyDescent="0.4">
      <c r="B30" s="66" t="s">
        <v>42</v>
      </c>
      <c r="C30" s="45" t="s">
        <v>28</v>
      </c>
      <c r="D30" s="45" t="s">
        <v>28</v>
      </c>
      <c r="E30" s="45" t="s">
        <v>28</v>
      </c>
      <c r="F30" s="45" t="s">
        <v>28</v>
      </c>
      <c r="G30" s="45" t="s">
        <v>28</v>
      </c>
      <c r="H30" s="45" t="s">
        <v>28</v>
      </c>
      <c r="I30" s="45" t="s">
        <v>28</v>
      </c>
      <c r="J30" s="45" t="s">
        <v>28</v>
      </c>
      <c r="K30" s="45">
        <f>K28/K29</f>
        <v>1.7378971047490104</v>
      </c>
      <c r="L30" s="45">
        <f t="shared" ref="L30:R30" si="14">L28/L29</f>
        <v>2.1337738838876978</v>
      </c>
      <c r="M30" s="45">
        <f t="shared" si="14"/>
        <v>2.6500465104298039</v>
      </c>
      <c r="N30" s="45">
        <f t="shared" si="14"/>
        <v>2.7629305882240711</v>
      </c>
      <c r="O30" s="45">
        <f t="shared" si="14"/>
        <v>2.7218172912241823</v>
      </c>
      <c r="P30" s="45">
        <f t="shared" si="14"/>
        <v>3.0563284983320438</v>
      </c>
      <c r="Q30" s="45">
        <v>3.3942999999999999</v>
      </c>
      <c r="R30" s="45">
        <f t="shared" si="14"/>
        <v>3.958733382980022</v>
      </c>
      <c r="S30" s="45">
        <v>3.9111564359880711</v>
      </c>
      <c r="T30" s="45">
        <v>4.3428171278477876</v>
      </c>
      <c r="U30" s="45">
        <v>4.8516292054464669</v>
      </c>
      <c r="V30" s="45">
        <v>5.3523427629541853</v>
      </c>
      <c r="W30" s="45">
        <v>4.7956612210544822</v>
      </c>
      <c r="X30" s="45">
        <v>5.21</v>
      </c>
      <c r="Z30" s="45" t="s">
        <v>28</v>
      </c>
      <c r="AA30" s="45" t="s">
        <v>28</v>
      </c>
      <c r="AB30" s="45">
        <v>8.8825909975899968</v>
      </c>
      <c r="AC30" s="45">
        <v>12.969579257993201</v>
      </c>
      <c r="AD30" s="45">
        <v>18.257239440590705</v>
      </c>
    </row>
    <row r="31" spans="2:30" ht="14.25" customHeight="1" x14ac:dyDescent="0.35">
      <c r="B31" s="12"/>
      <c r="C31" s="38"/>
      <c r="D31" s="38"/>
      <c r="E31" s="38"/>
      <c r="F31" s="38"/>
      <c r="G31" s="38"/>
      <c r="H31" s="38"/>
      <c r="I31" s="38"/>
      <c r="J31" s="38"/>
      <c r="K31" s="38"/>
      <c r="L31" s="38"/>
      <c r="M31" s="38"/>
      <c r="N31" s="38"/>
      <c r="O31" s="38"/>
      <c r="P31" s="38"/>
      <c r="Q31" s="38"/>
      <c r="R31" s="38"/>
      <c r="S31" s="103"/>
      <c r="T31" s="103"/>
      <c r="U31" s="103"/>
      <c r="V31" s="103"/>
      <c r="W31" s="103"/>
      <c r="X31" s="103"/>
      <c r="Z31" s="188"/>
      <c r="AA31" s="38"/>
      <c r="AB31" s="38"/>
      <c r="AC31" s="38"/>
      <c r="AD31" s="38"/>
    </row>
    <row r="32" spans="2:30" ht="14.25" customHeight="1" thickBot="1" x14ac:dyDescent="0.4">
      <c r="B32" s="191" t="s">
        <v>2</v>
      </c>
      <c r="C32" s="189" t="s">
        <v>3</v>
      </c>
      <c r="D32" s="189" t="s">
        <v>4</v>
      </c>
      <c r="E32" s="189" t="s">
        <v>5</v>
      </c>
      <c r="F32" s="189" t="s">
        <v>6</v>
      </c>
      <c r="G32" s="189" t="s">
        <v>7</v>
      </c>
      <c r="H32" s="189" t="s">
        <v>8</v>
      </c>
      <c r="I32" s="189" t="s">
        <v>9</v>
      </c>
      <c r="J32" s="189" t="s">
        <v>10</v>
      </c>
      <c r="K32" s="189" t="s">
        <v>11</v>
      </c>
      <c r="L32" s="189" t="s">
        <v>12</v>
      </c>
      <c r="M32" s="189" t="s">
        <v>13</v>
      </c>
      <c r="N32" s="189" t="s">
        <v>14</v>
      </c>
      <c r="O32" s="189" t="s">
        <v>15</v>
      </c>
      <c r="P32" s="189" t="s">
        <v>16</v>
      </c>
      <c r="Q32" s="189" t="s">
        <v>17</v>
      </c>
      <c r="R32" s="189" t="s">
        <v>18</v>
      </c>
      <c r="S32" s="189" t="s">
        <v>19</v>
      </c>
      <c r="T32" s="189" t="s">
        <v>20</v>
      </c>
      <c r="U32" s="189" t="s">
        <v>21</v>
      </c>
      <c r="V32" s="189" t="s">
        <v>22</v>
      </c>
      <c r="W32" s="189" t="s">
        <v>457</v>
      </c>
      <c r="X32" s="189" t="s">
        <v>493</v>
      </c>
      <c r="Z32" s="189">
        <v>2020</v>
      </c>
      <c r="AA32" s="189">
        <v>2021</v>
      </c>
      <c r="AB32" s="189">
        <v>2022</v>
      </c>
      <c r="AC32" s="189">
        <v>2023</v>
      </c>
      <c r="AD32" s="189">
        <v>2024</v>
      </c>
    </row>
    <row r="33" spans="1:30" ht="14.25" customHeight="1" x14ac:dyDescent="0.35">
      <c r="B33" s="56" t="s">
        <v>43</v>
      </c>
      <c r="C33" s="57">
        <v>0</v>
      </c>
      <c r="D33" s="57">
        <v>0</v>
      </c>
      <c r="E33" s="57">
        <v>0</v>
      </c>
      <c r="F33" s="57">
        <f t="shared" ref="F33:T33" si="15">SUM(F34:F35)</f>
        <v>5.0728556552599997</v>
      </c>
      <c r="G33" s="57">
        <f t="shared" si="15"/>
        <v>4.9804644536900007</v>
      </c>
      <c r="H33" s="57">
        <f t="shared" si="15"/>
        <v>5.8913383797300005</v>
      </c>
      <c r="I33" s="57">
        <f t="shared" si="15"/>
        <v>7.1634346129899997</v>
      </c>
      <c r="J33" s="57">
        <f t="shared" si="15"/>
        <v>8.8350086231299993</v>
      </c>
      <c r="K33" s="57">
        <f t="shared" si="15"/>
        <v>11.182577102340002</v>
      </c>
      <c r="L33" s="57">
        <f t="shared" si="15"/>
        <v>15.492738614380002</v>
      </c>
      <c r="M33" s="57">
        <f t="shared" si="15"/>
        <v>19.401679182679999</v>
      </c>
      <c r="N33" s="57">
        <f t="shared" si="15"/>
        <v>20.662779339949999</v>
      </c>
      <c r="O33" s="57">
        <f t="shared" si="15"/>
        <v>18.603052542389992</v>
      </c>
      <c r="P33" s="57">
        <f t="shared" si="15"/>
        <v>18.290222264729998</v>
      </c>
      <c r="Q33" s="57">
        <f t="shared" si="15"/>
        <v>21.569183933450013</v>
      </c>
      <c r="R33" s="57">
        <f t="shared" si="15"/>
        <v>27.57136223265999</v>
      </c>
      <c r="S33" s="57">
        <f t="shared" si="15"/>
        <v>30.561088677629982</v>
      </c>
      <c r="T33" s="57">
        <f t="shared" si="15"/>
        <v>34.242726833590012</v>
      </c>
      <c r="U33" s="57">
        <f t="shared" ref="U33" si="16">SUM(U34:U35)</f>
        <v>34.201744896889984</v>
      </c>
      <c r="V33" s="57">
        <v>36.119807000000002</v>
      </c>
      <c r="W33" s="57">
        <f t="shared" ref="W33:X33" si="17">SUM(W34:W35)</f>
        <v>33.882217062030001</v>
      </c>
      <c r="X33" s="57">
        <f t="shared" si="17"/>
        <v>37.176000000000002</v>
      </c>
      <c r="Y33" s="54"/>
      <c r="Z33" s="57">
        <v>5.0728556552599997</v>
      </c>
      <c r="AA33" s="57">
        <v>8.8350086231299993</v>
      </c>
      <c r="AB33" s="57">
        <v>20.662779339949999</v>
      </c>
      <c r="AC33" s="57">
        <v>27.57136223265999</v>
      </c>
      <c r="AD33" s="57">
        <v>36.119807000000002</v>
      </c>
    </row>
    <row r="34" spans="1:30" ht="14.25" customHeight="1" x14ac:dyDescent="0.35">
      <c r="B34" s="23" t="s">
        <v>44</v>
      </c>
      <c r="C34" s="38" t="s">
        <v>28</v>
      </c>
      <c r="D34" s="38" t="s">
        <v>28</v>
      </c>
      <c r="E34" s="38" t="s">
        <v>28</v>
      </c>
      <c r="F34" s="38">
        <v>4.3067696552600001</v>
      </c>
      <c r="G34" s="38">
        <v>3.5364316050200002</v>
      </c>
      <c r="H34" s="38">
        <v>4.1018175257900005</v>
      </c>
      <c r="I34" s="38">
        <v>4.4933348318099995</v>
      </c>
      <c r="J34" s="38">
        <v>5.7010129543399994</v>
      </c>
      <c r="K34" s="38">
        <v>5.4681977186799999</v>
      </c>
      <c r="L34" s="38">
        <v>6.0813752777000003</v>
      </c>
      <c r="M34" s="38">
        <v>6.7335663018399998</v>
      </c>
      <c r="N34" s="38">
        <v>8.66749126827</v>
      </c>
      <c r="O34" s="38">
        <v>7.9249565423899941</v>
      </c>
      <c r="P34" s="38">
        <v>8.2577206050899949</v>
      </c>
      <c r="Q34" s="38">
        <v>9.6547159334500137</v>
      </c>
      <c r="R34" s="38">
        <v>11.382923232659991</v>
      </c>
      <c r="S34" s="38">
        <v>10.854989677629979</v>
      </c>
      <c r="T34" s="38">
        <v>11.50873483359001</v>
      </c>
      <c r="U34" s="38">
        <v>10.512393896889987</v>
      </c>
      <c r="V34" s="38">
        <v>12.030573</v>
      </c>
      <c r="W34" s="38">
        <v>10.314392</v>
      </c>
      <c r="X34" s="38">
        <v>10.53</v>
      </c>
      <c r="Y34" s="54"/>
      <c r="Z34" s="38">
        <v>4.3067696552600001</v>
      </c>
      <c r="AA34" s="38">
        <v>5.7010129543399994</v>
      </c>
      <c r="AB34" s="38">
        <v>8.66749126827</v>
      </c>
      <c r="AC34" s="38">
        <v>11.382923232659991</v>
      </c>
      <c r="AD34" s="38">
        <v>12.030573</v>
      </c>
    </row>
    <row r="35" spans="1:30" ht="14.25" customHeight="1" thickBot="1" x14ac:dyDescent="0.4">
      <c r="B35" s="58" t="s">
        <v>45</v>
      </c>
      <c r="C35" s="60" t="s">
        <v>28</v>
      </c>
      <c r="D35" s="60" t="s">
        <v>28</v>
      </c>
      <c r="E35" s="60" t="s">
        <v>28</v>
      </c>
      <c r="F35" s="60">
        <v>0.76608600000000004</v>
      </c>
      <c r="G35" s="60">
        <v>1.44403284867</v>
      </c>
      <c r="H35" s="60">
        <v>1.78952085394</v>
      </c>
      <c r="I35" s="60">
        <v>2.6700997811800002</v>
      </c>
      <c r="J35" s="60">
        <v>3.1339956687899999</v>
      </c>
      <c r="K35" s="60">
        <v>5.7143793836600008</v>
      </c>
      <c r="L35" s="60">
        <v>9.4113633366800027</v>
      </c>
      <c r="M35" s="60">
        <v>12.668112880839999</v>
      </c>
      <c r="N35" s="60">
        <v>11.995288071679999</v>
      </c>
      <c r="O35" s="60">
        <v>10.678095999999998</v>
      </c>
      <c r="P35" s="60">
        <v>10.032501659640001</v>
      </c>
      <c r="Q35" s="60">
        <v>11.914468000000001</v>
      </c>
      <c r="R35" s="60">
        <v>16.188438999999999</v>
      </c>
      <c r="S35" s="60">
        <v>19.706099000000002</v>
      </c>
      <c r="T35" s="60">
        <v>22.733992000000001</v>
      </c>
      <c r="U35" s="60">
        <v>23.689350999999998</v>
      </c>
      <c r="V35" s="60">
        <v>24.089234000000001</v>
      </c>
      <c r="W35" s="60">
        <v>23.567825062030003</v>
      </c>
      <c r="X35" s="60">
        <v>26.646000000000001</v>
      </c>
      <c r="Y35" s="54"/>
      <c r="Z35" s="60">
        <v>0.76608600000000004</v>
      </c>
      <c r="AA35" s="60">
        <v>3.1339956687899999</v>
      </c>
      <c r="AB35" s="60">
        <v>11.995288071679999</v>
      </c>
      <c r="AC35" s="60">
        <v>16.188438999999999</v>
      </c>
      <c r="AD35" s="60">
        <v>24.089234000000001</v>
      </c>
    </row>
    <row r="36" spans="1:30" ht="14.25" customHeight="1" x14ac:dyDescent="0.35">
      <c r="B36" s="68" t="s">
        <v>482</v>
      </c>
      <c r="C36" s="69" t="s">
        <v>28</v>
      </c>
      <c r="D36" s="69" t="s">
        <v>28</v>
      </c>
      <c r="E36" s="69" t="s">
        <v>28</v>
      </c>
      <c r="F36" s="69" t="s">
        <v>28</v>
      </c>
      <c r="G36" s="69" t="s">
        <v>28</v>
      </c>
      <c r="H36" s="69" t="s">
        <v>28</v>
      </c>
      <c r="I36" s="69" t="s">
        <v>28</v>
      </c>
      <c r="J36" s="69" t="s">
        <v>28</v>
      </c>
      <c r="K36" s="69" t="s">
        <v>28</v>
      </c>
      <c r="L36" s="69" t="s">
        <v>28</v>
      </c>
      <c r="M36" s="69" t="s">
        <v>28</v>
      </c>
      <c r="N36" s="69" t="s">
        <v>28</v>
      </c>
      <c r="O36" s="69">
        <v>0.73</v>
      </c>
      <c r="P36" s="69">
        <v>0.73</v>
      </c>
      <c r="Q36" s="69">
        <v>0.72</v>
      </c>
      <c r="R36" s="69">
        <v>0.72</v>
      </c>
      <c r="S36" s="69">
        <v>0.69020000000000004</v>
      </c>
      <c r="T36" s="69">
        <v>0.68</v>
      </c>
      <c r="U36" s="69">
        <v>0.47328153406095369</v>
      </c>
      <c r="V36" s="69">
        <v>0.4733202404400057</v>
      </c>
      <c r="W36" s="69">
        <v>0.48605471912578713</v>
      </c>
      <c r="X36" s="69">
        <v>0.4748</v>
      </c>
      <c r="Y36" s="54"/>
      <c r="Z36" s="70"/>
      <c r="AA36" s="70"/>
      <c r="AB36" s="69"/>
      <c r="AC36" s="69"/>
      <c r="AD36" s="69"/>
    </row>
    <row r="37" spans="1:30" ht="14.25" customHeight="1" thickBot="1" x14ac:dyDescent="0.4">
      <c r="B37" s="71" t="s">
        <v>483</v>
      </c>
      <c r="C37" s="72" t="s">
        <v>28</v>
      </c>
      <c r="D37" s="72" t="s">
        <v>28</v>
      </c>
      <c r="E37" s="72" t="s">
        <v>28</v>
      </c>
      <c r="F37" s="72" t="s">
        <v>28</v>
      </c>
      <c r="G37" s="72" t="s">
        <v>28</v>
      </c>
      <c r="H37" s="72" t="s">
        <v>28</v>
      </c>
      <c r="I37" s="72" t="s">
        <v>28</v>
      </c>
      <c r="J37" s="72" t="s">
        <v>28</v>
      </c>
      <c r="K37" s="72" t="s">
        <v>28</v>
      </c>
      <c r="L37" s="72" t="s">
        <v>28</v>
      </c>
      <c r="M37" s="72" t="s">
        <v>28</v>
      </c>
      <c r="N37" s="72" t="s">
        <v>28</v>
      </c>
      <c r="O37" s="72">
        <v>0.9385211269043503</v>
      </c>
      <c r="P37" s="72">
        <v>0.94295994061103894</v>
      </c>
      <c r="Q37" s="72">
        <v>0.93434878594688175</v>
      </c>
      <c r="R37" s="72">
        <v>0.94424974246198135</v>
      </c>
      <c r="S37" s="72">
        <v>0.95101452805162745</v>
      </c>
      <c r="T37" s="72">
        <v>0.94662645056415495</v>
      </c>
      <c r="U37" s="72">
        <v>0.91769777898519345</v>
      </c>
      <c r="V37" s="72">
        <v>0.90149721221957357</v>
      </c>
      <c r="W37" s="72">
        <v>0.90166235454045474</v>
      </c>
      <c r="X37" s="72">
        <v>0.89219999999999999</v>
      </c>
      <c r="Y37" s="54"/>
      <c r="Z37" s="73"/>
      <c r="AA37" s="73"/>
      <c r="AB37" s="72"/>
      <c r="AC37" s="72"/>
      <c r="AD37" s="72"/>
    </row>
    <row r="38" spans="1:30" ht="14.25" customHeight="1" thickBot="1" x14ac:dyDescent="0.4">
      <c r="B38" s="58" t="s">
        <v>480</v>
      </c>
      <c r="C38" s="60" t="s">
        <v>28</v>
      </c>
      <c r="D38" s="60" t="s">
        <v>28</v>
      </c>
      <c r="E38" s="60" t="s">
        <v>28</v>
      </c>
      <c r="F38" s="60" t="s">
        <v>28</v>
      </c>
      <c r="G38" s="60" t="s">
        <v>28</v>
      </c>
      <c r="H38" s="60" t="s">
        <v>28</v>
      </c>
      <c r="I38" s="60" t="s">
        <v>28</v>
      </c>
      <c r="J38" s="60" t="s">
        <v>28</v>
      </c>
      <c r="K38" s="60" t="s">
        <v>28</v>
      </c>
      <c r="L38" s="60" t="s">
        <v>28</v>
      </c>
      <c r="M38" s="60" t="s">
        <v>28</v>
      </c>
      <c r="N38" s="60" t="s">
        <v>28</v>
      </c>
      <c r="O38" s="60">
        <f>('Balance Sheet'!O31+'Balance Sheet'!O34+'Balance Sheet'!O45+'Balance Sheet'!O50)/1000</f>
        <v>0.35673622205</v>
      </c>
      <c r="P38" s="60">
        <f>('Balance Sheet'!P31+'Balance Sheet'!P34+'Balance Sheet'!P45+'Balance Sheet'!P50)/1000</f>
        <v>0.44672901406000004</v>
      </c>
      <c r="Q38" s="60">
        <f>('Balance Sheet'!Q31+'Balance Sheet'!Q34+'Balance Sheet'!Q45+'Balance Sheet'!Q50)/1000</f>
        <v>0.47686014699999996</v>
      </c>
      <c r="R38" s="60">
        <f>('Balance Sheet'!R31+'Balance Sheet'!R34+'Balance Sheet'!R45+'Balance Sheet'!R50)/1000</f>
        <v>0.53075257523999997</v>
      </c>
      <c r="S38" s="60">
        <f>('Balance Sheet'!S31+'Balance Sheet'!S33+'Balance Sheet'!S34+'Balance Sheet'!S45+'Balance Sheet'!S50)/1000</f>
        <v>1.295271112</v>
      </c>
      <c r="T38" s="60">
        <f>('Balance Sheet'!T31+'Balance Sheet'!T34+'Balance Sheet'!T45+'Balance Sheet'!T50)/1000</f>
        <v>3.1104896550200003</v>
      </c>
      <c r="U38" s="60">
        <f>('Balance Sheet'!U31+'Balance Sheet'!U34+'Balance Sheet'!U45+'Balance Sheet'!U50)/1000</f>
        <v>3.9402991104699998</v>
      </c>
      <c r="V38" s="60">
        <f>('Balance Sheet'!V31+'Balance Sheet'!V34+'Balance Sheet'!V45+'Balance Sheet'!V50)/1000</f>
        <v>6.6877502000000018</v>
      </c>
      <c r="W38" s="60">
        <f>('Balance Sheet'!W31+'Balance Sheet'!W34+'Balance Sheet'!W45+'Balance Sheet'!W50)/1000</f>
        <v>6.5373358498699998</v>
      </c>
      <c r="X38" s="60">
        <v>5.681</v>
      </c>
      <c r="Y38" s="54"/>
      <c r="Z38" s="60" t="s">
        <v>28</v>
      </c>
      <c r="AA38" s="60" t="s">
        <v>28</v>
      </c>
      <c r="AB38" s="60">
        <f>('Balance Sheet'!AB31+'Balance Sheet'!AB33+'Balance Sheet'!AB34+'Balance Sheet'!AB45+'Balance Sheet'!AB50)/1000</f>
        <v>0.59390602500299994</v>
      </c>
      <c r="AC38" s="60">
        <f>('Balance Sheet'!AC31+'Balance Sheet'!AC33+'Balance Sheet'!AC34+'Balance Sheet'!AC45+'Balance Sheet'!AC50)/1000</f>
        <v>0.66623073490409002</v>
      </c>
      <c r="AD38" s="60">
        <f>('Balance Sheet'!AD31+'Balance Sheet'!AD34+'Balance Sheet'!AD45+'Balance Sheet'!AD50)/1000</f>
        <v>6.6877502000000018</v>
      </c>
    </row>
    <row r="39" spans="1:30" ht="14.25" customHeight="1" x14ac:dyDescent="0.35">
      <c r="B39" s="56" t="s">
        <v>481</v>
      </c>
      <c r="C39" s="201" t="str">
        <f>IFERROR(C33+C38,"-")</f>
        <v>-</v>
      </c>
      <c r="D39" s="201" t="str">
        <f t="shared" ref="D39:W39" si="18">IFERROR(D33+D38,"-")</f>
        <v>-</v>
      </c>
      <c r="E39" s="201" t="str">
        <f t="shared" si="18"/>
        <v>-</v>
      </c>
      <c r="F39" s="201" t="str">
        <f t="shared" si="18"/>
        <v>-</v>
      </c>
      <c r="G39" s="201" t="str">
        <f t="shared" si="18"/>
        <v>-</v>
      </c>
      <c r="H39" s="201" t="str">
        <f t="shared" si="18"/>
        <v>-</v>
      </c>
      <c r="I39" s="201" t="str">
        <f t="shared" si="18"/>
        <v>-</v>
      </c>
      <c r="J39" s="201" t="str">
        <f t="shared" si="18"/>
        <v>-</v>
      </c>
      <c r="K39" s="201" t="str">
        <f t="shared" si="18"/>
        <v>-</v>
      </c>
      <c r="L39" s="201" t="str">
        <f t="shared" si="18"/>
        <v>-</v>
      </c>
      <c r="M39" s="201" t="str">
        <f t="shared" si="18"/>
        <v>-</v>
      </c>
      <c r="N39" s="201" t="str">
        <f t="shared" si="18"/>
        <v>-</v>
      </c>
      <c r="O39" s="201">
        <f t="shared" si="18"/>
        <v>18.959788764439992</v>
      </c>
      <c r="P39" s="201">
        <f t="shared" si="18"/>
        <v>18.736951278789999</v>
      </c>
      <c r="Q39" s="201">
        <f t="shared" si="18"/>
        <v>22.046044080450013</v>
      </c>
      <c r="R39" s="201">
        <f t="shared" si="18"/>
        <v>28.102114807899991</v>
      </c>
      <c r="S39" s="201">
        <f t="shared" si="18"/>
        <v>31.856359789629984</v>
      </c>
      <c r="T39" s="201">
        <f t="shared" si="18"/>
        <v>37.353216488610016</v>
      </c>
      <c r="U39" s="201">
        <f t="shared" si="18"/>
        <v>38.142044007359985</v>
      </c>
      <c r="V39" s="201">
        <f t="shared" si="18"/>
        <v>42.807557200000005</v>
      </c>
      <c r="W39" s="57">
        <f t="shared" si="18"/>
        <v>40.419552911899999</v>
      </c>
      <c r="X39" s="57">
        <f t="shared" ref="X39" si="19">IFERROR(X33+X38,"-")</f>
        <v>42.856999999999999</v>
      </c>
      <c r="Y39" s="54"/>
      <c r="Z39" s="201" t="str">
        <f t="shared" ref="Z39" si="20">IFERROR(Z33+Z38,"-")</f>
        <v>-</v>
      </c>
      <c r="AA39" s="201" t="str">
        <f t="shared" ref="AA39" si="21">IFERROR(AA33+AA38,"-")</f>
        <v>-</v>
      </c>
      <c r="AB39" s="201">
        <f t="shared" ref="AB39" si="22">IFERROR(AB33+AB38,"-")</f>
        <v>21.256685364953</v>
      </c>
      <c r="AC39" s="201">
        <f t="shared" ref="AC39" si="23">IFERROR(AC33+AC38,"-")</f>
        <v>28.23759296756408</v>
      </c>
      <c r="AD39" s="201">
        <f t="shared" ref="AD39" si="24">IFERROR(AD33+AD38,"-")</f>
        <v>42.807557200000005</v>
      </c>
    </row>
    <row r="40" spans="1:30" ht="14.25" customHeight="1" x14ac:dyDescent="0.35">
      <c r="A40" s="3">
        <v>9</v>
      </c>
      <c r="B40" s="65" t="s">
        <v>491</v>
      </c>
    </row>
    <row r="41" spans="1:30" ht="14.25" customHeight="1" x14ac:dyDescent="0.35">
      <c r="L41" s="67"/>
      <c r="M41" s="67"/>
      <c r="N41" s="67"/>
      <c r="O41" s="67"/>
      <c r="P41" s="67"/>
      <c r="Q41" s="67"/>
      <c r="R41" s="67"/>
      <c r="S41" s="67"/>
      <c r="T41" s="106"/>
      <c r="U41" s="106"/>
      <c r="V41" s="106"/>
      <c r="W41" s="106"/>
      <c r="X41" s="106"/>
    </row>
    <row r="42" spans="1:30" ht="14.25" customHeight="1" thickBot="1" x14ac:dyDescent="0.4">
      <c r="B42" s="191" t="s">
        <v>2</v>
      </c>
      <c r="C42" s="189" t="s">
        <v>3</v>
      </c>
      <c r="D42" s="189" t="s">
        <v>4</v>
      </c>
      <c r="E42" s="189" t="s">
        <v>5</v>
      </c>
      <c r="F42" s="189" t="s">
        <v>6</v>
      </c>
      <c r="G42" s="189" t="s">
        <v>7</v>
      </c>
      <c r="H42" s="189" t="s">
        <v>8</v>
      </c>
      <c r="I42" s="189" t="s">
        <v>9</v>
      </c>
      <c r="J42" s="189" t="s">
        <v>10</v>
      </c>
      <c r="K42" s="189" t="s">
        <v>11</v>
      </c>
      <c r="L42" s="189" t="s">
        <v>12</v>
      </c>
      <c r="M42" s="189" t="s">
        <v>13</v>
      </c>
      <c r="N42" s="189" t="s">
        <v>14</v>
      </c>
      <c r="O42" s="189" t="s">
        <v>15</v>
      </c>
      <c r="P42" s="189" t="s">
        <v>16</v>
      </c>
      <c r="Q42" s="189" t="s">
        <v>17</v>
      </c>
      <c r="R42" s="189" t="s">
        <v>18</v>
      </c>
      <c r="S42" s="189" t="s">
        <v>19</v>
      </c>
      <c r="T42" s="189" t="s">
        <v>20</v>
      </c>
      <c r="U42" s="189" t="s">
        <v>21</v>
      </c>
      <c r="V42" s="189" t="s">
        <v>22</v>
      </c>
      <c r="W42" s="189" t="s">
        <v>457</v>
      </c>
      <c r="X42" s="189" t="s">
        <v>493</v>
      </c>
      <c r="Z42" s="189">
        <v>2020</v>
      </c>
      <c r="AA42" s="189">
        <v>2021</v>
      </c>
      <c r="AB42" s="189">
        <v>2022</v>
      </c>
      <c r="AC42" s="189">
        <v>2023</v>
      </c>
      <c r="AD42" s="189">
        <v>2024</v>
      </c>
    </row>
    <row r="43" spans="1:30" ht="14.25" customHeight="1" x14ac:dyDescent="0.35">
      <c r="B43" s="56" t="s">
        <v>43</v>
      </c>
      <c r="C43" s="57" t="s">
        <v>28</v>
      </c>
      <c r="D43" s="57" t="s">
        <v>28</v>
      </c>
      <c r="E43" s="57" t="s">
        <v>28</v>
      </c>
      <c r="F43" s="57" t="s">
        <v>28</v>
      </c>
      <c r="G43" s="57" t="s">
        <v>28</v>
      </c>
      <c r="H43" s="57" t="s">
        <v>28</v>
      </c>
      <c r="I43" s="57" t="s">
        <v>28</v>
      </c>
      <c r="J43" s="57" t="s">
        <v>28</v>
      </c>
      <c r="K43" s="57">
        <f t="shared" ref="K43:T43" si="25">K33</f>
        <v>11.182577102340002</v>
      </c>
      <c r="L43" s="57">
        <f t="shared" si="25"/>
        <v>15.492738614380002</v>
      </c>
      <c r="M43" s="57">
        <f t="shared" si="25"/>
        <v>19.401679182679999</v>
      </c>
      <c r="N43" s="57">
        <f t="shared" si="25"/>
        <v>20.662779339949999</v>
      </c>
      <c r="O43" s="57">
        <f t="shared" si="25"/>
        <v>18.603052542389992</v>
      </c>
      <c r="P43" s="57">
        <f t="shared" si="25"/>
        <v>18.290222264729998</v>
      </c>
      <c r="Q43" s="57">
        <f t="shared" si="25"/>
        <v>21.569183933450013</v>
      </c>
      <c r="R43" s="57">
        <f t="shared" si="25"/>
        <v>27.57136223265999</v>
      </c>
      <c r="S43" s="57">
        <f t="shared" si="25"/>
        <v>30.561088677629982</v>
      </c>
      <c r="T43" s="57">
        <f t="shared" si="25"/>
        <v>34.242726833590012</v>
      </c>
      <c r="U43" s="57">
        <f>U33</f>
        <v>34.201744896889984</v>
      </c>
      <c r="V43" s="57">
        <v>36.119807000000002</v>
      </c>
      <c r="W43" s="57">
        <f>W33</f>
        <v>33.882217062030001</v>
      </c>
      <c r="X43" s="57">
        <v>37.176000000000002</v>
      </c>
      <c r="Y43" s="54"/>
      <c r="Z43" s="57">
        <v>5.0728556552599997</v>
      </c>
      <c r="AA43" s="57">
        <v>8.8350086231299993</v>
      </c>
      <c r="AB43" s="57">
        <v>20.662779339949999</v>
      </c>
      <c r="AC43" s="57">
        <v>27.57136223265999</v>
      </c>
      <c r="AD43" s="57">
        <v>36.119807000000002</v>
      </c>
    </row>
    <row r="44" spans="1:30" ht="14.25" customHeight="1" x14ac:dyDescent="0.35">
      <c r="B44" s="23" t="s">
        <v>46</v>
      </c>
      <c r="C44" s="38" t="s">
        <v>28</v>
      </c>
      <c r="D44" s="38" t="s">
        <v>28</v>
      </c>
      <c r="E44" s="38" t="s">
        <v>28</v>
      </c>
      <c r="F44" s="38" t="s">
        <v>28</v>
      </c>
      <c r="G44" s="38" t="s">
        <v>28</v>
      </c>
      <c r="H44" s="38" t="s">
        <v>28</v>
      </c>
      <c r="I44" s="38" t="s">
        <v>28</v>
      </c>
      <c r="J44" s="38" t="s">
        <v>28</v>
      </c>
      <c r="K44" s="38">
        <f>K43-K45</f>
        <v>9.3920771023400018</v>
      </c>
      <c r="L44" s="38">
        <f t="shared" ref="L44:T44" si="26">L43-L45</f>
        <v>12.546538614380003</v>
      </c>
      <c r="M44" s="38">
        <f t="shared" si="26"/>
        <v>14.365179182679999</v>
      </c>
      <c r="N44" s="38">
        <f t="shared" si="26"/>
        <v>16.982179339950001</v>
      </c>
      <c r="O44" s="38">
        <f t="shared" si="26"/>
        <v>15.638752542389993</v>
      </c>
      <c r="P44" s="38">
        <f t="shared" si="26"/>
        <v>15.667922264729999</v>
      </c>
      <c r="Q44" s="38">
        <f t="shared" si="26"/>
        <v>18.241412000590014</v>
      </c>
      <c r="R44" s="38">
        <f t="shared" si="26"/>
        <v>21.429722683339989</v>
      </c>
      <c r="S44" s="38">
        <f t="shared" si="26"/>
        <v>22.730121032119982</v>
      </c>
      <c r="T44" s="38">
        <f t="shared" si="26"/>
        <v>26.042778955180012</v>
      </c>
      <c r="U44" s="38">
        <f>U43-U45</f>
        <v>28.027566896889983</v>
      </c>
      <c r="V44" s="38">
        <v>29.30142805909</v>
      </c>
      <c r="W44" s="38">
        <f>W43-W45</f>
        <v>28.67733345377</v>
      </c>
      <c r="X44" s="38">
        <v>31.675999999999998</v>
      </c>
      <c r="Y44" s="54"/>
      <c r="Z44" s="38" t="s">
        <v>28</v>
      </c>
      <c r="AA44" s="38" t="s">
        <v>28</v>
      </c>
      <c r="AB44" s="38">
        <v>16.982179339950001</v>
      </c>
      <c r="AC44" s="38">
        <v>21.429722683339989</v>
      </c>
      <c r="AD44" s="38">
        <v>29.30142805909</v>
      </c>
    </row>
    <row r="45" spans="1:30" ht="14.25" customHeight="1" thickBot="1" x14ac:dyDescent="0.4">
      <c r="B45" s="58" t="s">
        <v>47</v>
      </c>
      <c r="C45" s="60" t="s">
        <v>28</v>
      </c>
      <c r="D45" s="60" t="s">
        <v>28</v>
      </c>
      <c r="E45" s="60" t="s">
        <v>28</v>
      </c>
      <c r="F45" s="60" t="s">
        <v>28</v>
      </c>
      <c r="G45" s="60" t="s">
        <v>28</v>
      </c>
      <c r="H45" s="60" t="s">
        <v>28</v>
      </c>
      <c r="I45" s="60" t="s">
        <v>28</v>
      </c>
      <c r="J45" s="60" t="s">
        <v>28</v>
      </c>
      <c r="K45" s="60">
        <v>1.7905</v>
      </c>
      <c r="L45" s="60">
        <v>2.9461999999999997</v>
      </c>
      <c r="M45" s="60">
        <v>5.0365000000000002</v>
      </c>
      <c r="N45" s="60">
        <v>3.6806000000000001</v>
      </c>
      <c r="O45" s="60">
        <v>2.9643000000000002</v>
      </c>
      <c r="P45" s="60">
        <v>2.6223000000000001</v>
      </c>
      <c r="Q45" s="60">
        <v>3.3277719328599997</v>
      </c>
      <c r="R45" s="60">
        <v>6.1416395493200007</v>
      </c>
      <c r="S45" s="60">
        <v>7.8309676455099995</v>
      </c>
      <c r="T45" s="60">
        <v>8.1999478784100006</v>
      </c>
      <c r="U45" s="60">
        <v>6.1741780000000004</v>
      </c>
      <c r="V45" s="60">
        <v>6.8183789409099997</v>
      </c>
      <c r="W45" s="60">
        <v>5.2048836082600003</v>
      </c>
      <c r="X45" s="60">
        <v>5.5</v>
      </c>
      <c r="Y45" s="54"/>
      <c r="Z45" s="60" t="s">
        <v>28</v>
      </c>
      <c r="AA45" s="60" t="s">
        <v>28</v>
      </c>
      <c r="AB45" s="60">
        <v>3.6806000000000001</v>
      </c>
      <c r="AC45" s="60">
        <v>6.1416395493200007</v>
      </c>
      <c r="AD45" s="60">
        <v>6.8183789409099997</v>
      </c>
    </row>
    <row r="46" spans="1:30" ht="14.25" customHeight="1" x14ac:dyDescent="0.35">
      <c r="L46" s="67"/>
      <c r="M46" s="67"/>
      <c r="N46" s="67"/>
      <c r="O46" s="67"/>
      <c r="P46" s="67"/>
      <c r="Q46" s="67"/>
      <c r="R46" s="67"/>
      <c r="S46" s="67"/>
      <c r="T46" s="67"/>
      <c r="U46" s="106"/>
      <c r="V46" s="106"/>
      <c r="W46" s="106"/>
      <c r="X46" s="106"/>
    </row>
    <row r="47" spans="1:30" ht="14.25" customHeight="1" thickBot="1" x14ac:dyDescent="0.4">
      <c r="B47" s="191" t="s">
        <v>2</v>
      </c>
      <c r="C47" s="189" t="s">
        <v>3</v>
      </c>
      <c r="D47" s="189" t="s">
        <v>4</v>
      </c>
      <c r="E47" s="189" t="s">
        <v>5</v>
      </c>
      <c r="F47" s="189" t="s">
        <v>6</v>
      </c>
      <c r="G47" s="189" t="s">
        <v>7</v>
      </c>
      <c r="H47" s="189" t="s">
        <v>8</v>
      </c>
      <c r="I47" s="189" t="s">
        <v>9</v>
      </c>
      <c r="J47" s="189" t="s">
        <v>10</v>
      </c>
      <c r="K47" s="189" t="s">
        <v>11</v>
      </c>
      <c r="L47" s="189" t="s">
        <v>12</v>
      </c>
      <c r="M47" s="189" t="s">
        <v>13</v>
      </c>
      <c r="N47" s="189" t="s">
        <v>14</v>
      </c>
      <c r="O47" s="189" t="s">
        <v>15</v>
      </c>
      <c r="P47" s="189" t="s">
        <v>16</v>
      </c>
      <c r="Q47" s="189" t="s">
        <v>17</v>
      </c>
      <c r="R47" s="189" t="s">
        <v>18</v>
      </c>
      <c r="S47" s="189" t="s">
        <v>19</v>
      </c>
      <c r="T47" s="189" t="s">
        <v>20</v>
      </c>
      <c r="U47" s="189" t="s">
        <v>21</v>
      </c>
      <c r="V47" s="189" t="s">
        <v>22</v>
      </c>
      <c r="W47" s="189" t="s">
        <v>457</v>
      </c>
      <c r="X47" s="189" t="s">
        <v>493</v>
      </c>
      <c r="Z47" s="189">
        <v>2020</v>
      </c>
      <c r="AA47" s="189">
        <v>2021</v>
      </c>
      <c r="AB47" s="189">
        <v>2022</v>
      </c>
      <c r="AC47" s="189">
        <v>2023</v>
      </c>
      <c r="AD47" s="189">
        <v>2024</v>
      </c>
    </row>
    <row r="48" spans="1:30" ht="14.25" customHeight="1" x14ac:dyDescent="0.35">
      <c r="B48" s="56" t="s">
        <v>470</v>
      </c>
      <c r="C48" s="57">
        <v>0.50404090740000007</v>
      </c>
      <c r="D48" s="57">
        <v>0.47923918463999998</v>
      </c>
      <c r="E48" s="57">
        <v>0.48587377291</v>
      </c>
      <c r="F48" s="57">
        <v>0.61164998270999993</v>
      </c>
      <c r="G48" s="57">
        <v>0.77135686380000001</v>
      </c>
      <c r="H48" s="57">
        <v>1.1161025651699998</v>
      </c>
      <c r="I48" s="57">
        <v>1.5531804901499999</v>
      </c>
      <c r="J48" s="57">
        <v>1.9069698957400001</v>
      </c>
      <c r="K48" s="57">
        <v>2.0547854452799998</v>
      </c>
      <c r="L48" s="57">
        <v>2.2750159656799998</v>
      </c>
      <c r="M48" s="57">
        <v>2.6532649304199998</v>
      </c>
      <c r="N48" s="57">
        <v>2.7207143173399997</v>
      </c>
      <c r="O48" s="57">
        <v>2.7176414679800001</v>
      </c>
      <c r="P48" s="57">
        <v>2.6094384610399999</v>
      </c>
      <c r="Q48" s="57">
        <v>2.4622210973100001</v>
      </c>
      <c r="R48" s="57">
        <v>2.5287982613099995</v>
      </c>
      <c r="S48" s="57">
        <v>2.7231597954499995</v>
      </c>
      <c r="T48" s="57">
        <v>2.8937865694</v>
      </c>
      <c r="U48" s="57">
        <v>3.1981419294699998</v>
      </c>
      <c r="V48" s="57">
        <v>3.4374143519700002</v>
      </c>
      <c r="W48" s="57">
        <v>3.6513209514800002</v>
      </c>
      <c r="X48" s="57">
        <v>3.87</v>
      </c>
      <c r="Y48" s="54"/>
      <c r="Z48" s="57">
        <v>0.61164998270999993</v>
      </c>
      <c r="AA48" s="57">
        <v>1.9069698957400001</v>
      </c>
      <c r="AB48" s="57">
        <v>2.7207143173399997</v>
      </c>
      <c r="AC48" s="57">
        <v>2.5287982613099995</v>
      </c>
      <c r="AD48" s="57">
        <v>3.4374143519700002</v>
      </c>
    </row>
    <row r="49" spans="1:30" ht="14.25" customHeight="1" x14ac:dyDescent="0.35">
      <c r="B49" s="23" t="s">
        <v>49</v>
      </c>
      <c r="C49" s="38">
        <v>0.33765230183</v>
      </c>
      <c r="D49" s="38">
        <v>0.29383810225999996</v>
      </c>
      <c r="E49" s="38">
        <v>0.27699847007</v>
      </c>
      <c r="F49" s="38">
        <v>0.33084785019999996</v>
      </c>
      <c r="G49" s="38">
        <v>0.41267778549</v>
      </c>
      <c r="H49" s="38">
        <v>0.62729188580999995</v>
      </c>
      <c r="I49" s="38">
        <v>0.88266328397000005</v>
      </c>
      <c r="J49" s="38">
        <v>1.06967057764</v>
      </c>
      <c r="K49" s="38">
        <v>1.0087420700399998</v>
      </c>
      <c r="L49" s="38">
        <v>0.9186036368199999</v>
      </c>
      <c r="M49" s="38">
        <v>0.81328235338999999</v>
      </c>
      <c r="N49" s="38">
        <v>0.74337881752000001</v>
      </c>
      <c r="O49" s="38">
        <v>0.67218008786999994</v>
      </c>
      <c r="P49" s="38">
        <v>0.62500658004999998</v>
      </c>
      <c r="Q49" s="38">
        <v>0.47133806192999994</v>
      </c>
      <c r="R49" s="38">
        <v>0.40973846980999995</v>
      </c>
      <c r="S49" s="38">
        <v>0.34073699277999997</v>
      </c>
      <c r="T49" s="38">
        <v>0.20202774894000003</v>
      </c>
      <c r="U49" s="38">
        <v>0.16172367010999997</v>
      </c>
      <c r="V49" s="38">
        <v>0.14326937369000001</v>
      </c>
      <c r="W49" s="52">
        <v>0.16540724592999997</v>
      </c>
      <c r="X49" s="52">
        <v>0.23</v>
      </c>
      <c r="Y49" s="54"/>
      <c r="Z49" s="38">
        <v>0.33084785019999996</v>
      </c>
      <c r="AA49" s="38">
        <v>1.06967057764</v>
      </c>
      <c r="AB49" s="38">
        <v>0.74337881752000001</v>
      </c>
      <c r="AC49" s="38">
        <v>0.40973846980999995</v>
      </c>
      <c r="AD49" s="38">
        <v>0.14326937369000001</v>
      </c>
    </row>
    <row r="50" spans="1:30" ht="14.25" customHeight="1" x14ac:dyDescent="0.35">
      <c r="B50" s="23" t="s">
        <v>50</v>
      </c>
      <c r="C50" s="38">
        <v>0.33765230183</v>
      </c>
      <c r="D50" s="38">
        <v>0.17093922379000001</v>
      </c>
      <c r="E50" s="38">
        <v>0.18914503212999997</v>
      </c>
      <c r="F50" s="38">
        <v>0.25733752817000005</v>
      </c>
      <c r="G50" s="38">
        <v>0.33388552074</v>
      </c>
      <c r="H50" s="38">
        <v>0.45888023469</v>
      </c>
      <c r="I50" s="38">
        <v>0.60408902654999996</v>
      </c>
      <c r="J50" s="38">
        <v>0.72609477298000002</v>
      </c>
      <c r="K50" s="38">
        <v>0.85244543726999999</v>
      </c>
      <c r="L50" s="38">
        <v>0.91904727357000005</v>
      </c>
      <c r="M50" s="38">
        <v>1.0141261052999999</v>
      </c>
      <c r="N50" s="38">
        <v>1.1125104029799999</v>
      </c>
      <c r="O50" s="38">
        <v>1.0872828727799999</v>
      </c>
      <c r="P50" s="38">
        <v>0.88588297703999996</v>
      </c>
      <c r="Q50" s="38">
        <v>0.81551047789999997</v>
      </c>
      <c r="R50" s="38">
        <v>0.76349498762000001</v>
      </c>
      <c r="S50" s="38">
        <v>0.71543341951000006</v>
      </c>
      <c r="T50" s="38">
        <v>0.70089659537000015</v>
      </c>
      <c r="U50" s="38">
        <v>0.70405713422999994</v>
      </c>
      <c r="V50" s="38">
        <v>0.77799739421000003</v>
      </c>
      <c r="W50" s="52">
        <v>0.76893309373999996</v>
      </c>
      <c r="X50" s="52">
        <v>0.79</v>
      </c>
      <c r="Y50" s="54"/>
      <c r="Z50" s="38">
        <v>0.25733752817000005</v>
      </c>
      <c r="AA50" s="38">
        <v>0.72609477298000002</v>
      </c>
      <c r="AB50" s="38">
        <v>1.1125104029799999</v>
      </c>
      <c r="AC50" s="38">
        <v>0.76349498762000001</v>
      </c>
      <c r="AD50" s="38">
        <v>0.77799739421000003</v>
      </c>
    </row>
    <row r="51" spans="1:30" ht="14.25" customHeight="1" thickBot="1" x14ac:dyDescent="0.4">
      <c r="B51" s="58" t="s">
        <v>51</v>
      </c>
      <c r="C51" s="60">
        <v>1.079986994E-2</v>
      </c>
      <c r="D51" s="60">
        <v>1.4461858589999998E-2</v>
      </c>
      <c r="E51" s="60">
        <v>1.9730270710000001E-2</v>
      </c>
      <c r="F51" s="60">
        <v>2.346460434E-2</v>
      </c>
      <c r="G51" s="60">
        <v>2.4793557569999999E-2</v>
      </c>
      <c r="H51" s="60">
        <v>2.993044467E-2</v>
      </c>
      <c r="I51" s="60">
        <v>6.642817963E-2</v>
      </c>
      <c r="J51" s="60">
        <v>0.11120454512</v>
      </c>
      <c r="K51" s="60">
        <v>0.19359667683000001</v>
      </c>
      <c r="L51" s="60">
        <v>0.43736379415000004</v>
      </c>
      <c r="M51" s="60">
        <v>0.8258564717300001</v>
      </c>
      <c r="N51" s="60">
        <v>0.86482509683999997</v>
      </c>
      <c r="O51" s="60">
        <f>O48-SUM(O49:O50)</f>
        <v>0.95817850733000021</v>
      </c>
      <c r="P51" s="60">
        <f t="shared" ref="P51:T51" si="27">P48-SUM(P49:P50)</f>
        <v>1.0985489039499998</v>
      </c>
      <c r="Q51" s="60">
        <f t="shared" si="27"/>
        <v>1.1753725574800002</v>
      </c>
      <c r="R51" s="60">
        <f t="shared" si="27"/>
        <v>1.3555648038799997</v>
      </c>
      <c r="S51" s="60">
        <f t="shared" si="27"/>
        <v>1.6669893831599996</v>
      </c>
      <c r="T51" s="60">
        <f t="shared" si="27"/>
        <v>1.9908622250899999</v>
      </c>
      <c r="U51" s="60">
        <f t="shared" ref="U51" si="28">U48-SUM(U49:U50)</f>
        <v>2.3323611251299998</v>
      </c>
      <c r="V51" s="60">
        <v>2.5161475840700001</v>
      </c>
      <c r="W51" s="200">
        <f t="shared" ref="W51" si="29">W48-SUM(W49:W50)</f>
        <v>2.7169806118100004</v>
      </c>
      <c r="X51" s="200">
        <v>2.88</v>
      </c>
      <c r="Y51" s="54"/>
      <c r="Z51" s="60">
        <v>2.346460434E-2</v>
      </c>
      <c r="AA51" s="60">
        <v>0.11120454512</v>
      </c>
      <c r="AB51" s="60">
        <v>0.86482509683999997</v>
      </c>
      <c r="AC51" s="60">
        <v>1.3555648038799997</v>
      </c>
      <c r="AD51" s="60">
        <v>2.5161475840700001</v>
      </c>
    </row>
    <row r="52" spans="1:30" ht="14.25" customHeight="1" x14ac:dyDescent="0.35">
      <c r="B52" s="68" t="s">
        <v>52</v>
      </c>
      <c r="C52" s="69" t="s">
        <v>28</v>
      </c>
      <c r="D52" s="69" t="s">
        <v>28</v>
      </c>
      <c r="E52" s="69" t="s">
        <v>28</v>
      </c>
      <c r="F52" s="69" t="s">
        <v>28</v>
      </c>
      <c r="G52" s="69">
        <v>8.0000000000000002E-3</v>
      </c>
      <c r="H52" s="69">
        <v>8.0000000000000002E-3</v>
      </c>
      <c r="I52" s="69">
        <v>5.0000000000000001E-3</v>
      </c>
      <c r="J52" s="69">
        <v>8.0000000000000002E-3</v>
      </c>
      <c r="K52" s="69">
        <v>9.8786344409920162E-3</v>
      </c>
      <c r="L52" s="69">
        <v>1.0194873096122794E-2</v>
      </c>
      <c r="M52" s="69">
        <v>4.2799160237349037E-3</v>
      </c>
      <c r="N52" s="69">
        <v>6.775514772773732E-3</v>
      </c>
      <c r="O52" s="69">
        <v>1.1406881153350977E-2</v>
      </c>
      <c r="P52" s="69">
        <v>1.2261841133001827E-2</v>
      </c>
      <c r="Q52" s="69">
        <v>1.1324992376775551E-2</v>
      </c>
      <c r="R52" s="69">
        <v>1.1375728812098607E-2</v>
      </c>
      <c r="S52" s="69">
        <v>9.0065691794208053E-3</v>
      </c>
      <c r="T52" s="69">
        <v>7.4588358237666847E-3</v>
      </c>
      <c r="U52" s="69">
        <v>6.2872639857698698E-3</v>
      </c>
      <c r="V52" s="69">
        <v>6.1890642155114162E-3</v>
      </c>
      <c r="W52" s="69">
        <v>8.0024010238381339E-3</v>
      </c>
      <c r="X52" s="69">
        <v>0.01</v>
      </c>
      <c r="Y52" s="54"/>
      <c r="Z52" s="70" t="s">
        <v>28</v>
      </c>
      <c r="AA52" s="70" t="s">
        <v>28</v>
      </c>
      <c r="AB52" s="69">
        <v>6.775514772773732E-3</v>
      </c>
      <c r="AC52" s="69">
        <v>1.1375728812098607E-2</v>
      </c>
      <c r="AD52" s="69">
        <v>6.1890642155114162E-3</v>
      </c>
    </row>
    <row r="53" spans="1:30" ht="14.25" customHeight="1" thickBot="1" x14ac:dyDescent="0.4">
      <c r="B53" s="71" t="s">
        <v>53</v>
      </c>
      <c r="C53" s="72" t="s">
        <v>28</v>
      </c>
      <c r="D53" s="72" t="s">
        <v>28</v>
      </c>
      <c r="E53" s="72" t="s">
        <v>28</v>
      </c>
      <c r="F53" s="72" t="s">
        <v>28</v>
      </c>
      <c r="G53" s="72">
        <v>0.13800000000000001</v>
      </c>
      <c r="H53" s="72">
        <v>0.127</v>
      </c>
      <c r="I53" s="72">
        <v>0.121</v>
      </c>
      <c r="J53" s="72">
        <v>0.16200000000000001</v>
      </c>
      <c r="K53" s="72">
        <v>0.22398661645488108</v>
      </c>
      <c r="L53" s="72">
        <v>0.26254634760821</v>
      </c>
      <c r="M53" s="72">
        <v>0.23571798347381187</v>
      </c>
      <c r="N53" s="72">
        <v>0.2059230721902742</v>
      </c>
      <c r="O53" s="72">
        <v>0.17860258951600136</v>
      </c>
      <c r="P53" s="72">
        <v>0.14385138301205597</v>
      </c>
      <c r="Q53" s="72">
        <v>0.10693518769081407</v>
      </c>
      <c r="R53" s="72">
        <v>7.533674519535441E-2</v>
      </c>
      <c r="S53" s="72">
        <v>4.4918811044705263E-2</v>
      </c>
      <c r="T53" s="72">
        <v>3.20832613448555E-2</v>
      </c>
      <c r="U53" s="72">
        <v>2.5097569248194437E-2</v>
      </c>
      <c r="V53" s="72">
        <v>2.2783387357728078E-2</v>
      </c>
      <c r="W53" s="72">
        <v>2.2507569365087295E-2</v>
      </c>
      <c r="X53" s="72">
        <v>2.47E-2</v>
      </c>
      <c r="Y53" s="54"/>
      <c r="Z53" s="73" t="s">
        <v>28</v>
      </c>
      <c r="AA53" s="73" t="s">
        <v>28</v>
      </c>
      <c r="AB53" s="72">
        <v>0.2059230721902742</v>
      </c>
      <c r="AC53" s="72">
        <v>7.533674519535441E-2</v>
      </c>
      <c r="AD53" s="72">
        <v>2.2783387357728078E-2</v>
      </c>
    </row>
    <row r="54" spans="1:30" ht="14.25" customHeight="1" thickBot="1" x14ac:dyDescent="0.4">
      <c r="B54" s="58" t="s">
        <v>477</v>
      </c>
      <c r="C54" s="60" t="s">
        <v>28</v>
      </c>
      <c r="D54" s="60" t="s">
        <v>28</v>
      </c>
      <c r="E54" s="60" t="s">
        <v>28</v>
      </c>
      <c r="F54" s="60" t="s">
        <v>28</v>
      </c>
      <c r="G54" s="60" t="s">
        <v>28</v>
      </c>
      <c r="H54" s="60" t="s">
        <v>28</v>
      </c>
      <c r="I54" s="60" t="s">
        <v>28</v>
      </c>
      <c r="J54" s="60" t="s">
        <v>28</v>
      </c>
      <c r="K54" s="60">
        <f>('Balance Sheet'!K11+'Balance Sheet'!K19)/1000-K48-SUM('Balance Sheet'!K29+'Balance Sheet'!K44)/1000</f>
        <v>10.684249549996981</v>
      </c>
      <c r="L54" s="60">
        <f>('Balance Sheet'!L11+'Balance Sheet'!L19)/1000-L48-SUM('Balance Sheet'!L29+'Balance Sheet'!L44)/1000</f>
        <v>14.901879317341233</v>
      </c>
      <c r="M54" s="60">
        <f>('Balance Sheet'!M11+'Balance Sheet'!M19)/1000-M48-SUM('Balance Sheet'!M29+'Balance Sheet'!M44)/1000</f>
        <v>17.700563182888416</v>
      </c>
      <c r="N54" s="60">
        <f>('Balance Sheet'!N11+'Balance Sheet'!N19)/1000-N48-SUM('Balance Sheet'!N29+'Balance Sheet'!N44)/1000</f>
        <v>16.200522230603628</v>
      </c>
      <c r="O54" s="60">
        <f>('Balance Sheet'!O11+'Balance Sheet'!O19)/1000-O48-SUM('Balance Sheet'!O29+'Balance Sheet'!O44)/1000</f>
        <v>23.271428633989327</v>
      </c>
      <c r="P54" s="60">
        <f>('Balance Sheet'!P11+'Balance Sheet'!P19)/1000-P48-SUM('Balance Sheet'!P29+'Balance Sheet'!P44)/1000</f>
        <v>23.24778131665904</v>
      </c>
      <c r="Q54" s="60">
        <f>('Balance Sheet'!Q11+'Balance Sheet'!Q19)/1000-Q48-SUM('Balance Sheet'!Q29+'Balance Sheet'!Q44)/1000</f>
        <v>26.847837797140009</v>
      </c>
      <c r="R54" s="60">
        <f>('Balance Sheet'!R11+'Balance Sheet'!R19)/1000-R48-SUM('Balance Sheet'!R29+'Balance Sheet'!R44)/1000</f>
        <v>30.220720709412721</v>
      </c>
      <c r="S54" s="60">
        <f>('Balance Sheet'!S11+'Balance Sheet'!S19)/1000-S48-SUM('Balance Sheet'!S29+'Balance Sheet'!S44)/1000</f>
        <v>31.461330382550003</v>
      </c>
      <c r="T54" s="60">
        <f>('Balance Sheet'!T11+'Balance Sheet'!T19)/1000-T48-SUM('Balance Sheet'!T29+'Balance Sheet'!T44)/1000</f>
        <v>39.854856353293322</v>
      </c>
      <c r="U54" s="60">
        <f>('Balance Sheet'!U11+'Balance Sheet'!U19)/1000-U48-SUM('Balance Sheet'!U29+'Balance Sheet'!U44)/1000</f>
        <v>40.902437102669985</v>
      </c>
      <c r="V54" s="60">
        <f>('Balance Sheet'!V11+'Balance Sheet'!V19)/1000-V48-SUM('Balance Sheet'!V29+'Balance Sheet'!V44)/1000</f>
        <v>44.723640748030007</v>
      </c>
      <c r="W54" s="60">
        <f>('Balance Sheet'!W11+'Balance Sheet'!W19)/1000-W48-SUM('Balance Sheet'!W29+'Balance Sheet'!W44)/1000</f>
        <v>42.306049467480001</v>
      </c>
      <c r="X54" s="60">
        <v>44.2</v>
      </c>
      <c r="Y54" s="54"/>
      <c r="Z54" s="60" t="s">
        <v>28</v>
      </c>
      <c r="AA54" s="60" t="s">
        <v>28</v>
      </c>
      <c r="AB54" s="60">
        <f>('Balance Sheet'!AB11+'Balance Sheet'!AB19)/1000-AB48-SUM('Balance Sheet'!AB29+'Balance Sheet'!AB44)/1000</f>
        <v>16.200522230603628</v>
      </c>
      <c r="AC54" s="60">
        <f>('Balance Sheet'!AC11+'Balance Sheet'!AC19)/1000-AC48-SUM('Balance Sheet'!AC29+'Balance Sheet'!AC44)/1000</f>
        <v>30.220720709412721</v>
      </c>
      <c r="AD54" s="60">
        <f>('Balance Sheet'!AD11+'Balance Sheet'!AD19)/1000-AD48-SUM('Balance Sheet'!AD29+'Balance Sheet'!AD44)/1000</f>
        <v>44.723640748030007</v>
      </c>
    </row>
    <row r="55" spans="1:30" ht="14.25" customHeight="1" x14ac:dyDescent="0.35">
      <c r="B55" s="56" t="s">
        <v>478</v>
      </c>
      <c r="C55" s="201" t="str">
        <f>IFERROR(C48+C54,"-")</f>
        <v>-</v>
      </c>
      <c r="D55" s="201" t="str">
        <f t="shared" ref="D55:W55" si="30">IFERROR(D48+D54,"-")</f>
        <v>-</v>
      </c>
      <c r="E55" s="201" t="str">
        <f t="shared" si="30"/>
        <v>-</v>
      </c>
      <c r="F55" s="201" t="str">
        <f t="shared" si="30"/>
        <v>-</v>
      </c>
      <c r="G55" s="201" t="str">
        <f t="shared" si="30"/>
        <v>-</v>
      </c>
      <c r="H55" s="201" t="str">
        <f t="shared" si="30"/>
        <v>-</v>
      </c>
      <c r="I55" s="201" t="str">
        <f t="shared" si="30"/>
        <v>-</v>
      </c>
      <c r="J55" s="201" t="str">
        <f t="shared" si="30"/>
        <v>-</v>
      </c>
      <c r="K55" s="201">
        <f t="shared" si="30"/>
        <v>12.739034995276981</v>
      </c>
      <c r="L55" s="201">
        <f t="shared" si="30"/>
        <v>17.176895283021231</v>
      </c>
      <c r="M55" s="201">
        <f t="shared" si="30"/>
        <v>20.353828113308417</v>
      </c>
      <c r="N55" s="201">
        <f t="shared" si="30"/>
        <v>18.921236547943629</v>
      </c>
      <c r="O55" s="201">
        <f t="shared" si="30"/>
        <v>25.989070101969325</v>
      </c>
      <c r="P55" s="201">
        <f t="shared" si="30"/>
        <v>25.85721977769904</v>
      </c>
      <c r="Q55" s="201">
        <f t="shared" si="30"/>
        <v>29.310058894450009</v>
      </c>
      <c r="R55" s="201">
        <f t="shared" si="30"/>
        <v>32.749518970722718</v>
      </c>
      <c r="S55" s="201">
        <f t="shared" si="30"/>
        <v>34.184490178000004</v>
      </c>
      <c r="T55" s="201">
        <f t="shared" si="30"/>
        <v>42.748642922693321</v>
      </c>
      <c r="U55" s="201">
        <f t="shared" si="30"/>
        <v>44.100579032139983</v>
      </c>
      <c r="V55" s="201">
        <f t="shared" si="30"/>
        <v>48.161055100000006</v>
      </c>
      <c r="W55" s="201">
        <f t="shared" si="30"/>
        <v>45.957370418960004</v>
      </c>
      <c r="X55" s="201">
        <f t="shared" ref="X55" si="31">IFERROR(X48+X54,"-")</f>
        <v>48.07</v>
      </c>
      <c r="Y55" s="54"/>
      <c r="Z55" s="201" t="str">
        <f t="shared" ref="Z55" si="32">IFERROR(Z48+Z54,"-")</f>
        <v>-</v>
      </c>
      <c r="AA55" s="201" t="str">
        <f t="shared" ref="AA55" si="33">IFERROR(AA48+AA54,"-")</f>
        <v>-</v>
      </c>
      <c r="AB55" s="201">
        <f t="shared" ref="AB55" si="34">IFERROR(AB48+AB54,"-")</f>
        <v>18.921236547943629</v>
      </c>
      <c r="AC55" s="201">
        <f t="shared" ref="AC55" si="35">IFERROR(AC48+AC54,"-")</f>
        <v>32.749518970722718</v>
      </c>
      <c r="AD55" s="201">
        <f t="shared" ref="AD55" si="36">IFERROR(AD48+AD54,"-")</f>
        <v>48.161055100000006</v>
      </c>
    </row>
    <row r="56" spans="1:30" ht="14.25" customHeight="1" x14ac:dyDescent="0.35">
      <c r="A56" s="3">
        <v>9</v>
      </c>
      <c r="B56" s="65" t="s">
        <v>479</v>
      </c>
    </row>
  </sheetData>
  <hyperlinks>
    <hyperlink ref="B3" r:id="rId1" xr:uid="{64552549-7095-42D8-B0EE-13BF5FAB258F}"/>
  </hyperlinks>
  <pageMargins left="0.511811024" right="0.511811024" top="0.78740157499999996" bottom="0.78740157499999996" header="0.31496062000000002" footer="0.31496062000000002"/>
  <pageSetup paperSize="9" orientation="portrait" r:id="rId2"/>
  <ignoredErrors>
    <ignoredError sqref="B36:I37 A38:I38 A4 C4:W4 A5:B5 B45:V45 A46:W46 B35:V35 O38:W38 A39:W41 A1:W3 A13:W13 A6:V12 A19:P19 A17:N18 A29:W29 A28:V28 A26:W26 A25:P25 W25 R25:S25 A51:W51 A48:V50 A34:V34 Y20:XFD21 AE17:XFD18 Y17:AB19 AD19:XFD19 U25 A14:R14 A15:N15 A23:W24 A20:N21 A54:W1048576 A53:F53 A31:W31 A30:R30 Q16:X16 X11:X12 A22:B22 A27:B27 A33:X33 A32:B32 A47:B47 A43:W44 A42:B42 Y23:XFD1048576 Y22 AE22:XFD22 A16:B16 L16:N16 Y1:XFD16 A52:F52 K52:V52 K53:V5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C7BD-3A37-409B-9963-C227FB354DA8}">
  <sheetPr codeName="Planilha7">
    <tabColor rgb="FFFFE72D"/>
  </sheetPr>
  <dimension ref="A1:AD49"/>
  <sheetViews>
    <sheetView showGridLines="0" zoomScaleNormal="100" workbookViewId="0">
      <pane xSplit="2" ySplit="5" topLeftCell="O21" activePane="bottomRight" state="frozen"/>
      <selection pane="topRight" activeCell="AO6" sqref="AO6"/>
      <selection pane="bottomLeft" activeCell="AO6" sqref="AO6"/>
      <selection pane="bottomRight" activeCell="B7" sqref="B7"/>
    </sheetView>
  </sheetViews>
  <sheetFormatPr defaultColWidth="0" defaultRowHeight="14.25" customHeight="1" outlineLevelRow="1" outlineLevelCol="1" x14ac:dyDescent="0.35"/>
  <cols>
    <col min="1" max="1" width="2.54296875" style="3" customWidth="1"/>
    <col min="2" max="2" width="60.54296875" style="24" customWidth="1"/>
    <col min="3" max="3" width="10.54296875" style="24" customWidth="1" outlineLevel="1" collapsed="1"/>
    <col min="4" max="6" width="10.54296875" style="24" customWidth="1" outlineLevel="1"/>
    <col min="7" max="7" width="10.54296875" style="24" customWidth="1" outlineLevel="1" collapsed="1"/>
    <col min="8" max="14" width="10.54296875" style="24" customWidth="1" outlineLevel="1"/>
    <col min="15" max="23" width="10.54296875" style="24" customWidth="1"/>
    <col min="24" max="24" width="2.54296875" style="24" customWidth="1"/>
    <col min="25" max="29" width="10.7265625" style="24" customWidth="1"/>
    <col min="30" max="30" width="2.54296875" style="1" customWidth="1"/>
    <col min="31" max="16384" width="10.54296875" style="1" hidden="1"/>
  </cols>
  <sheetData>
    <row r="1" spans="1:29" ht="14.25" customHeight="1" x14ac:dyDescent="0.35">
      <c r="B1" s="19"/>
      <c r="C1" s="19"/>
      <c r="D1" s="19"/>
      <c r="E1" s="19"/>
      <c r="F1" s="19"/>
      <c r="G1" s="19"/>
      <c r="H1" s="19"/>
      <c r="I1" s="19"/>
      <c r="J1" s="19"/>
      <c r="K1" s="19"/>
      <c r="L1" s="19"/>
      <c r="M1" s="19"/>
      <c r="N1" s="19"/>
      <c r="O1" s="37"/>
      <c r="P1" s="37"/>
      <c r="Q1" s="37"/>
      <c r="R1" s="37"/>
      <c r="S1" s="37"/>
      <c r="T1" s="37"/>
      <c r="U1" s="37"/>
      <c r="V1" s="37"/>
      <c r="W1" s="37"/>
    </row>
    <row r="2" spans="1:29" ht="14.25" customHeight="1" x14ac:dyDescent="0.35">
      <c r="B2" s="13" t="s">
        <v>0</v>
      </c>
      <c r="C2" s="19"/>
      <c r="D2" s="19"/>
      <c r="E2" s="19"/>
      <c r="F2" s="19"/>
      <c r="G2" s="19"/>
      <c r="H2" s="19"/>
      <c r="I2" s="19"/>
      <c r="J2" s="19"/>
      <c r="K2" s="19"/>
      <c r="L2" s="19"/>
      <c r="M2" s="19"/>
      <c r="N2" s="19"/>
      <c r="O2" s="37"/>
      <c r="P2" s="37"/>
      <c r="Q2" s="37"/>
      <c r="R2" s="37"/>
      <c r="S2" s="37"/>
      <c r="T2" s="104"/>
      <c r="U2" s="104"/>
      <c r="V2" s="104"/>
      <c r="W2" s="104"/>
      <c r="Z2" s="105"/>
    </row>
    <row r="3" spans="1:29" ht="14.25" customHeight="1" x14ac:dyDescent="0.35">
      <c r="B3" s="15" t="s">
        <v>1</v>
      </c>
      <c r="C3" s="19"/>
      <c r="D3" s="19"/>
      <c r="E3" s="19"/>
      <c r="F3" s="19"/>
      <c r="G3" s="19"/>
      <c r="H3" s="47"/>
      <c r="I3" s="47"/>
      <c r="J3" s="47"/>
      <c r="O3" s="190"/>
      <c r="P3" s="37"/>
      <c r="Q3" s="37"/>
      <c r="R3" s="37"/>
      <c r="S3" s="37"/>
      <c r="T3" s="37"/>
      <c r="U3" s="37"/>
      <c r="V3" s="37"/>
      <c r="W3" s="37"/>
      <c r="Z3" s="47"/>
      <c r="AA3" s="48"/>
    </row>
    <row r="4" spans="1:29" ht="14.25" customHeight="1" x14ac:dyDescent="0.35">
      <c r="B4" s="55"/>
      <c r="C4" s="19"/>
      <c r="D4" s="19"/>
      <c r="E4" s="19"/>
      <c r="F4" s="19"/>
      <c r="G4" s="19"/>
      <c r="H4" s="47"/>
      <c r="I4" s="47"/>
      <c r="J4" s="47"/>
      <c r="M4" s="37"/>
      <c r="N4" s="37"/>
      <c r="O4" s="190"/>
      <c r="P4" s="37"/>
      <c r="Q4" s="37"/>
      <c r="R4" s="37"/>
      <c r="S4" s="37"/>
      <c r="T4" s="37"/>
      <c r="U4" s="37"/>
      <c r="V4" s="37"/>
      <c r="W4" s="37"/>
    </row>
    <row r="5" spans="1:29" ht="14.25" customHeight="1" thickBot="1" x14ac:dyDescent="0.4">
      <c r="B5" s="191" t="s">
        <v>2</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
        <v>20</v>
      </c>
      <c r="U5" s="189" t="s">
        <v>21</v>
      </c>
      <c r="V5" s="189" t="s">
        <v>22</v>
      </c>
      <c r="W5" s="189" t="s">
        <v>457</v>
      </c>
      <c r="Y5" s="189">
        <v>2020</v>
      </c>
      <c r="Z5" s="189">
        <v>2021</v>
      </c>
      <c r="AA5" s="189">
        <v>2022</v>
      </c>
      <c r="AB5" s="189">
        <v>2023</v>
      </c>
      <c r="AC5" s="189">
        <v>2024</v>
      </c>
    </row>
    <row r="6" spans="1:29" ht="14.25" customHeight="1" x14ac:dyDescent="0.35">
      <c r="B6" s="56" t="s">
        <v>23</v>
      </c>
      <c r="C6" s="57">
        <v>40.299999999999997</v>
      </c>
      <c r="D6" s="57">
        <v>40.299999999999997</v>
      </c>
      <c r="E6" s="57">
        <v>67.599999999999994</v>
      </c>
      <c r="F6" s="57">
        <v>83.4</v>
      </c>
      <c r="G6" s="57">
        <v>81.400000000000006</v>
      </c>
      <c r="H6" s="57">
        <v>101.9</v>
      </c>
      <c r="I6" s="57">
        <v>125.6</v>
      </c>
      <c r="J6" s="57">
        <v>147.10000000000002</v>
      </c>
      <c r="K6" s="57">
        <v>153.1</v>
      </c>
      <c r="L6" s="57">
        <v>202.10000000000002</v>
      </c>
      <c r="M6" s="57">
        <v>195.5</v>
      </c>
      <c r="N6" s="57">
        <v>209.1</v>
      </c>
      <c r="O6" s="57">
        <f>SUM(O7:O8)</f>
        <v>204.85284590672916</v>
      </c>
      <c r="P6" s="57">
        <f t="shared" ref="P6:S6" si="0">SUM(P7:P8)</f>
        <v>221.41212712175547</v>
      </c>
      <c r="Q6" s="57">
        <f t="shared" si="0"/>
        <v>243.68082104007595</v>
      </c>
      <c r="R6" s="57">
        <f t="shared" si="0"/>
        <v>280.61749418564227</v>
      </c>
      <c r="S6" s="57">
        <f t="shared" si="0"/>
        <v>278.79298527127298</v>
      </c>
      <c r="T6" s="57">
        <f t="shared" ref="T6:U6" si="1">SUM(T7:T8)</f>
        <v>309.67641432083815</v>
      </c>
      <c r="U6" s="57">
        <f t="shared" si="1"/>
        <v>337.93603258309417</v>
      </c>
      <c r="V6" s="57">
        <v>368.19847814656418</v>
      </c>
      <c r="W6" s="57" t="s">
        <v>461</v>
      </c>
      <c r="Y6" s="57">
        <v>231.6</v>
      </c>
      <c r="Z6" s="57">
        <v>456</v>
      </c>
      <c r="AA6" s="57">
        <v>759.80000000000007</v>
      </c>
      <c r="AB6" s="57">
        <v>950.1</v>
      </c>
      <c r="AC6" s="57">
        <v>1293.0999999999999</v>
      </c>
    </row>
    <row r="7" spans="1:29" ht="14.25" customHeight="1" outlineLevel="1" x14ac:dyDescent="0.35">
      <c r="B7" s="23" t="s">
        <v>24</v>
      </c>
      <c r="C7" s="38">
        <v>31.7</v>
      </c>
      <c r="D7" s="38">
        <v>29.8</v>
      </c>
      <c r="E7" s="38">
        <v>44.8</v>
      </c>
      <c r="F7" s="38">
        <v>55.3</v>
      </c>
      <c r="G7" s="38">
        <v>50</v>
      </c>
      <c r="H7" s="38">
        <v>56.3</v>
      </c>
      <c r="I7" s="38">
        <v>66.8</v>
      </c>
      <c r="J7" s="38">
        <v>78.900000000000006</v>
      </c>
      <c r="K7" s="38">
        <v>80.099999999999994</v>
      </c>
      <c r="L7" s="38">
        <v>89.2</v>
      </c>
      <c r="M7" s="38">
        <v>90.3</v>
      </c>
      <c r="N7" s="38">
        <v>94.272550521999989</v>
      </c>
      <c r="O7" s="38">
        <v>88.455485517449986</v>
      </c>
      <c r="P7" s="38">
        <v>93.060985619065448</v>
      </c>
      <c r="Q7" s="38">
        <v>99.83644122713595</v>
      </c>
      <c r="R7" s="38">
        <v>113.71086883198625</v>
      </c>
      <c r="S7" s="38">
        <v>111.73672554763701</v>
      </c>
      <c r="T7" s="38">
        <v>124.39048738337613</v>
      </c>
      <c r="U7" s="38">
        <v>136.28567193992529</v>
      </c>
      <c r="V7" s="38">
        <v>146.00671738955637</v>
      </c>
      <c r="W7" s="38">
        <v>129.23083973938699</v>
      </c>
      <c r="Y7" s="38">
        <v>161.6</v>
      </c>
      <c r="Z7" s="38">
        <v>252</v>
      </c>
      <c r="AA7" s="38">
        <v>353.90000000000003</v>
      </c>
      <c r="AB7" s="38">
        <v>394.3</v>
      </c>
      <c r="AC7" s="38">
        <v>518.4</v>
      </c>
    </row>
    <row r="8" spans="1:29" ht="14.25" customHeight="1" outlineLevel="1" thickBot="1" x14ac:dyDescent="0.4">
      <c r="B8" s="58" t="s">
        <v>25</v>
      </c>
      <c r="C8" s="60">
        <v>8.6</v>
      </c>
      <c r="D8" s="60">
        <v>10.5</v>
      </c>
      <c r="E8" s="60">
        <v>22.8</v>
      </c>
      <c r="F8" s="60">
        <v>28.1</v>
      </c>
      <c r="G8" s="60">
        <v>31.4</v>
      </c>
      <c r="H8" s="60">
        <v>45.6</v>
      </c>
      <c r="I8" s="60">
        <v>58.8</v>
      </c>
      <c r="J8" s="60">
        <v>68.2</v>
      </c>
      <c r="K8" s="60">
        <v>73</v>
      </c>
      <c r="L8" s="60">
        <v>112.9</v>
      </c>
      <c r="M8" s="60">
        <v>105.2</v>
      </c>
      <c r="N8" s="60">
        <v>114.8</v>
      </c>
      <c r="O8" s="60">
        <v>116.39736038927919</v>
      </c>
      <c r="P8" s="60">
        <v>128.35114150269001</v>
      </c>
      <c r="Q8" s="60">
        <v>143.84437981293999</v>
      </c>
      <c r="R8" s="60">
        <v>166.90662535365601</v>
      </c>
      <c r="S8" s="60">
        <v>167.056259723636</v>
      </c>
      <c r="T8" s="60">
        <v>185.28592693746199</v>
      </c>
      <c r="U8" s="60">
        <v>201.65036064316891</v>
      </c>
      <c r="V8" s="60">
        <v>222.19176075700781</v>
      </c>
      <c r="W8" s="60" t="s">
        <v>461</v>
      </c>
      <c r="Y8" s="60">
        <v>70</v>
      </c>
      <c r="Z8" s="60">
        <v>204</v>
      </c>
      <c r="AA8" s="60">
        <v>405.90000000000003</v>
      </c>
      <c r="AB8" s="60">
        <v>555.79999999999995</v>
      </c>
      <c r="AC8" s="60">
        <v>774.6</v>
      </c>
    </row>
    <row r="9" spans="1:29" ht="14.25" customHeight="1" x14ac:dyDescent="0.35">
      <c r="E9" s="61"/>
      <c r="F9" s="62"/>
      <c r="G9" s="62"/>
      <c r="H9" s="62"/>
      <c r="I9" s="62"/>
      <c r="J9" s="62"/>
      <c r="K9" s="61"/>
      <c r="N9" s="47"/>
      <c r="O9" s="47"/>
      <c r="P9" s="47"/>
      <c r="Q9" s="47"/>
      <c r="R9" s="47"/>
      <c r="S9" s="47"/>
      <c r="T9" s="47"/>
      <c r="U9" s="47"/>
      <c r="V9" s="47"/>
      <c r="W9" s="47"/>
    </row>
    <row r="10" spans="1:29" ht="14.25" customHeight="1" thickBot="1" x14ac:dyDescent="0.4">
      <c r="A10" s="3" t="s">
        <v>26</v>
      </c>
      <c r="B10" s="191" t="s">
        <v>2</v>
      </c>
      <c r="C10" s="189" t="s">
        <v>3</v>
      </c>
      <c r="D10" s="189" t="s">
        <v>4</v>
      </c>
      <c r="E10" s="189" t="s">
        <v>5</v>
      </c>
      <c r="F10" s="189" t="s">
        <v>6</v>
      </c>
      <c r="G10" s="189" t="s">
        <v>7</v>
      </c>
      <c r="H10" s="189" t="s">
        <v>8</v>
      </c>
      <c r="I10" s="189" t="s">
        <v>9</v>
      </c>
      <c r="J10" s="189" t="s">
        <v>10</v>
      </c>
      <c r="K10" s="189" t="s">
        <v>11</v>
      </c>
      <c r="L10" s="189" t="s">
        <v>12</v>
      </c>
      <c r="M10" s="189" t="s">
        <v>13</v>
      </c>
      <c r="N10" s="189" t="s">
        <v>14</v>
      </c>
      <c r="O10" s="189" t="s">
        <v>15</v>
      </c>
      <c r="P10" s="189" t="s">
        <v>16</v>
      </c>
      <c r="Q10" s="189" t="s">
        <v>17</v>
      </c>
      <c r="R10" s="189" t="s">
        <v>18</v>
      </c>
      <c r="S10" s="189" t="s">
        <v>19</v>
      </c>
      <c r="T10" s="189" t="str">
        <f>$T$5</f>
        <v>2Q24</v>
      </c>
      <c r="U10" s="189" t="str">
        <f>U5</f>
        <v>3Q24</v>
      </c>
      <c r="V10" s="189" t="s">
        <v>22</v>
      </c>
      <c r="W10" s="189" t="str">
        <f>W5</f>
        <v>1Q25</v>
      </c>
      <c r="Y10" s="189">
        <v>2020</v>
      </c>
      <c r="Z10" s="189">
        <v>2021</v>
      </c>
      <c r="AA10" s="189">
        <v>2022</v>
      </c>
      <c r="AB10" s="189">
        <v>2023</v>
      </c>
      <c r="AC10" s="189">
        <v>2024</v>
      </c>
    </row>
    <row r="11" spans="1:29" ht="14.25" customHeight="1" x14ac:dyDescent="0.35">
      <c r="B11" s="63" t="s">
        <v>27</v>
      </c>
      <c r="C11" s="57">
        <f>C7</f>
        <v>31.7</v>
      </c>
      <c r="D11" s="57">
        <f t="shared" ref="D11:K11" si="2">D7</f>
        <v>29.8</v>
      </c>
      <c r="E11" s="57">
        <f t="shared" si="2"/>
        <v>44.8</v>
      </c>
      <c r="F11" s="57">
        <f t="shared" si="2"/>
        <v>55.3</v>
      </c>
      <c r="G11" s="57">
        <f t="shared" si="2"/>
        <v>50</v>
      </c>
      <c r="H11" s="57">
        <f t="shared" si="2"/>
        <v>56.3</v>
      </c>
      <c r="I11" s="57">
        <f t="shared" si="2"/>
        <v>66.8</v>
      </c>
      <c r="J11" s="57">
        <f t="shared" si="2"/>
        <v>78.900000000000006</v>
      </c>
      <c r="K11" s="57">
        <f t="shared" si="2"/>
        <v>80.099999999999994</v>
      </c>
      <c r="L11" s="57">
        <v>89.2</v>
      </c>
      <c r="M11" s="57">
        <v>90.3</v>
      </c>
      <c r="N11" s="57">
        <v>94.3</v>
      </c>
      <c r="O11" s="57">
        <f t="shared" ref="O11:V11" si="3">SUM(O12:O13)</f>
        <v>88.096412096059808</v>
      </c>
      <c r="P11" s="57">
        <f t="shared" si="3"/>
        <v>92.675934941649842</v>
      </c>
      <c r="Q11" s="57">
        <f t="shared" si="3"/>
        <v>99.836441945459839</v>
      </c>
      <c r="R11" s="57">
        <f t="shared" si="3"/>
        <v>113.7108780954496</v>
      </c>
      <c r="S11" s="57">
        <f t="shared" si="3"/>
        <v>111.73672343010939</v>
      </c>
      <c r="T11" s="57">
        <f t="shared" si="3"/>
        <v>124.3904860351582</v>
      </c>
      <c r="U11" s="57">
        <f t="shared" si="3"/>
        <v>136.28564399724917</v>
      </c>
      <c r="V11" s="57">
        <f t="shared" si="3"/>
        <v>146.00668375543967</v>
      </c>
      <c r="W11" s="57">
        <f t="shared" ref="W11" si="4">SUM(W12:W13)</f>
        <v>129.23077549189998</v>
      </c>
      <c r="Y11" s="57">
        <v>161.6</v>
      </c>
      <c r="Z11" s="57">
        <v>252</v>
      </c>
      <c r="AA11" s="57">
        <v>353.90000000000003</v>
      </c>
      <c r="AB11" s="57">
        <v>394.3196707113176</v>
      </c>
      <c r="AC11" s="57">
        <v>518.4196022604948</v>
      </c>
    </row>
    <row r="12" spans="1:29" ht="14.25" customHeight="1" x14ac:dyDescent="0.35">
      <c r="B12" s="12" t="s">
        <v>29</v>
      </c>
      <c r="C12" s="38" t="s">
        <v>28</v>
      </c>
      <c r="D12" s="38" t="s">
        <v>28</v>
      </c>
      <c r="E12" s="38" t="s">
        <v>28</v>
      </c>
      <c r="F12" s="38" t="s">
        <v>28</v>
      </c>
      <c r="G12" s="38" t="s">
        <v>28</v>
      </c>
      <c r="H12" s="38" t="s">
        <v>28</v>
      </c>
      <c r="I12" s="38" t="s">
        <v>28</v>
      </c>
      <c r="J12" s="38" t="s">
        <v>28</v>
      </c>
      <c r="K12" s="38" t="s">
        <v>28</v>
      </c>
      <c r="L12" s="38" t="s">
        <v>28</v>
      </c>
      <c r="M12" s="38" t="s">
        <v>28</v>
      </c>
      <c r="N12" s="38" t="s">
        <v>28</v>
      </c>
      <c r="O12" s="38">
        <v>70.451957587529833</v>
      </c>
      <c r="P12" s="38">
        <v>73.056063791059884</v>
      </c>
      <c r="Q12" s="38">
        <v>78.101587640609864</v>
      </c>
      <c r="R12" s="38">
        <v>87.990992270719659</v>
      </c>
      <c r="S12" s="38">
        <v>85.06734932809978</v>
      </c>
      <c r="T12" s="38">
        <v>91.182686465359808</v>
      </c>
      <c r="U12" s="38">
        <v>96.504328601099843</v>
      </c>
      <c r="V12" s="38">
        <v>104.84388038309983</v>
      </c>
      <c r="W12" s="38">
        <v>94.877661987119993</v>
      </c>
      <c r="Y12" s="38" t="s">
        <v>28</v>
      </c>
      <c r="Z12" s="38" t="s">
        <v>28</v>
      </c>
      <c r="AA12" s="38" t="s">
        <v>28</v>
      </c>
      <c r="AB12" s="38">
        <v>277.68582303184996</v>
      </c>
      <c r="AC12" s="38">
        <v>345.56395097433006</v>
      </c>
    </row>
    <row r="13" spans="1:29" ht="14.25" customHeight="1" thickBot="1" x14ac:dyDescent="0.4">
      <c r="B13" s="36" t="s">
        <v>30</v>
      </c>
      <c r="C13" s="60" t="s">
        <v>28</v>
      </c>
      <c r="D13" s="60" t="s">
        <v>28</v>
      </c>
      <c r="E13" s="60" t="s">
        <v>28</v>
      </c>
      <c r="F13" s="60" t="s">
        <v>28</v>
      </c>
      <c r="G13" s="60" t="s">
        <v>28</v>
      </c>
      <c r="H13" s="60" t="s">
        <v>28</v>
      </c>
      <c r="I13" s="60" t="s">
        <v>28</v>
      </c>
      <c r="J13" s="60" t="s">
        <v>28</v>
      </c>
      <c r="K13" s="60" t="s">
        <v>28</v>
      </c>
      <c r="L13" s="60" t="s">
        <v>28</v>
      </c>
      <c r="M13" s="60" t="s">
        <v>28</v>
      </c>
      <c r="N13" s="60" t="s">
        <v>28</v>
      </c>
      <c r="O13" s="60">
        <v>17.644454508529975</v>
      </c>
      <c r="P13" s="60">
        <v>19.619871150589965</v>
      </c>
      <c r="Q13" s="60">
        <v>21.734854304849975</v>
      </c>
      <c r="R13" s="60">
        <v>25.719885824729943</v>
      </c>
      <c r="S13" s="60">
        <v>26.669374102009609</v>
      </c>
      <c r="T13" s="60">
        <v>33.207799569798389</v>
      </c>
      <c r="U13" s="60">
        <v>39.781315396149324</v>
      </c>
      <c r="V13" s="60">
        <v>41.162803372339852</v>
      </c>
      <c r="W13" s="60">
        <v>34.353113504779969</v>
      </c>
      <c r="Y13" s="60" t="s">
        <v>28</v>
      </c>
      <c r="Z13" s="60" t="s">
        <v>28</v>
      </c>
      <c r="AA13" s="60" t="s">
        <v>28</v>
      </c>
      <c r="AB13" s="60">
        <v>116.63384767946764</v>
      </c>
      <c r="AC13" s="60">
        <v>172.8556512861648</v>
      </c>
    </row>
    <row r="14" spans="1:29" ht="14.25" customHeight="1" x14ac:dyDescent="0.35">
      <c r="B14" s="12"/>
      <c r="C14" s="12"/>
      <c r="D14" s="12"/>
      <c r="E14" s="12"/>
      <c r="F14" s="12"/>
      <c r="G14" s="12"/>
      <c r="H14" s="12"/>
      <c r="I14" s="12"/>
      <c r="J14" s="12"/>
      <c r="K14" s="12"/>
      <c r="L14" s="12"/>
      <c r="M14" s="12"/>
      <c r="N14" s="12"/>
      <c r="O14" s="38"/>
      <c r="P14" s="38"/>
      <c r="Q14" s="38"/>
      <c r="R14" s="38"/>
      <c r="S14" s="38"/>
      <c r="T14" s="38"/>
      <c r="U14" s="38"/>
      <c r="V14" s="38"/>
      <c r="W14" s="38"/>
      <c r="Y14" s="38"/>
      <c r="Z14" s="38"/>
      <c r="AA14" s="38"/>
      <c r="AB14" s="38"/>
      <c r="AC14" s="38"/>
    </row>
    <row r="15" spans="1:29" ht="14.25" customHeight="1" thickBot="1" x14ac:dyDescent="0.4">
      <c r="B15" s="191" t="s">
        <v>31</v>
      </c>
      <c r="C15" s="189" t="s">
        <v>3</v>
      </c>
      <c r="D15" s="189" t="s">
        <v>4</v>
      </c>
      <c r="E15" s="189" t="s">
        <v>5</v>
      </c>
      <c r="F15" s="189" t="s">
        <v>6</v>
      </c>
      <c r="G15" s="189" t="s">
        <v>7</v>
      </c>
      <c r="H15" s="189" t="s">
        <v>8</v>
      </c>
      <c r="I15" s="189" t="s">
        <v>9</v>
      </c>
      <c r="J15" s="189" t="s">
        <v>10</v>
      </c>
      <c r="K15" s="189" t="s">
        <v>11</v>
      </c>
      <c r="L15" s="189" t="s">
        <v>12</v>
      </c>
      <c r="M15" s="189" t="s">
        <v>13</v>
      </c>
      <c r="N15" s="189" t="s">
        <v>14</v>
      </c>
      <c r="O15" s="189" t="s">
        <v>15</v>
      </c>
      <c r="P15" s="189" t="s">
        <v>16</v>
      </c>
      <c r="Q15" s="189" t="s">
        <v>17</v>
      </c>
      <c r="R15" s="189" t="s">
        <v>18</v>
      </c>
      <c r="S15" s="189" t="s">
        <v>19</v>
      </c>
      <c r="T15" s="189" t="str">
        <f>$T$5</f>
        <v>2Q24</v>
      </c>
      <c r="U15" s="189" t="str">
        <f>U10</f>
        <v>3Q24</v>
      </c>
      <c r="V15" s="189" t="s">
        <v>22</v>
      </c>
      <c r="W15" s="189" t="str">
        <f>W10</f>
        <v>1Q25</v>
      </c>
      <c r="Y15" s="189">
        <v>2020</v>
      </c>
      <c r="Z15" s="189">
        <v>2021</v>
      </c>
      <c r="AA15" s="189">
        <v>2022</v>
      </c>
      <c r="AB15" s="189">
        <v>2023</v>
      </c>
      <c r="AC15" s="189">
        <v>2024</v>
      </c>
    </row>
    <row r="16" spans="1:29" ht="14.25" customHeight="1" x14ac:dyDescent="0.35">
      <c r="B16" s="63" t="s">
        <v>32</v>
      </c>
      <c r="C16" s="57" t="s">
        <v>28</v>
      </c>
      <c r="D16" s="57" t="s">
        <v>28</v>
      </c>
      <c r="E16" s="57" t="s">
        <v>28</v>
      </c>
      <c r="F16" s="57">
        <v>13</v>
      </c>
      <c r="G16" s="57">
        <v>14.8</v>
      </c>
      <c r="H16" s="57">
        <v>17.600000000000001</v>
      </c>
      <c r="I16" s="57">
        <v>19.600000000000001</v>
      </c>
      <c r="J16" s="57">
        <v>21.9</v>
      </c>
      <c r="K16" s="57">
        <v>23.2</v>
      </c>
      <c r="L16" s="57">
        <v>24.8</v>
      </c>
      <c r="M16" s="57">
        <v>25.9</v>
      </c>
      <c r="N16" s="57">
        <v>27.7</v>
      </c>
      <c r="O16" s="57">
        <v>28.673310000000001</v>
      </c>
      <c r="P16" s="57">
        <v>29.451136999999999</v>
      </c>
      <c r="Q16" s="57">
        <v>30.198974</v>
      </c>
      <c r="R16" s="57">
        <v>31.104813</v>
      </c>
      <c r="S16" s="57">
        <v>31.402324</v>
      </c>
      <c r="T16" s="57">
        <v>31.627034999999999</v>
      </c>
      <c r="U16" s="57">
        <v>32.078577000000003</v>
      </c>
      <c r="V16" s="57">
        <v>33.191000000000003</v>
      </c>
      <c r="W16" s="57">
        <v>31.997605</v>
      </c>
      <c r="Y16" s="57">
        <v>13</v>
      </c>
      <c r="Z16" s="57">
        <v>21.9</v>
      </c>
      <c r="AA16" s="57">
        <v>27.7</v>
      </c>
      <c r="AB16" s="57">
        <v>31.104813</v>
      </c>
      <c r="AC16" s="57">
        <v>33.191000000000003</v>
      </c>
    </row>
    <row r="17" spans="2:29" ht="14.25" customHeight="1" outlineLevel="1" x14ac:dyDescent="0.35">
      <c r="B17" s="64" t="s">
        <v>33</v>
      </c>
      <c r="C17" s="40">
        <v>6.0714520000000007</v>
      </c>
      <c r="D17" s="40">
        <v>6.9676890000000009</v>
      </c>
      <c r="E17" s="40">
        <v>8.4234159999999996</v>
      </c>
      <c r="F17" s="40">
        <v>9.7531770000000009</v>
      </c>
      <c r="G17" s="40">
        <v>10.786362</v>
      </c>
      <c r="H17" s="40">
        <v>12.644192</v>
      </c>
      <c r="I17" s="40">
        <v>13.469811999999999</v>
      </c>
      <c r="J17" s="40">
        <v>14.170696</v>
      </c>
      <c r="K17" s="40">
        <v>15.313468</v>
      </c>
      <c r="L17" s="40">
        <v>15.971961</v>
      </c>
      <c r="M17" s="40">
        <v>16.425982000000001</v>
      </c>
      <c r="N17" s="40">
        <v>16.826250999999999</v>
      </c>
      <c r="O17" s="40">
        <f>SUM(O18:O20)</f>
        <v>16.905943999999998</v>
      </c>
      <c r="P17" s="40">
        <f t="shared" ref="P17:S17" si="5">SUM(P18:P20)</f>
        <v>17.012934000000001</v>
      </c>
      <c r="Q17" s="40">
        <f t="shared" si="5"/>
        <v>17.257832000000001</v>
      </c>
      <c r="R17" s="40">
        <f t="shared" si="5"/>
        <v>17.215948000000004</v>
      </c>
      <c r="S17" s="40">
        <f t="shared" si="5"/>
        <v>17.338736999999998</v>
      </c>
      <c r="T17" s="40">
        <f t="shared" ref="T17:U17" si="6">SUM(T18:T20)</f>
        <v>17.681937000000001</v>
      </c>
      <c r="U17" s="40">
        <f t="shared" si="6"/>
        <v>17.682853000000001</v>
      </c>
      <c r="V17" s="40">
        <v>17.786242000000001</v>
      </c>
      <c r="W17" s="40">
        <f t="shared" ref="W17" si="7">SUM(W18:W20)</f>
        <v>17.674077</v>
      </c>
      <c r="Y17" s="40">
        <v>9.7531770000000009</v>
      </c>
      <c r="Z17" s="40">
        <v>14.170696</v>
      </c>
      <c r="AA17" s="40">
        <v>16.826250999999999</v>
      </c>
      <c r="AB17" s="40">
        <v>17.215948000000004</v>
      </c>
      <c r="AC17" s="40">
        <v>17.786242000000001</v>
      </c>
    </row>
    <row r="18" spans="2:29" ht="14.25" customHeight="1" outlineLevel="1" x14ac:dyDescent="0.35">
      <c r="B18" s="12" t="s">
        <v>34</v>
      </c>
      <c r="C18" s="38">
        <v>0.57544700000000004</v>
      </c>
      <c r="D18" s="38">
        <v>1.1726920000000001</v>
      </c>
      <c r="E18" s="38">
        <v>2.1544690000000002</v>
      </c>
      <c r="F18" s="38">
        <v>2.7190150000000002</v>
      </c>
      <c r="G18" s="38">
        <v>3.451562</v>
      </c>
      <c r="H18" s="38">
        <v>5.0831739999999996</v>
      </c>
      <c r="I18" s="38">
        <v>5.7690650000000003</v>
      </c>
      <c r="J18" s="38">
        <v>6.4779099999999996</v>
      </c>
      <c r="K18" s="38">
        <v>7.6428270000000005</v>
      </c>
      <c r="L18" s="38">
        <v>8.5012509999999999</v>
      </c>
      <c r="M18" s="38">
        <v>9.1110360000000004</v>
      </c>
      <c r="N18" s="38">
        <v>9.7458179999999999</v>
      </c>
      <c r="O18" s="38">
        <v>9.9894730000000003</v>
      </c>
      <c r="P18" s="38">
        <v>10.245122000000002</v>
      </c>
      <c r="Q18" s="38">
        <v>10.605456</v>
      </c>
      <c r="R18" s="38">
        <v>10.676731999999999</v>
      </c>
      <c r="S18" s="38">
        <v>10.850541</v>
      </c>
      <c r="T18" s="38">
        <v>11.238928</v>
      </c>
      <c r="U18" s="38">
        <v>11.268771000000001</v>
      </c>
      <c r="V18" s="38">
        <v>11.441878000000001</v>
      </c>
      <c r="W18" s="38">
        <v>11.40386</v>
      </c>
      <c r="Y18" s="38">
        <v>2.7190150000000002</v>
      </c>
      <c r="Z18" s="38">
        <v>6.4779099999999996</v>
      </c>
      <c r="AA18" s="38">
        <v>9.7458179999999999</v>
      </c>
      <c r="AB18" s="38">
        <v>10.676731999999999</v>
      </c>
      <c r="AC18" s="38">
        <v>11.441878000000001</v>
      </c>
    </row>
    <row r="19" spans="2:29" ht="14.25" customHeight="1" outlineLevel="1" x14ac:dyDescent="0.35">
      <c r="B19" s="12" t="s">
        <v>35</v>
      </c>
      <c r="C19" s="38">
        <v>3.17381</v>
      </c>
      <c r="D19" s="38">
        <v>3.740799</v>
      </c>
      <c r="E19" s="38">
        <v>4.5240479999999996</v>
      </c>
      <c r="F19" s="38">
        <v>5.1456390000000001</v>
      </c>
      <c r="G19" s="38">
        <v>5.6796839999999991</v>
      </c>
      <c r="H19" s="38">
        <v>6.1611820000000002</v>
      </c>
      <c r="I19" s="38">
        <v>6.4</v>
      </c>
      <c r="J19" s="38">
        <v>6.5946200000000008</v>
      </c>
      <c r="K19" s="38">
        <v>6.6874849999999979</v>
      </c>
      <c r="L19" s="38">
        <v>6.6413649999999995</v>
      </c>
      <c r="M19" s="38">
        <v>6.7</v>
      </c>
      <c r="N19" s="38">
        <v>6.4504249999999992</v>
      </c>
      <c r="O19" s="38">
        <v>6.3058290000000001</v>
      </c>
      <c r="P19" s="38">
        <v>6.1950569999999985</v>
      </c>
      <c r="Q19" s="38">
        <v>6.1335990000000002</v>
      </c>
      <c r="R19" s="38">
        <v>6.0708100000000016</v>
      </c>
      <c r="S19" s="38">
        <v>6.0506370000000009</v>
      </c>
      <c r="T19" s="38">
        <v>6.0428649999999982</v>
      </c>
      <c r="U19" s="38">
        <v>6.033599999999999</v>
      </c>
      <c r="V19" s="38">
        <v>6.001075000000001</v>
      </c>
      <c r="W19" s="38">
        <v>5.9287900000000011</v>
      </c>
      <c r="Y19" s="38">
        <v>5.1456390000000001</v>
      </c>
      <c r="Z19" s="38">
        <v>6.5946200000000008</v>
      </c>
      <c r="AA19" s="38">
        <v>6.4504249999999992</v>
      </c>
      <c r="AB19" s="38">
        <v>6.0708100000000016</v>
      </c>
      <c r="AC19" s="38">
        <v>6.001075000000001</v>
      </c>
    </row>
    <row r="20" spans="2:29" ht="14.25" customHeight="1" outlineLevel="1" x14ac:dyDescent="0.35">
      <c r="B20" s="12" t="s">
        <v>36</v>
      </c>
      <c r="C20" s="38">
        <v>2.3221950000000002</v>
      </c>
      <c r="D20" s="38">
        <v>2.0541980000000004</v>
      </c>
      <c r="E20" s="38">
        <v>1.7448990000000002</v>
      </c>
      <c r="F20" s="38">
        <v>1.8885230000000002</v>
      </c>
      <c r="G20" s="38">
        <v>1.6551160000000005</v>
      </c>
      <c r="H20" s="38">
        <v>1.3998359999999996</v>
      </c>
      <c r="I20" s="38">
        <v>1.3007469999999994</v>
      </c>
      <c r="J20" s="38">
        <v>1.0981659999999991</v>
      </c>
      <c r="K20" s="38">
        <v>0.98315600000000192</v>
      </c>
      <c r="L20" s="38">
        <v>0.82934500000000089</v>
      </c>
      <c r="M20" s="38">
        <v>0.61494599999999977</v>
      </c>
      <c r="N20" s="38">
        <v>0.63000800000000012</v>
      </c>
      <c r="O20" s="38">
        <v>0.6106419999999998</v>
      </c>
      <c r="P20" s="38">
        <v>0.57275500000000013</v>
      </c>
      <c r="Q20" s="38">
        <v>0.51877699999999916</v>
      </c>
      <c r="R20" s="38">
        <v>0.46840599999999993</v>
      </c>
      <c r="S20" s="38">
        <v>0.43755899999999837</v>
      </c>
      <c r="T20" s="38">
        <v>0.40014400000000294</v>
      </c>
      <c r="U20" s="38">
        <v>0.38048200000000176</v>
      </c>
      <c r="V20" s="38">
        <v>0.34328899999999885</v>
      </c>
      <c r="W20" s="38">
        <v>0.34142699999999876</v>
      </c>
      <c r="Y20" s="38">
        <v>1.8885230000000002</v>
      </c>
      <c r="Z20" s="38">
        <v>1.0981659999999991</v>
      </c>
      <c r="AA20" s="38">
        <v>0.63000800000000012</v>
      </c>
      <c r="AB20" s="38">
        <v>0.46840599999999993</v>
      </c>
      <c r="AC20" s="38">
        <v>0.34328899999999885</v>
      </c>
    </row>
    <row r="21" spans="2:29" ht="14.25" customHeight="1" outlineLevel="1" x14ac:dyDescent="0.35">
      <c r="B21" s="43" t="s">
        <v>37</v>
      </c>
      <c r="C21" s="40">
        <v>3.7492570000000001</v>
      </c>
      <c r="D21" s="40">
        <v>4.9134910000000005</v>
      </c>
      <c r="E21" s="40">
        <v>6.6785169999999994</v>
      </c>
      <c r="F21" s="40">
        <v>7.8646539999999998</v>
      </c>
      <c r="G21" s="40">
        <v>9.1312459999999991</v>
      </c>
      <c r="H21" s="40">
        <v>11.244356</v>
      </c>
      <c r="I21" s="40">
        <v>12.169065</v>
      </c>
      <c r="J21" s="40">
        <v>13.07253</v>
      </c>
      <c r="K21" s="40">
        <v>14.330311999999999</v>
      </c>
      <c r="L21" s="40">
        <v>15.142616</v>
      </c>
      <c r="M21" s="40">
        <v>15.811036000000001</v>
      </c>
      <c r="N21" s="40">
        <v>16.196242999999999</v>
      </c>
      <c r="O21" s="40">
        <f>SUM(O18:O19)</f>
        <v>16.295302</v>
      </c>
      <c r="P21" s="40">
        <f t="shared" ref="P21:S22" si="8">SUM(P18:P19)</f>
        <v>16.440179000000001</v>
      </c>
      <c r="Q21" s="40">
        <f t="shared" si="8"/>
        <v>16.739055</v>
      </c>
      <c r="R21" s="40">
        <f t="shared" si="8"/>
        <v>16.747542000000003</v>
      </c>
      <c r="S21" s="40">
        <f t="shared" si="8"/>
        <v>16.901178000000002</v>
      </c>
      <c r="T21" s="40">
        <f t="shared" ref="T21:U21" si="9">SUM(T18:T19)</f>
        <v>17.281792999999997</v>
      </c>
      <c r="U21" s="40">
        <f t="shared" si="9"/>
        <v>17.302371000000001</v>
      </c>
      <c r="V21" s="40">
        <v>17.442953000000003</v>
      </c>
      <c r="W21" s="40">
        <f t="shared" ref="W21:W22" si="10">SUM(W18:W19)</f>
        <v>17.332650000000001</v>
      </c>
      <c r="Y21" s="40">
        <v>7.8646539999999998</v>
      </c>
      <c r="Z21" s="40">
        <v>13.07253</v>
      </c>
      <c r="AA21" s="40">
        <v>16.196242999999999</v>
      </c>
      <c r="AB21" s="40">
        <v>16.747542000000003</v>
      </c>
      <c r="AC21" s="40">
        <v>17.442953000000003</v>
      </c>
    </row>
    <row r="22" spans="2:29" ht="14.25" customHeight="1" outlineLevel="1" thickBot="1" x14ac:dyDescent="0.4">
      <c r="B22" s="49" t="s">
        <v>38</v>
      </c>
      <c r="C22" s="45">
        <v>5.4960050000000003</v>
      </c>
      <c r="D22" s="45">
        <v>5.7949970000000004</v>
      </c>
      <c r="E22" s="45">
        <v>6.2689469999999998</v>
      </c>
      <c r="F22" s="45">
        <v>7.0341620000000002</v>
      </c>
      <c r="G22" s="45">
        <v>7.3347999999999995</v>
      </c>
      <c r="H22" s="45">
        <v>7.5610179999999998</v>
      </c>
      <c r="I22" s="45">
        <v>7.7007469999999998</v>
      </c>
      <c r="J22" s="45">
        <v>7.6927859999999999</v>
      </c>
      <c r="K22" s="45">
        <v>7.6706409999999998</v>
      </c>
      <c r="L22" s="45">
        <v>7.4707100000000004</v>
      </c>
      <c r="M22" s="45">
        <v>7.3149459999999999</v>
      </c>
      <c r="N22" s="45">
        <v>7.0804329999999993</v>
      </c>
      <c r="O22" s="45">
        <f>SUM(O19:O20)</f>
        <v>6.9164709999999996</v>
      </c>
      <c r="P22" s="45">
        <f t="shared" ref="P22:S22" si="11">SUM(P19:P20)</f>
        <v>6.7678119999999984</v>
      </c>
      <c r="Q22" s="45">
        <f t="shared" si="8"/>
        <v>6.6523759999999994</v>
      </c>
      <c r="R22" s="45">
        <f t="shared" si="11"/>
        <v>6.5392160000000015</v>
      </c>
      <c r="S22" s="45">
        <f t="shared" si="11"/>
        <v>6.4881959999999994</v>
      </c>
      <c r="T22" s="45">
        <f t="shared" ref="T22:U22" si="12">SUM(T19:T20)</f>
        <v>6.4430090000000009</v>
      </c>
      <c r="U22" s="45">
        <f t="shared" si="12"/>
        <v>6.4140820000000005</v>
      </c>
      <c r="V22" s="45">
        <v>6.3443639999999997</v>
      </c>
      <c r="W22" s="45">
        <f t="shared" si="10"/>
        <v>6.2702169999999997</v>
      </c>
      <c r="Y22" s="45">
        <v>7.0341620000000002</v>
      </c>
      <c r="Z22" s="45">
        <v>7.6927859999999999</v>
      </c>
      <c r="AA22" s="45">
        <v>7.0804329999999993</v>
      </c>
      <c r="AB22" s="45">
        <v>6.5392160000000015</v>
      </c>
      <c r="AC22" s="45">
        <v>6.3443639999999997</v>
      </c>
    </row>
    <row r="23" spans="2:29" ht="14.25" customHeight="1" outlineLevel="1" x14ac:dyDescent="0.35">
      <c r="B23" s="65" t="s">
        <v>39</v>
      </c>
      <c r="C23" s="38"/>
      <c r="D23" s="38"/>
      <c r="E23" s="38"/>
      <c r="F23" s="38"/>
      <c r="G23" s="38"/>
      <c r="H23" s="38"/>
      <c r="I23" s="38"/>
      <c r="J23" s="38"/>
      <c r="K23" s="38"/>
      <c r="L23" s="38"/>
      <c r="M23" s="38"/>
      <c r="N23" s="38"/>
      <c r="O23" s="38"/>
      <c r="P23" s="38"/>
      <c r="Q23" s="38"/>
      <c r="R23" s="38"/>
      <c r="S23" s="109"/>
      <c r="T23" s="38"/>
      <c r="U23" s="38"/>
      <c r="V23" s="38"/>
      <c r="W23" s="38"/>
      <c r="Y23" s="38"/>
      <c r="Z23" s="38"/>
      <c r="AA23" s="38"/>
      <c r="AB23" s="38"/>
      <c r="AC23" s="38"/>
    </row>
    <row r="24" spans="2:29" ht="14.25" customHeight="1" x14ac:dyDescent="0.35">
      <c r="B24" s="12"/>
      <c r="C24" s="38"/>
      <c r="D24" s="38"/>
      <c r="E24" s="38"/>
      <c r="F24" s="38"/>
      <c r="G24" s="38"/>
      <c r="H24" s="38"/>
      <c r="I24" s="38"/>
      <c r="J24" s="38"/>
      <c r="K24" s="38"/>
      <c r="L24" s="38"/>
      <c r="M24" s="38"/>
      <c r="N24" s="38"/>
      <c r="O24" s="38"/>
      <c r="P24" s="38"/>
      <c r="Q24" s="38"/>
      <c r="R24" s="38"/>
      <c r="S24" s="109"/>
      <c r="T24" s="108"/>
      <c r="U24" s="108"/>
      <c r="V24" s="108"/>
      <c r="W24" s="108"/>
      <c r="Y24" s="38"/>
      <c r="Z24" s="38"/>
      <c r="AA24" s="38"/>
      <c r="AB24" s="38"/>
      <c r="AC24" s="38"/>
    </row>
    <row r="25" spans="2:29" ht="14.25" customHeight="1" thickBot="1" x14ac:dyDescent="0.4">
      <c r="B25" s="191" t="s">
        <v>2</v>
      </c>
      <c r="C25" s="189"/>
      <c r="D25" s="189"/>
      <c r="E25" s="189"/>
      <c r="F25" s="189"/>
      <c r="G25" s="189"/>
      <c r="H25" s="189"/>
      <c r="I25" s="189"/>
      <c r="J25" s="189"/>
      <c r="K25" s="189" t="s">
        <v>11</v>
      </c>
      <c r="L25" s="189" t="s">
        <v>12</v>
      </c>
      <c r="M25" s="189" t="s">
        <v>13</v>
      </c>
      <c r="N25" s="189" t="s">
        <v>14</v>
      </c>
      <c r="O25" s="189" t="s">
        <v>15</v>
      </c>
      <c r="P25" s="189" t="s">
        <v>16</v>
      </c>
      <c r="Q25" s="189" t="s">
        <v>17</v>
      </c>
      <c r="R25" s="189" t="s">
        <v>18</v>
      </c>
      <c r="S25" s="189" t="s">
        <v>19</v>
      </c>
      <c r="T25" s="189" t="str">
        <f>$T$5</f>
        <v>2Q24</v>
      </c>
      <c r="U25" s="189" t="str">
        <f>U15</f>
        <v>3Q24</v>
      </c>
      <c r="V25" s="189" t="s">
        <v>22</v>
      </c>
      <c r="W25" s="189" t="str">
        <f>W15</f>
        <v>1Q25</v>
      </c>
      <c r="Y25" s="189">
        <v>2020</v>
      </c>
      <c r="Z25" s="189">
        <v>2021</v>
      </c>
      <c r="AA25" s="189">
        <v>2022</v>
      </c>
      <c r="AB25" s="189">
        <v>2023</v>
      </c>
      <c r="AC25" s="189">
        <v>2024</v>
      </c>
    </row>
    <row r="26" spans="2:29" ht="14.25" customHeight="1" x14ac:dyDescent="0.35">
      <c r="B26" s="63" t="s">
        <v>40</v>
      </c>
      <c r="C26" s="57" t="s">
        <v>28</v>
      </c>
      <c r="D26" s="57" t="s">
        <v>28</v>
      </c>
      <c r="E26" s="57" t="s">
        <v>28</v>
      </c>
      <c r="F26" s="57" t="s">
        <v>28</v>
      </c>
      <c r="G26" s="57" t="s">
        <v>28</v>
      </c>
      <c r="H26" s="57" t="s">
        <v>28</v>
      </c>
      <c r="I26" s="57" t="s">
        <v>28</v>
      </c>
      <c r="J26" s="57" t="s">
        <v>28</v>
      </c>
      <c r="K26" s="57">
        <v>24.904607734949998</v>
      </c>
      <c r="L26" s="57">
        <v>32.310918554539995</v>
      </c>
      <c r="M26" s="57">
        <v>41.899980778080007</v>
      </c>
      <c r="N26" s="57">
        <v>44.749095199009993</v>
      </c>
      <c r="O26" s="57">
        <v>44.352834749319996</v>
      </c>
      <c r="P26" s="57">
        <v>50.246587595379999</v>
      </c>
      <c r="Q26" s="57">
        <v>56.310097402609991</v>
      </c>
      <c r="R26" s="57">
        <v>66.299053598260016</v>
      </c>
      <c r="S26" s="57">
        <v>66.103151110479999</v>
      </c>
      <c r="T26" s="57">
        <v>75.051666640319993</v>
      </c>
      <c r="U26" s="57">
        <v>83.944688467069994</v>
      </c>
      <c r="V26" s="57">
        <v>93.360663254100004</v>
      </c>
      <c r="W26" s="57">
        <v>83.121517463109981</v>
      </c>
      <c r="Y26" s="57" t="s">
        <v>28</v>
      </c>
      <c r="Z26" s="57" t="s">
        <v>28</v>
      </c>
      <c r="AA26" s="57">
        <v>143.86460226657999</v>
      </c>
      <c r="AB26" s="57">
        <v>217.20857334557002</v>
      </c>
      <c r="AC26" s="57">
        <v>318.46016947197</v>
      </c>
    </row>
    <row r="27" spans="2:29" ht="14.25" customHeight="1" x14ac:dyDescent="0.35">
      <c r="B27" s="17" t="s">
        <v>41</v>
      </c>
      <c r="C27" s="38" t="s">
        <v>28</v>
      </c>
      <c r="D27" s="38" t="s">
        <v>28</v>
      </c>
      <c r="E27" s="38" t="s">
        <v>28</v>
      </c>
      <c r="F27" s="38" t="s">
        <v>28</v>
      </c>
      <c r="G27" s="38" t="s">
        <v>28</v>
      </c>
      <c r="H27" s="38" t="s">
        <v>28</v>
      </c>
      <c r="I27" s="38" t="s">
        <v>28</v>
      </c>
      <c r="J27" s="38" t="s">
        <v>28</v>
      </c>
      <c r="K27" s="38">
        <f>K21</f>
        <v>14.330311999999999</v>
      </c>
      <c r="L27" s="38">
        <f t="shared" ref="L27:S27" si="13">L21</f>
        <v>15.142616</v>
      </c>
      <c r="M27" s="38">
        <f t="shared" si="13"/>
        <v>15.811036000000001</v>
      </c>
      <c r="N27" s="38">
        <f t="shared" si="13"/>
        <v>16.196242999999999</v>
      </c>
      <c r="O27" s="38">
        <f t="shared" si="13"/>
        <v>16.295302</v>
      </c>
      <c r="P27" s="38">
        <f t="shared" si="13"/>
        <v>16.440179000000001</v>
      </c>
      <c r="Q27" s="38">
        <f t="shared" si="13"/>
        <v>16.739055</v>
      </c>
      <c r="R27" s="38">
        <f t="shared" si="13"/>
        <v>16.747542000000003</v>
      </c>
      <c r="S27" s="38">
        <f t="shared" si="13"/>
        <v>16.901178000000002</v>
      </c>
      <c r="T27" s="38">
        <f>T21</f>
        <v>17.281792999999997</v>
      </c>
      <c r="U27" s="38">
        <f>U21</f>
        <v>17.302371000000001</v>
      </c>
      <c r="V27" s="38">
        <v>17.442953000000003</v>
      </c>
      <c r="W27" s="38">
        <f>W21</f>
        <v>17.332650000000001</v>
      </c>
      <c r="Y27" s="38" t="s">
        <v>28</v>
      </c>
      <c r="Z27" s="38" t="s">
        <v>28</v>
      </c>
      <c r="AA27" s="38">
        <v>16.196242999999999</v>
      </c>
      <c r="AB27" s="38">
        <v>16.747542000000003</v>
      </c>
      <c r="AC27" s="38">
        <v>17.442953000000003</v>
      </c>
    </row>
    <row r="28" spans="2:29" ht="14.25" customHeight="1" thickBot="1" x14ac:dyDescent="0.4">
      <c r="B28" s="66" t="s">
        <v>42</v>
      </c>
      <c r="C28" s="45" t="s">
        <v>28</v>
      </c>
      <c r="D28" s="45" t="s">
        <v>28</v>
      </c>
      <c r="E28" s="45" t="s">
        <v>28</v>
      </c>
      <c r="F28" s="45" t="s">
        <v>28</v>
      </c>
      <c r="G28" s="45" t="s">
        <v>28</v>
      </c>
      <c r="H28" s="45" t="s">
        <v>28</v>
      </c>
      <c r="I28" s="45" t="s">
        <v>28</v>
      </c>
      <c r="J28" s="45" t="s">
        <v>28</v>
      </c>
      <c r="K28" s="45">
        <f>K26/K27</f>
        <v>1.7378971047490104</v>
      </c>
      <c r="L28" s="45">
        <f t="shared" ref="L28:N28" si="14">L26/L27</f>
        <v>2.1337738838876978</v>
      </c>
      <c r="M28" s="45">
        <f t="shared" si="14"/>
        <v>2.6500465104298039</v>
      </c>
      <c r="N28" s="45">
        <f t="shared" si="14"/>
        <v>2.7629305882240711</v>
      </c>
      <c r="O28" s="45">
        <f t="shared" ref="O28:U28" si="15">O26/O27</f>
        <v>2.7218172912241823</v>
      </c>
      <c r="P28" s="45">
        <f t="shared" si="15"/>
        <v>3.0563284983320438</v>
      </c>
      <c r="Q28" s="45">
        <v>3.3942999999999999</v>
      </c>
      <c r="R28" s="45">
        <f t="shared" si="15"/>
        <v>3.958733382980022</v>
      </c>
      <c r="S28" s="45">
        <f t="shared" si="15"/>
        <v>3.9111564359880711</v>
      </c>
      <c r="T28" s="45">
        <f t="shared" si="15"/>
        <v>4.3428171278477876</v>
      </c>
      <c r="U28" s="45">
        <f t="shared" si="15"/>
        <v>4.8516292054464669</v>
      </c>
      <c r="V28" s="45">
        <v>5.3523427629541853</v>
      </c>
      <c r="W28" s="45">
        <f t="shared" ref="W28" si="16">W26/W27</f>
        <v>4.7956612210544822</v>
      </c>
      <c r="Y28" s="45" t="s">
        <v>28</v>
      </c>
      <c r="Z28" s="45" t="s">
        <v>28</v>
      </c>
      <c r="AA28" s="45">
        <v>8.8825909975899968</v>
      </c>
      <c r="AB28" s="45">
        <v>12.969579257993201</v>
      </c>
      <c r="AC28" s="45">
        <v>18.257239440590705</v>
      </c>
    </row>
    <row r="29" spans="2:29" ht="14.25" customHeight="1" x14ac:dyDescent="0.35">
      <c r="B29" s="12"/>
      <c r="C29" s="38"/>
      <c r="D29" s="38"/>
      <c r="E29" s="38"/>
      <c r="F29" s="38"/>
      <c r="G29" s="38"/>
      <c r="H29" s="38"/>
      <c r="I29" s="38"/>
      <c r="J29" s="38"/>
      <c r="K29" s="38"/>
      <c r="L29" s="38"/>
      <c r="M29" s="38"/>
      <c r="N29" s="38"/>
      <c r="O29" s="38"/>
      <c r="P29" s="38"/>
      <c r="Q29" s="38"/>
      <c r="R29" s="38"/>
      <c r="S29" s="38"/>
      <c r="T29" s="103"/>
      <c r="U29" s="103"/>
      <c r="V29" s="103"/>
      <c r="W29" s="103"/>
      <c r="Y29" s="38"/>
      <c r="Z29" s="38"/>
      <c r="AA29" s="38"/>
      <c r="AB29" s="38"/>
      <c r="AC29" s="38"/>
    </row>
    <row r="30" spans="2:29" ht="14.25" customHeight="1" thickBot="1" x14ac:dyDescent="0.4">
      <c r="B30" s="191" t="s">
        <v>2</v>
      </c>
      <c r="C30" s="189" t="s">
        <v>3</v>
      </c>
      <c r="D30" s="189" t="s">
        <v>4</v>
      </c>
      <c r="E30" s="189" t="s">
        <v>5</v>
      </c>
      <c r="F30" s="189" t="s">
        <v>6</v>
      </c>
      <c r="G30" s="189" t="s">
        <v>7</v>
      </c>
      <c r="H30" s="189" t="s">
        <v>8</v>
      </c>
      <c r="I30" s="189" t="s">
        <v>9</v>
      </c>
      <c r="J30" s="189" t="s">
        <v>10</v>
      </c>
      <c r="K30" s="189" t="s">
        <v>11</v>
      </c>
      <c r="L30" s="189" t="s">
        <v>12</v>
      </c>
      <c r="M30" s="189" t="s">
        <v>13</v>
      </c>
      <c r="N30" s="189" t="s">
        <v>14</v>
      </c>
      <c r="O30" s="189" t="s">
        <v>15</v>
      </c>
      <c r="P30" s="189" t="s">
        <v>16</v>
      </c>
      <c r="Q30" s="189" t="s">
        <v>17</v>
      </c>
      <c r="R30" s="189" t="s">
        <v>18</v>
      </c>
      <c r="S30" s="189" t="s">
        <v>19</v>
      </c>
      <c r="T30" s="189" t="str">
        <f>$T$5</f>
        <v>2Q24</v>
      </c>
      <c r="U30" s="189" t="str">
        <f>U25</f>
        <v>3Q24</v>
      </c>
      <c r="V30" s="189" t="s">
        <v>22</v>
      </c>
      <c r="W30" s="189" t="str">
        <f>W25</f>
        <v>1Q25</v>
      </c>
      <c r="Y30" s="189">
        <v>2020</v>
      </c>
      <c r="Z30" s="189">
        <v>2021</v>
      </c>
      <c r="AA30" s="189">
        <v>2022</v>
      </c>
      <c r="AB30" s="189">
        <v>2023</v>
      </c>
      <c r="AC30" s="189">
        <v>2024</v>
      </c>
    </row>
    <row r="31" spans="2:29" ht="14.25" customHeight="1" x14ac:dyDescent="0.35">
      <c r="B31" s="56" t="s">
        <v>43</v>
      </c>
      <c r="C31" s="57">
        <v>0</v>
      </c>
      <c r="D31" s="57">
        <v>0</v>
      </c>
      <c r="E31" s="57">
        <v>0</v>
      </c>
      <c r="F31" s="57">
        <f t="shared" ref="F31:T31" si="17">SUM(F32:F33)</f>
        <v>5.0728556552599997</v>
      </c>
      <c r="G31" s="57">
        <f t="shared" si="17"/>
        <v>4.9804644536900007</v>
      </c>
      <c r="H31" s="57">
        <f t="shared" si="17"/>
        <v>5.8913383797300005</v>
      </c>
      <c r="I31" s="57">
        <f t="shared" si="17"/>
        <v>7.1634346129899997</v>
      </c>
      <c r="J31" s="57">
        <f t="shared" si="17"/>
        <v>8.8350086231299993</v>
      </c>
      <c r="K31" s="57">
        <f t="shared" si="17"/>
        <v>11.182577102340002</v>
      </c>
      <c r="L31" s="57">
        <f t="shared" si="17"/>
        <v>15.492738614380002</v>
      </c>
      <c r="M31" s="57">
        <f t="shared" si="17"/>
        <v>19.401679182679999</v>
      </c>
      <c r="N31" s="57">
        <f t="shared" si="17"/>
        <v>20.662779339949999</v>
      </c>
      <c r="O31" s="57">
        <f t="shared" si="17"/>
        <v>18.603052542389992</v>
      </c>
      <c r="P31" s="57">
        <f t="shared" si="17"/>
        <v>18.290222264729998</v>
      </c>
      <c r="Q31" s="57">
        <f t="shared" si="17"/>
        <v>21.569183933450013</v>
      </c>
      <c r="R31" s="57">
        <f t="shared" si="17"/>
        <v>27.57136223265999</v>
      </c>
      <c r="S31" s="57">
        <f t="shared" si="17"/>
        <v>30.561088677629982</v>
      </c>
      <c r="T31" s="57">
        <f t="shared" si="17"/>
        <v>34.242726833590012</v>
      </c>
      <c r="U31" s="57">
        <f t="shared" ref="U31" si="18">SUM(U32:U33)</f>
        <v>34.201744896889984</v>
      </c>
      <c r="V31" s="57">
        <v>36.119807000000002</v>
      </c>
      <c r="W31" s="57">
        <f t="shared" ref="W31" si="19">SUM(W32:W33)</f>
        <v>33.882217062030001</v>
      </c>
      <c r="X31" s="54"/>
      <c r="Y31" s="57">
        <v>5.0728556552599997</v>
      </c>
      <c r="Z31" s="57">
        <v>8.8350086231299993</v>
      </c>
      <c r="AA31" s="57">
        <v>20.662779339949999</v>
      </c>
      <c r="AB31" s="57">
        <v>27.57136223265999</v>
      </c>
      <c r="AC31" s="57">
        <v>36.119807000000002</v>
      </c>
    </row>
    <row r="32" spans="2:29" ht="14.25" customHeight="1" outlineLevel="1" x14ac:dyDescent="0.35">
      <c r="B32" s="23" t="s">
        <v>44</v>
      </c>
      <c r="C32" s="38" t="s">
        <v>28</v>
      </c>
      <c r="D32" s="38" t="s">
        <v>28</v>
      </c>
      <c r="E32" s="38" t="s">
        <v>28</v>
      </c>
      <c r="F32" s="38">
        <v>4.3067696552600001</v>
      </c>
      <c r="G32" s="38">
        <v>3.5364316050200002</v>
      </c>
      <c r="H32" s="38">
        <v>4.1018175257900005</v>
      </c>
      <c r="I32" s="38">
        <v>4.4933348318099995</v>
      </c>
      <c r="J32" s="38">
        <v>5.7010129543399994</v>
      </c>
      <c r="K32" s="38">
        <v>5.4681977186799999</v>
      </c>
      <c r="L32" s="38">
        <v>6.0813752777000003</v>
      </c>
      <c r="M32" s="38">
        <v>6.7335663018399998</v>
      </c>
      <c r="N32" s="38">
        <v>8.66749126827</v>
      </c>
      <c r="O32" s="38">
        <v>7.9249565423899941</v>
      </c>
      <c r="P32" s="38">
        <v>8.2577206050899949</v>
      </c>
      <c r="Q32" s="38">
        <v>9.6547159334500137</v>
      </c>
      <c r="R32" s="38">
        <v>11.382923232659991</v>
      </c>
      <c r="S32" s="38">
        <v>10.854989677629979</v>
      </c>
      <c r="T32" s="38">
        <v>11.50873483359001</v>
      </c>
      <c r="U32" s="38">
        <v>10.512393896889987</v>
      </c>
      <c r="V32" s="38">
        <v>12.030573</v>
      </c>
      <c r="W32" s="38">
        <v>10.314392</v>
      </c>
      <c r="X32" s="54"/>
      <c r="Y32" s="38">
        <v>4.3067696552600001</v>
      </c>
      <c r="Z32" s="38">
        <v>5.7010129543399994</v>
      </c>
      <c r="AA32" s="38">
        <v>8.66749126827</v>
      </c>
      <c r="AB32" s="38">
        <v>11.382923232659991</v>
      </c>
      <c r="AC32" s="38">
        <v>12.030573</v>
      </c>
    </row>
    <row r="33" spans="2:29" ht="14.25" customHeight="1" outlineLevel="1" thickBot="1" x14ac:dyDescent="0.4">
      <c r="B33" s="58" t="s">
        <v>45</v>
      </c>
      <c r="C33" s="60" t="s">
        <v>28</v>
      </c>
      <c r="D33" s="60" t="s">
        <v>28</v>
      </c>
      <c r="E33" s="60" t="s">
        <v>28</v>
      </c>
      <c r="F33" s="60">
        <v>0.76608600000000004</v>
      </c>
      <c r="G33" s="60">
        <v>1.44403284867</v>
      </c>
      <c r="H33" s="60">
        <v>1.78952085394</v>
      </c>
      <c r="I33" s="60">
        <v>2.6700997811800002</v>
      </c>
      <c r="J33" s="60">
        <v>3.1339956687899999</v>
      </c>
      <c r="K33" s="60">
        <v>5.7143793836600008</v>
      </c>
      <c r="L33" s="60">
        <v>9.4113633366800027</v>
      </c>
      <c r="M33" s="60">
        <v>12.668112880839999</v>
      </c>
      <c r="N33" s="60">
        <v>11.995288071679999</v>
      </c>
      <c r="O33" s="60">
        <v>10.678095999999998</v>
      </c>
      <c r="P33" s="60">
        <v>10.032501659640001</v>
      </c>
      <c r="Q33" s="60">
        <v>11.914468000000001</v>
      </c>
      <c r="R33" s="60">
        <v>16.188438999999999</v>
      </c>
      <c r="S33" s="60">
        <v>19.706099000000002</v>
      </c>
      <c r="T33" s="60">
        <v>22.733992000000001</v>
      </c>
      <c r="U33" s="60">
        <v>23.689350999999998</v>
      </c>
      <c r="V33" s="60">
        <v>24.089234000000001</v>
      </c>
      <c r="W33" s="60">
        <v>23.567825062030003</v>
      </c>
      <c r="X33" s="54"/>
      <c r="Y33" s="60">
        <v>0.76608600000000004</v>
      </c>
      <c r="Z33" s="60">
        <v>3.1339956687899999</v>
      </c>
      <c r="AA33" s="60">
        <v>11.995288071679999</v>
      </c>
      <c r="AB33" s="60">
        <v>16.188438999999999</v>
      </c>
      <c r="AC33" s="60">
        <v>24.089234000000001</v>
      </c>
    </row>
    <row r="34" spans="2:29" ht="14.25" customHeight="1" x14ac:dyDescent="0.35">
      <c r="L34" s="67"/>
      <c r="M34" s="67"/>
      <c r="N34" s="67"/>
      <c r="O34" s="67"/>
      <c r="P34" s="67"/>
      <c r="Q34" s="67"/>
      <c r="R34" s="67"/>
      <c r="S34" s="67"/>
      <c r="T34" s="106"/>
      <c r="U34" s="106"/>
      <c r="V34" s="106"/>
      <c r="W34" s="106"/>
    </row>
    <row r="35" spans="2:29" ht="14.25" customHeight="1" thickBot="1" x14ac:dyDescent="0.4">
      <c r="B35" s="191" t="s">
        <v>2</v>
      </c>
      <c r="C35" s="189" t="s">
        <v>3</v>
      </c>
      <c r="D35" s="189" t="s">
        <v>4</v>
      </c>
      <c r="E35" s="189" t="s">
        <v>5</v>
      </c>
      <c r="F35" s="189" t="s">
        <v>6</v>
      </c>
      <c r="G35" s="189" t="s">
        <v>7</v>
      </c>
      <c r="H35" s="189" t="s">
        <v>8</v>
      </c>
      <c r="I35" s="189" t="s">
        <v>9</v>
      </c>
      <c r="J35" s="189" t="s">
        <v>10</v>
      </c>
      <c r="K35" s="189" t="s">
        <v>11</v>
      </c>
      <c r="L35" s="189" t="s">
        <v>12</v>
      </c>
      <c r="M35" s="189" t="s">
        <v>13</v>
      </c>
      <c r="N35" s="189" t="s">
        <v>14</v>
      </c>
      <c r="O35" s="189" t="s">
        <v>15</v>
      </c>
      <c r="P35" s="189" t="s">
        <v>16</v>
      </c>
      <c r="Q35" s="189" t="s">
        <v>17</v>
      </c>
      <c r="R35" s="189" t="s">
        <v>18</v>
      </c>
      <c r="S35" s="189" t="s">
        <v>19</v>
      </c>
      <c r="T35" s="189" t="str">
        <f>$T$5</f>
        <v>2Q24</v>
      </c>
      <c r="U35" s="189" t="str">
        <f>U30</f>
        <v>3Q24</v>
      </c>
      <c r="V35" s="189" t="s">
        <v>22</v>
      </c>
      <c r="W35" s="189" t="str">
        <f>W30</f>
        <v>1Q25</v>
      </c>
      <c r="Y35" s="189">
        <v>2020</v>
      </c>
      <c r="Z35" s="189">
        <v>2021</v>
      </c>
      <c r="AA35" s="189">
        <v>2022</v>
      </c>
      <c r="AB35" s="189">
        <v>2023</v>
      </c>
      <c r="AC35" s="189">
        <v>2024</v>
      </c>
    </row>
    <row r="36" spans="2:29" ht="14.25" customHeight="1" x14ac:dyDescent="0.35">
      <c r="B36" s="56" t="s">
        <v>43</v>
      </c>
      <c r="C36" s="57" t="s">
        <v>28</v>
      </c>
      <c r="D36" s="57" t="s">
        <v>28</v>
      </c>
      <c r="E36" s="57" t="s">
        <v>28</v>
      </c>
      <c r="F36" s="57" t="s">
        <v>28</v>
      </c>
      <c r="G36" s="57" t="s">
        <v>28</v>
      </c>
      <c r="H36" s="57" t="s">
        <v>28</v>
      </c>
      <c r="I36" s="57" t="s">
        <v>28</v>
      </c>
      <c r="J36" s="57" t="s">
        <v>28</v>
      </c>
      <c r="K36" s="57">
        <f>K31</f>
        <v>11.182577102340002</v>
      </c>
      <c r="L36" s="57">
        <f t="shared" ref="L36:S36" si="20">L31</f>
        <v>15.492738614380002</v>
      </c>
      <c r="M36" s="57">
        <f t="shared" si="20"/>
        <v>19.401679182679999</v>
      </c>
      <c r="N36" s="57">
        <f t="shared" si="20"/>
        <v>20.662779339949999</v>
      </c>
      <c r="O36" s="57">
        <f t="shared" si="20"/>
        <v>18.603052542389992</v>
      </c>
      <c r="P36" s="57">
        <f t="shared" si="20"/>
        <v>18.290222264729998</v>
      </c>
      <c r="Q36" s="57">
        <f t="shared" si="20"/>
        <v>21.569183933450013</v>
      </c>
      <c r="R36" s="57">
        <f t="shared" si="20"/>
        <v>27.57136223265999</v>
      </c>
      <c r="S36" s="57">
        <f t="shared" si="20"/>
        <v>30.561088677629982</v>
      </c>
      <c r="T36" s="57">
        <f t="shared" ref="T36:U36" si="21">T31</f>
        <v>34.242726833590012</v>
      </c>
      <c r="U36" s="57">
        <f t="shared" si="21"/>
        <v>34.201744896889984</v>
      </c>
      <c r="V36" s="57">
        <v>36.119807000000002</v>
      </c>
      <c r="W36" s="57">
        <f t="shared" ref="W36" si="22">W31</f>
        <v>33.882217062030001</v>
      </c>
      <c r="X36" s="54"/>
      <c r="Y36" s="57">
        <v>5.0728556552599997</v>
      </c>
      <c r="Z36" s="57">
        <v>8.8350086231299993</v>
      </c>
      <c r="AA36" s="57">
        <v>20.662779339949999</v>
      </c>
      <c r="AB36" s="57">
        <v>27.57136223265999</v>
      </c>
      <c r="AC36" s="57">
        <v>36.119807000000002</v>
      </c>
    </row>
    <row r="37" spans="2:29" ht="14.25" customHeight="1" outlineLevel="1" x14ac:dyDescent="0.35">
      <c r="B37" s="23" t="s">
        <v>46</v>
      </c>
      <c r="C37" s="38" t="s">
        <v>28</v>
      </c>
      <c r="D37" s="38" t="s">
        <v>28</v>
      </c>
      <c r="E37" s="38" t="s">
        <v>28</v>
      </c>
      <c r="F37" s="38" t="s">
        <v>28</v>
      </c>
      <c r="G37" s="38" t="s">
        <v>28</v>
      </c>
      <c r="H37" s="38" t="s">
        <v>28</v>
      </c>
      <c r="I37" s="38" t="s">
        <v>28</v>
      </c>
      <c r="J37" s="38" t="s">
        <v>28</v>
      </c>
      <c r="K37" s="38">
        <f>K36-K38</f>
        <v>9.3920771023400018</v>
      </c>
      <c r="L37" s="38">
        <f t="shared" ref="L37:T37" si="23">L36-L38</f>
        <v>12.546538614380003</v>
      </c>
      <c r="M37" s="38">
        <f t="shared" si="23"/>
        <v>14.365179182679999</v>
      </c>
      <c r="N37" s="38">
        <f t="shared" si="23"/>
        <v>16.982179339950001</v>
      </c>
      <c r="O37" s="38">
        <f t="shared" si="23"/>
        <v>15.638752542389993</v>
      </c>
      <c r="P37" s="38">
        <f t="shared" si="23"/>
        <v>15.667922264729999</v>
      </c>
      <c r="Q37" s="38">
        <f t="shared" si="23"/>
        <v>18.241412000590014</v>
      </c>
      <c r="R37" s="38">
        <f t="shared" si="23"/>
        <v>21.429722683339989</v>
      </c>
      <c r="S37" s="38">
        <f t="shared" si="23"/>
        <v>22.730121032119982</v>
      </c>
      <c r="T37" s="38">
        <f t="shared" si="23"/>
        <v>26.042778955180012</v>
      </c>
      <c r="U37" s="38">
        <f>U36-U38</f>
        <v>28.027566896889983</v>
      </c>
      <c r="V37" s="38">
        <v>29.30142805909</v>
      </c>
      <c r="W37" s="38">
        <f>W36-W38</f>
        <v>28.67733345377</v>
      </c>
      <c r="X37" s="54"/>
      <c r="Y37" s="38" t="s">
        <v>28</v>
      </c>
      <c r="Z37" s="38" t="s">
        <v>28</v>
      </c>
      <c r="AA37" s="38">
        <v>16.982179339950001</v>
      </c>
      <c r="AB37" s="38">
        <v>21.429722683339989</v>
      </c>
      <c r="AC37" s="38">
        <v>29.30142805909</v>
      </c>
    </row>
    <row r="38" spans="2:29" ht="14.25" customHeight="1" outlineLevel="1" thickBot="1" x14ac:dyDescent="0.4">
      <c r="B38" s="58" t="s">
        <v>47</v>
      </c>
      <c r="C38" s="60" t="s">
        <v>28</v>
      </c>
      <c r="D38" s="60" t="s">
        <v>28</v>
      </c>
      <c r="E38" s="60" t="s">
        <v>28</v>
      </c>
      <c r="F38" s="60" t="s">
        <v>28</v>
      </c>
      <c r="G38" s="60" t="s">
        <v>28</v>
      </c>
      <c r="H38" s="60" t="s">
        <v>28</v>
      </c>
      <c r="I38" s="60" t="s">
        <v>28</v>
      </c>
      <c r="J38" s="60" t="s">
        <v>28</v>
      </c>
      <c r="K38" s="60">
        <v>1.7905</v>
      </c>
      <c r="L38" s="60">
        <v>2.9461999999999997</v>
      </c>
      <c r="M38" s="60">
        <v>5.0365000000000002</v>
      </c>
      <c r="N38" s="60">
        <v>3.6806000000000001</v>
      </c>
      <c r="O38" s="60">
        <v>2.9643000000000002</v>
      </c>
      <c r="P38" s="60">
        <v>2.6223000000000001</v>
      </c>
      <c r="Q38" s="60">
        <v>3.3277719328599997</v>
      </c>
      <c r="R38" s="60">
        <v>6.1416395493200007</v>
      </c>
      <c r="S38" s="60">
        <v>7.8309676455099995</v>
      </c>
      <c r="T38" s="60">
        <v>8.1999478784100006</v>
      </c>
      <c r="U38" s="60">
        <v>6.1741780000000004</v>
      </c>
      <c r="V38" s="60">
        <v>6.8183789409099997</v>
      </c>
      <c r="W38" s="60">
        <v>5.2048836082600003</v>
      </c>
      <c r="X38" s="54"/>
      <c r="Y38" s="60" t="s">
        <v>28</v>
      </c>
      <c r="Z38" s="60" t="s">
        <v>28</v>
      </c>
      <c r="AA38" s="60">
        <v>3.6806000000000001</v>
      </c>
      <c r="AB38" s="60">
        <v>6.1416395493200007</v>
      </c>
      <c r="AC38" s="60">
        <v>6.8183789409099997</v>
      </c>
    </row>
    <row r="39" spans="2:29" ht="14.25" customHeight="1" x14ac:dyDescent="0.35">
      <c r="L39" s="67"/>
      <c r="M39" s="67"/>
      <c r="N39" s="67"/>
      <c r="O39" s="67"/>
      <c r="P39" s="67"/>
      <c r="Q39" s="67"/>
      <c r="R39" s="67"/>
      <c r="S39" s="67"/>
      <c r="T39" s="67"/>
      <c r="U39" s="106"/>
      <c r="V39" s="106"/>
      <c r="W39" s="106"/>
    </row>
    <row r="40" spans="2:29" ht="14.25" customHeight="1" thickBot="1" x14ac:dyDescent="0.4">
      <c r="B40" s="191" t="s">
        <v>2</v>
      </c>
      <c r="C40" s="189" t="s">
        <v>3</v>
      </c>
      <c r="D40" s="189" t="s">
        <v>4</v>
      </c>
      <c r="E40" s="189" t="s">
        <v>5</v>
      </c>
      <c r="F40" s="189" t="s">
        <v>6</v>
      </c>
      <c r="G40" s="189" t="s">
        <v>7</v>
      </c>
      <c r="H40" s="189" t="s">
        <v>8</v>
      </c>
      <c r="I40" s="189" t="s">
        <v>9</v>
      </c>
      <c r="J40" s="189" t="s">
        <v>10</v>
      </c>
      <c r="K40" s="189" t="s">
        <v>11</v>
      </c>
      <c r="L40" s="189" t="s">
        <v>12</v>
      </c>
      <c r="M40" s="189" t="s">
        <v>13</v>
      </c>
      <c r="N40" s="189" t="s">
        <v>14</v>
      </c>
      <c r="O40" s="189" t="s">
        <v>15</v>
      </c>
      <c r="P40" s="189" t="s">
        <v>16</v>
      </c>
      <c r="Q40" s="189" t="s">
        <v>17</v>
      </c>
      <c r="R40" s="189" t="s">
        <v>18</v>
      </c>
      <c r="S40" s="189" t="s">
        <v>19</v>
      </c>
      <c r="T40" s="189" t="str">
        <f>$T$5</f>
        <v>2Q24</v>
      </c>
      <c r="U40" s="189" t="str">
        <f>U30</f>
        <v>3Q24</v>
      </c>
      <c r="V40" s="189" t="s">
        <v>22</v>
      </c>
      <c r="W40" s="189" t="str">
        <f>W30</f>
        <v>1Q25</v>
      </c>
      <c r="Y40" s="189">
        <v>2020</v>
      </c>
      <c r="Z40" s="189">
        <v>2021</v>
      </c>
      <c r="AA40" s="189">
        <v>2022</v>
      </c>
      <c r="AB40" s="189">
        <v>2023</v>
      </c>
      <c r="AC40" s="189">
        <v>2024</v>
      </c>
    </row>
    <row r="41" spans="2:29" ht="14.25" customHeight="1" x14ac:dyDescent="0.35">
      <c r="B41" s="56" t="s">
        <v>48</v>
      </c>
      <c r="C41" s="57">
        <v>0.50404090740000007</v>
      </c>
      <c r="D41" s="57">
        <v>0.47923918463999998</v>
      </c>
      <c r="E41" s="57">
        <v>0.48587377291</v>
      </c>
      <c r="F41" s="57">
        <v>0.61164998270999993</v>
      </c>
      <c r="G41" s="57">
        <v>0.77135686380000001</v>
      </c>
      <c r="H41" s="57">
        <v>1.1161025651699998</v>
      </c>
      <c r="I41" s="57">
        <v>1.5531804901499999</v>
      </c>
      <c r="J41" s="57">
        <v>1.9069698957400001</v>
      </c>
      <c r="K41" s="57">
        <v>2.0547854452799998</v>
      </c>
      <c r="L41" s="57">
        <v>2.2750159656799998</v>
      </c>
      <c r="M41" s="57">
        <v>2.6532649304199998</v>
      </c>
      <c r="N41" s="57">
        <v>2.7207143173399997</v>
      </c>
      <c r="O41" s="57">
        <v>2.7176414679800001</v>
      </c>
      <c r="P41" s="57">
        <v>2.6094384610399999</v>
      </c>
      <c r="Q41" s="57">
        <v>2.4622210973100001</v>
      </c>
      <c r="R41" s="57">
        <v>2.5287982613099995</v>
      </c>
      <c r="S41" s="57">
        <v>2.7231597954499995</v>
      </c>
      <c r="T41" s="57">
        <v>2.8937865694</v>
      </c>
      <c r="U41" s="57">
        <v>3.1981419294699998</v>
      </c>
      <c r="V41" s="57">
        <v>3.4374143519700002</v>
      </c>
      <c r="W41" s="57">
        <v>3.6513209514800002</v>
      </c>
      <c r="X41" s="54"/>
      <c r="Y41" s="57">
        <v>0.61164998270999993</v>
      </c>
      <c r="Z41" s="57">
        <v>1.9069698957400001</v>
      </c>
      <c r="AA41" s="57">
        <v>2.7207143173399997</v>
      </c>
      <c r="AB41" s="57">
        <v>2.5287982613099995</v>
      </c>
      <c r="AC41" s="57">
        <v>3.4374143519700002</v>
      </c>
    </row>
    <row r="42" spans="2:29" ht="14.25" customHeight="1" outlineLevel="1" x14ac:dyDescent="0.35">
      <c r="B42" s="23" t="s">
        <v>49</v>
      </c>
      <c r="C42" s="38">
        <v>0.33765230183</v>
      </c>
      <c r="D42" s="38">
        <v>0.29383810225999996</v>
      </c>
      <c r="E42" s="38">
        <v>0.27699847007</v>
      </c>
      <c r="F42" s="38">
        <v>0.33084785019999996</v>
      </c>
      <c r="G42" s="38">
        <v>0.41267778549</v>
      </c>
      <c r="H42" s="38">
        <v>0.62729188580999995</v>
      </c>
      <c r="I42" s="38">
        <v>0.88266328397000005</v>
      </c>
      <c r="J42" s="38">
        <v>1.06967057764</v>
      </c>
      <c r="K42" s="38">
        <v>1.0087420700399998</v>
      </c>
      <c r="L42" s="38">
        <v>0.9186036368199999</v>
      </c>
      <c r="M42" s="38">
        <v>0.81328235338999999</v>
      </c>
      <c r="N42" s="38">
        <v>0.74337881752000001</v>
      </c>
      <c r="O42" s="38">
        <v>0.67218008786999994</v>
      </c>
      <c r="P42" s="38">
        <v>0.62500658004999998</v>
      </c>
      <c r="Q42" s="38">
        <v>0.47133806192999994</v>
      </c>
      <c r="R42" s="38">
        <v>0.40973846980999995</v>
      </c>
      <c r="S42" s="38">
        <v>0.34073699277999997</v>
      </c>
      <c r="T42" s="38">
        <v>0.20202774894000003</v>
      </c>
      <c r="U42" s="38">
        <v>0.16172367010999997</v>
      </c>
      <c r="V42" s="38">
        <v>0.14326937369000001</v>
      </c>
      <c r="W42" s="52">
        <v>0.16540724592999997</v>
      </c>
      <c r="X42" s="54"/>
      <c r="Y42" s="38">
        <v>0.33084785019999996</v>
      </c>
      <c r="Z42" s="38">
        <v>1.06967057764</v>
      </c>
      <c r="AA42" s="38">
        <v>0.74337881752000001</v>
      </c>
      <c r="AB42" s="38">
        <v>0.40973846980999995</v>
      </c>
      <c r="AC42" s="38">
        <v>0.14326937369000001</v>
      </c>
    </row>
    <row r="43" spans="2:29" ht="14.25" customHeight="1" outlineLevel="1" x14ac:dyDescent="0.35">
      <c r="B43" s="23" t="s">
        <v>50</v>
      </c>
      <c r="C43" s="38">
        <v>0.33765230183</v>
      </c>
      <c r="D43" s="38">
        <v>0.17093922379000001</v>
      </c>
      <c r="E43" s="38">
        <v>0.18914503212999997</v>
      </c>
      <c r="F43" s="38">
        <v>0.25733752817000005</v>
      </c>
      <c r="G43" s="38">
        <v>0.33388552074</v>
      </c>
      <c r="H43" s="38">
        <v>0.45888023469</v>
      </c>
      <c r="I43" s="38">
        <v>0.60408902654999996</v>
      </c>
      <c r="J43" s="38">
        <v>0.72609477298000002</v>
      </c>
      <c r="K43" s="38">
        <v>0.85244543726999999</v>
      </c>
      <c r="L43" s="38">
        <v>0.91904727357000005</v>
      </c>
      <c r="M43" s="38">
        <v>1.0141261052999999</v>
      </c>
      <c r="N43" s="38">
        <v>1.1125104029799999</v>
      </c>
      <c r="O43" s="38">
        <v>1.0872828727799999</v>
      </c>
      <c r="P43" s="38">
        <v>0.88588297703999996</v>
      </c>
      <c r="Q43" s="38">
        <v>0.81551047789999997</v>
      </c>
      <c r="R43" s="38">
        <v>0.76349498762000001</v>
      </c>
      <c r="S43" s="38">
        <v>0.71543341951000006</v>
      </c>
      <c r="T43" s="38">
        <v>0.70089659537000015</v>
      </c>
      <c r="U43" s="38">
        <v>0.70405713422999994</v>
      </c>
      <c r="V43" s="38">
        <v>0.77799739421000003</v>
      </c>
      <c r="W43" s="52">
        <v>0.76893309373999996</v>
      </c>
      <c r="X43" s="54"/>
      <c r="Y43" s="38">
        <v>0.25733752817000005</v>
      </c>
      <c r="Z43" s="38">
        <v>0.72609477298000002</v>
      </c>
      <c r="AA43" s="38">
        <v>1.1125104029799999</v>
      </c>
      <c r="AB43" s="38">
        <v>0.76349498762000001</v>
      </c>
      <c r="AC43" s="38">
        <v>0.77799739421000003</v>
      </c>
    </row>
    <row r="44" spans="2:29" ht="14.25" customHeight="1" outlineLevel="1" thickBot="1" x14ac:dyDescent="0.4">
      <c r="B44" s="58" t="s">
        <v>51</v>
      </c>
      <c r="C44" s="60">
        <v>1.079986994E-2</v>
      </c>
      <c r="D44" s="60">
        <v>1.4461858589999998E-2</v>
      </c>
      <c r="E44" s="60">
        <v>1.9730270710000001E-2</v>
      </c>
      <c r="F44" s="60">
        <v>2.346460434E-2</v>
      </c>
      <c r="G44" s="60">
        <v>2.4793557569999999E-2</v>
      </c>
      <c r="H44" s="60">
        <v>2.993044467E-2</v>
      </c>
      <c r="I44" s="60">
        <v>6.642817963E-2</v>
      </c>
      <c r="J44" s="60">
        <v>0.11120454512</v>
      </c>
      <c r="K44" s="60">
        <v>0.19359667683000001</v>
      </c>
      <c r="L44" s="60">
        <v>0.43736379415000004</v>
      </c>
      <c r="M44" s="60">
        <v>0.8258564717300001</v>
      </c>
      <c r="N44" s="60">
        <v>0.86482509683999997</v>
      </c>
      <c r="O44" s="60">
        <f>O41-SUM(O42:O43)</f>
        <v>0.95817850733000021</v>
      </c>
      <c r="P44" s="60">
        <f t="shared" ref="P44:T44" si="24">P41-SUM(P42:P43)</f>
        <v>1.0985489039499998</v>
      </c>
      <c r="Q44" s="60">
        <f t="shared" si="24"/>
        <v>1.1753725574800002</v>
      </c>
      <c r="R44" s="60">
        <f t="shared" si="24"/>
        <v>1.3555648038799997</v>
      </c>
      <c r="S44" s="60">
        <f t="shared" si="24"/>
        <v>1.6669893831599996</v>
      </c>
      <c r="T44" s="60">
        <f t="shared" si="24"/>
        <v>1.9908622250899999</v>
      </c>
      <c r="U44" s="60">
        <f t="shared" ref="U44" si="25">U41-SUM(U42:U43)</f>
        <v>2.3323611251299998</v>
      </c>
      <c r="V44" s="60">
        <v>2.5161475840700001</v>
      </c>
      <c r="W44" s="200">
        <f t="shared" ref="W44" si="26">W41-SUM(W42:W43)</f>
        <v>2.7169806118100004</v>
      </c>
      <c r="X44" s="54"/>
      <c r="Y44" s="60">
        <v>2.346460434E-2</v>
      </c>
      <c r="Z44" s="60">
        <v>0.11120454512</v>
      </c>
      <c r="AA44" s="60">
        <v>0.86482509683999997</v>
      </c>
      <c r="AB44" s="60">
        <v>1.3555648038799997</v>
      </c>
      <c r="AC44" s="60">
        <v>2.5161475840700001</v>
      </c>
    </row>
    <row r="45" spans="2:29" ht="14.25" customHeight="1" outlineLevel="1" x14ac:dyDescent="0.35">
      <c r="B45" s="68" t="s">
        <v>52</v>
      </c>
      <c r="C45" s="69" t="s">
        <v>28</v>
      </c>
      <c r="D45" s="69" t="s">
        <v>28</v>
      </c>
      <c r="E45" s="69" t="s">
        <v>28</v>
      </c>
      <c r="F45" s="69" t="s">
        <v>28</v>
      </c>
      <c r="G45" s="69" t="s">
        <v>28</v>
      </c>
      <c r="H45" s="69" t="s">
        <v>28</v>
      </c>
      <c r="I45" s="69" t="s">
        <v>28</v>
      </c>
      <c r="J45" s="69" t="s">
        <v>28</v>
      </c>
      <c r="K45" s="69">
        <v>9.8786344409920162E-3</v>
      </c>
      <c r="L45" s="69">
        <v>1.0194873096122794E-2</v>
      </c>
      <c r="M45" s="69">
        <v>4.2799160237349037E-3</v>
      </c>
      <c r="N45" s="69">
        <v>6.775514772773732E-3</v>
      </c>
      <c r="O45" s="69">
        <v>1.1406881153350977E-2</v>
      </c>
      <c r="P45" s="69">
        <v>1.2261841133001827E-2</v>
      </c>
      <c r="Q45" s="69">
        <v>1.1324992376775551E-2</v>
      </c>
      <c r="R45" s="69">
        <v>1.1375728812098607E-2</v>
      </c>
      <c r="S45" s="69">
        <v>9.0065691794208053E-3</v>
      </c>
      <c r="T45" s="69">
        <v>7.4588358237666847E-3</v>
      </c>
      <c r="U45" s="69">
        <v>6.2872639857698698E-3</v>
      </c>
      <c r="V45" s="69">
        <v>6.1890642155114162E-3</v>
      </c>
      <c r="W45" s="69">
        <v>8.0024010238381339E-3</v>
      </c>
      <c r="X45" s="54"/>
      <c r="Y45" s="70" t="s">
        <v>28</v>
      </c>
      <c r="Z45" s="70" t="s">
        <v>28</v>
      </c>
      <c r="AA45" s="69">
        <v>6.775514772773732E-3</v>
      </c>
      <c r="AB45" s="69">
        <v>1.1375728812098607E-2</v>
      </c>
      <c r="AC45" s="69">
        <v>6.1890642155114162E-3</v>
      </c>
    </row>
    <row r="46" spans="2:29" ht="14.25" customHeight="1" outlineLevel="1" thickBot="1" x14ac:dyDescent="0.4">
      <c r="B46" s="71" t="s">
        <v>53</v>
      </c>
      <c r="C46" s="72" t="s">
        <v>28</v>
      </c>
      <c r="D46" s="72" t="s">
        <v>28</v>
      </c>
      <c r="E46" s="72" t="s">
        <v>28</v>
      </c>
      <c r="F46" s="72" t="s">
        <v>28</v>
      </c>
      <c r="G46" s="72" t="s">
        <v>28</v>
      </c>
      <c r="H46" s="72" t="s">
        <v>28</v>
      </c>
      <c r="I46" s="72" t="s">
        <v>28</v>
      </c>
      <c r="J46" s="72" t="s">
        <v>28</v>
      </c>
      <c r="K46" s="72">
        <v>0.22398661645488108</v>
      </c>
      <c r="L46" s="72">
        <v>0.26254634760821</v>
      </c>
      <c r="M46" s="72">
        <v>0.23571798347381187</v>
      </c>
      <c r="N46" s="72">
        <v>0.2059230721902742</v>
      </c>
      <c r="O46" s="72">
        <v>0.17860258951600136</v>
      </c>
      <c r="P46" s="72">
        <v>0.14385138301205597</v>
      </c>
      <c r="Q46" s="72">
        <v>0.10693518769081407</v>
      </c>
      <c r="R46" s="72">
        <v>7.533674519535441E-2</v>
      </c>
      <c r="S46" s="72">
        <v>4.4918811044705263E-2</v>
      </c>
      <c r="T46" s="72">
        <v>3.20832613448555E-2</v>
      </c>
      <c r="U46" s="72">
        <v>2.5097569248194437E-2</v>
      </c>
      <c r="V46" s="72">
        <v>2.2783387357728078E-2</v>
      </c>
      <c r="W46" s="72">
        <v>2.2507569365087295E-2</v>
      </c>
      <c r="X46" s="54"/>
      <c r="Y46" s="73" t="s">
        <v>28</v>
      </c>
      <c r="Z46" s="73" t="s">
        <v>28</v>
      </c>
      <c r="AA46" s="72">
        <v>0.2059230721902742</v>
      </c>
      <c r="AB46" s="72">
        <v>7.533674519535441E-2</v>
      </c>
      <c r="AC46" s="72">
        <v>2.2783387357728078E-2</v>
      </c>
    </row>
    <row r="49" spans="1:1" ht="14.25" customHeight="1" x14ac:dyDescent="0.35">
      <c r="A49" s="3">
        <v>9</v>
      </c>
    </row>
  </sheetData>
  <phoneticPr fontId="9" type="noConversion"/>
  <hyperlinks>
    <hyperlink ref="B3" r:id="rId1" xr:uid="{2708765E-EAC2-4D95-B9D4-3D328AAA5DF1}"/>
  </hyperlinks>
  <pageMargins left="0.511811024" right="0.511811024" top="0.78740157499999996" bottom="0.78740157499999996" header="0.31496062000000002" footer="0.31496062000000002"/>
  <pageSetup paperSize="9" orientation="portrait" r:id="rId2"/>
  <ignoredErrors>
    <ignoredError sqref="O21:P22 R21:T2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77A3-0507-4C92-BBA7-57F4150C46AD}">
  <sheetPr>
    <tabColor rgb="FFFFE72D"/>
  </sheetPr>
  <dimension ref="A1:BE67"/>
  <sheetViews>
    <sheetView showGridLines="0" zoomScaleNormal="100" workbookViewId="0">
      <pane xSplit="2" ySplit="5" topLeftCell="R7" activePane="bottomRight" state="frozen"/>
      <selection pane="topRight" activeCell="AG27" sqref="AG27"/>
      <selection pane="bottomLeft" activeCell="AG27" sqref="AG27"/>
      <selection pane="bottomRight" activeCell="W9" sqref="W9"/>
    </sheetView>
  </sheetViews>
  <sheetFormatPr defaultColWidth="0" defaultRowHeight="14.25" customHeight="1" outlineLevelRow="1" outlineLevelCol="1" x14ac:dyDescent="0.35"/>
  <cols>
    <col min="1" max="1" width="2.54296875" style="1" customWidth="1"/>
    <col min="2" max="2" width="60.54296875" style="24" customWidth="1"/>
    <col min="3" max="3" width="10.54296875" style="24" hidden="1" customWidth="1" outlineLevel="1" collapsed="1"/>
    <col min="4" max="6" width="10.54296875" style="24" hidden="1" customWidth="1" outlineLevel="1"/>
    <col min="7" max="7" width="10.54296875" style="24" hidden="1" customWidth="1" outlineLevel="1" collapsed="1"/>
    <col min="8" max="14" width="10.54296875" style="24" hidden="1" customWidth="1" outlineLevel="1"/>
    <col min="15" max="15" width="10.54296875" style="24" customWidth="1" collapsed="1"/>
    <col min="16" max="24" width="10.54296875" style="24" customWidth="1"/>
    <col min="25" max="25" width="2.54296875" style="24" customWidth="1"/>
    <col min="26" max="26" width="10.54296875" style="24" customWidth="1" collapsed="1"/>
    <col min="27" max="30" width="10.54296875" style="24" customWidth="1"/>
    <col min="31" max="31" width="2.54296875" style="1" customWidth="1"/>
    <col min="32" max="32" width="10.453125" style="1" hidden="1" customWidth="1"/>
    <col min="33" max="36" width="0" style="1" hidden="1" customWidth="1"/>
    <col min="37" max="37" width="10.453125" style="1" hidden="1" customWidth="1"/>
    <col min="38" max="51" width="0" style="1" hidden="1" customWidth="1"/>
    <col min="52" max="52" width="10.453125" style="1" hidden="1" customWidth="1"/>
    <col min="53" max="56" width="0" style="1" hidden="1" customWidth="1"/>
    <col min="57" max="57" width="10.453125" style="1" hidden="1" customWidth="1"/>
    <col min="58" max="16384" width="9.1796875" style="1" hidden="1"/>
  </cols>
  <sheetData>
    <row r="1" spans="1:30" ht="14.25" customHeight="1" x14ac:dyDescent="0.35">
      <c r="C1" s="38"/>
      <c r="D1" s="38"/>
      <c r="E1" s="38"/>
      <c r="F1" s="38"/>
      <c r="G1" s="38"/>
      <c r="H1" s="38"/>
      <c r="I1" s="38"/>
      <c r="J1" s="38"/>
      <c r="K1" s="38"/>
      <c r="L1" s="38"/>
      <c r="M1" s="38"/>
      <c r="N1" s="38"/>
      <c r="O1" s="38"/>
      <c r="P1" s="38"/>
      <c r="Q1" s="38"/>
      <c r="R1" s="38"/>
      <c r="S1" s="38"/>
      <c r="T1" s="38"/>
      <c r="U1" s="38"/>
      <c r="V1" s="38"/>
      <c r="W1" s="38"/>
      <c r="X1" s="38"/>
    </row>
    <row r="2" spans="1:30" ht="14.25" customHeight="1" x14ac:dyDescent="0.35">
      <c r="B2" s="13" t="s">
        <v>182</v>
      </c>
      <c r="C2" s="38"/>
      <c r="D2" s="38"/>
      <c r="E2" s="38"/>
      <c r="F2" s="38"/>
      <c r="G2" s="38"/>
      <c r="H2" s="38"/>
      <c r="I2" s="38"/>
      <c r="J2" s="38"/>
      <c r="K2" s="38"/>
      <c r="L2" s="38"/>
      <c r="M2" s="38"/>
      <c r="N2" s="38"/>
      <c r="O2" s="38"/>
      <c r="P2" s="38"/>
      <c r="Q2" s="38"/>
      <c r="R2" s="38"/>
      <c r="S2" s="38"/>
      <c r="T2" s="38"/>
      <c r="U2" s="38"/>
      <c r="V2" s="38"/>
      <c r="W2" s="38"/>
      <c r="X2" s="38"/>
      <c r="Z2" s="38"/>
      <c r="AA2" s="38"/>
      <c r="AB2" s="38"/>
      <c r="AC2" s="38"/>
      <c r="AD2" s="38"/>
    </row>
    <row r="3" spans="1:30" ht="14.25" customHeight="1" x14ac:dyDescent="0.35">
      <c r="B3" s="15" t="s">
        <v>1</v>
      </c>
      <c r="C3" s="38"/>
      <c r="D3" s="38"/>
      <c r="E3" s="38"/>
      <c r="F3" s="38"/>
      <c r="G3" s="38"/>
      <c r="H3" s="38"/>
      <c r="I3" s="38"/>
      <c r="J3" s="38"/>
      <c r="K3" s="38"/>
      <c r="L3" s="38"/>
      <c r="M3" s="38"/>
      <c r="N3" s="38"/>
      <c r="O3" s="38"/>
      <c r="P3" s="38"/>
      <c r="Q3" s="38"/>
      <c r="R3" s="38"/>
      <c r="S3" s="38"/>
      <c r="T3" s="38"/>
      <c r="U3" s="38"/>
      <c r="V3" s="38"/>
      <c r="W3" s="38"/>
      <c r="X3" s="38"/>
    </row>
    <row r="4" spans="1:30" ht="14.25" customHeight="1" x14ac:dyDescent="0.35">
      <c r="C4" s="38"/>
      <c r="D4" s="38"/>
      <c r="E4" s="38"/>
      <c r="F4" s="38"/>
      <c r="G4" s="38"/>
      <c r="H4" s="38"/>
      <c r="I4" s="38"/>
      <c r="J4" s="38"/>
      <c r="K4" s="38"/>
      <c r="L4" s="38"/>
      <c r="M4" s="38"/>
      <c r="N4" s="38"/>
      <c r="O4" s="38"/>
      <c r="P4" s="38"/>
      <c r="Q4" s="38"/>
      <c r="R4" s="38"/>
      <c r="S4" s="38"/>
      <c r="T4" s="38"/>
      <c r="U4" s="38"/>
      <c r="V4" s="38"/>
      <c r="W4" s="38"/>
      <c r="X4" s="38"/>
    </row>
    <row r="5" spans="1:30" ht="14.25" customHeight="1" thickBot="1" x14ac:dyDescent="0.4">
      <c r="B5" s="192" t="s">
        <v>109</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tr">
        <f>'Operating Metrics - Old_View'!$T$5</f>
        <v>2Q24</v>
      </c>
      <c r="U5" s="189" t="str">
        <f>'Operating Metrics - Old_View'!U5</f>
        <v>3Q24</v>
      </c>
      <c r="V5" s="189" t="s">
        <v>22</v>
      </c>
      <c r="W5" s="189" t="str">
        <f>'Operating Metrics - Old_View'!W5</f>
        <v>1Q25</v>
      </c>
      <c r="X5" s="189" t="s">
        <v>493</v>
      </c>
      <c r="Z5" s="189">
        <v>2020</v>
      </c>
      <c r="AA5" s="189">
        <v>2021</v>
      </c>
      <c r="AB5" s="189">
        <v>2022</v>
      </c>
      <c r="AC5" s="189">
        <v>2023</v>
      </c>
      <c r="AD5" s="189">
        <v>2024</v>
      </c>
    </row>
    <row r="6" spans="1:30" ht="14.25" customHeight="1" x14ac:dyDescent="0.35">
      <c r="A6" s="3"/>
      <c r="B6" s="39" t="s">
        <v>183</v>
      </c>
      <c r="C6" s="40">
        <v>14468.128350498737</v>
      </c>
      <c r="D6" s="40">
        <v>16343.758251796176</v>
      </c>
      <c r="E6" s="40">
        <v>18624.563733684568</v>
      </c>
      <c r="F6" s="40">
        <v>22324.321383538361</v>
      </c>
      <c r="G6" s="40">
        <v>21976.496947</v>
      </c>
      <c r="H6" s="40">
        <v>24186.03798611509</v>
      </c>
      <c r="I6" s="40">
        <v>26960.099372845543</v>
      </c>
      <c r="J6" s="40">
        <v>31075.803844019996</v>
      </c>
      <c r="K6" s="40">
        <v>33807.506776169976</v>
      </c>
      <c r="L6" s="40">
        <v>39195.790434403818</v>
      </c>
      <c r="M6" s="40">
        <v>43275.88295527405</v>
      </c>
      <c r="N6" s="40">
        <v>45329.319215361204</v>
      </c>
      <c r="O6" s="40">
        <v>43191.629371546063</v>
      </c>
      <c r="P6" s="40">
        <v>42836.29954902485</v>
      </c>
      <c r="Q6" s="40">
        <v>47326.986295500006</v>
      </c>
      <c r="R6" s="40">
        <v>55108.093493443288</v>
      </c>
      <c r="S6" s="40">
        <v>59165.056400000001</v>
      </c>
      <c r="T6" s="40">
        <v>66478.144606331174</v>
      </c>
      <c r="U6" s="40">
        <v>67219.479551035081</v>
      </c>
      <c r="V6" s="40">
        <v>72900.616999999998</v>
      </c>
      <c r="W6" s="40">
        <v>69137.847062164627</v>
      </c>
      <c r="X6" s="40">
        <v>71193.206000000006</v>
      </c>
      <c r="Z6" s="40">
        <v>22324.321383538361</v>
      </c>
      <c r="AA6" s="40">
        <v>31075.803844019996</v>
      </c>
      <c r="AB6" s="40">
        <v>45329.319215361204</v>
      </c>
      <c r="AC6" s="40">
        <v>55108.093493443288</v>
      </c>
      <c r="AD6" s="40">
        <v>72900.616999999998</v>
      </c>
    </row>
    <row r="7" spans="1:30" ht="14.25" customHeight="1" x14ac:dyDescent="0.35">
      <c r="A7" s="3"/>
      <c r="B7" s="88" t="s">
        <v>184</v>
      </c>
      <c r="C7" s="89">
        <v>13146.372297344158</v>
      </c>
      <c r="D7" s="89">
        <v>14604.749080899315</v>
      </c>
      <c r="E7" s="89">
        <v>16383.246409921636</v>
      </c>
      <c r="F7" s="89">
        <v>19247.08065711306</v>
      </c>
      <c r="G7" s="89">
        <v>18643.261525999998</v>
      </c>
      <c r="H7" s="89">
        <v>20627.070022281234</v>
      </c>
      <c r="I7" s="89">
        <v>23007.457577543672</v>
      </c>
      <c r="J7" s="89">
        <v>26719.335145999998</v>
      </c>
      <c r="K7" s="89">
        <v>28871.719643519878</v>
      </c>
      <c r="L7" s="89">
        <v>33955.021622689252</v>
      </c>
      <c r="M7" s="89">
        <v>37709.291145777126</v>
      </c>
      <c r="N7" s="89">
        <v>39767.075050005398</v>
      </c>
      <c r="O7" s="89">
        <v>37507.593658836151</v>
      </c>
      <c r="P7" s="89">
        <v>36897.780505084746</v>
      </c>
      <c r="Q7" s="89">
        <v>41164.804656500004</v>
      </c>
      <c r="R7" s="89">
        <v>48728.827830745126</v>
      </c>
      <c r="S7" s="89">
        <v>52397.905599999998</v>
      </c>
      <c r="T7" s="89">
        <v>58983.20244576993</v>
      </c>
      <c r="U7" s="89">
        <v>59379.850143967269</v>
      </c>
      <c r="V7" s="89">
        <v>64620.914600000004</v>
      </c>
      <c r="W7" s="89">
        <v>60426.715852555615</v>
      </c>
      <c r="X7" s="89">
        <v>62214.69</v>
      </c>
      <c r="Z7" s="89">
        <v>19247.08065711306</v>
      </c>
      <c r="AA7" s="89">
        <v>26719.335145999998</v>
      </c>
      <c r="AB7" s="89">
        <v>39767.075050005398</v>
      </c>
      <c r="AC7" s="89">
        <v>48728.827830745126</v>
      </c>
      <c r="AD7" s="89">
        <v>64620.914600000004</v>
      </c>
    </row>
    <row r="8" spans="1:30" ht="14.25" customHeight="1" outlineLevel="1" x14ac:dyDescent="0.35">
      <c r="A8" s="3"/>
      <c r="B8" s="32" t="s">
        <v>185</v>
      </c>
      <c r="C8" s="38">
        <v>3043.1531313390319</v>
      </c>
      <c r="D8" s="38">
        <v>2665.3166686498071</v>
      </c>
      <c r="E8" s="38">
        <v>1595.1477523981162</v>
      </c>
      <c r="F8" s="38">
        <v>1640.0647823756271</v>
      </c>
      <c r="G8" s="38">
        <v>1260.2781649999999</v>
      </c>
      <c r="H8" s="38">
        <v>1195.5440782197882</v>
      </c>
      <c r="I8" s="38">
        <v>1122.3877331605786</v>
      </c>
      <c r="J8" s="38">
        <v>1794.36167</v>
      </c>
      <c r="K8" s="38">
        <v>1483.0922275436819</v>
      </c>
      <c r="L8" s="38">
        <v>1191.9857783086084</v>
      </c>
      <c r="M8" s="38">
        <v>1404.5188520904248</v>
      </c>
      <c r="N8" s="38">
        <v>1829.0969444130237</v>
      </c>
      <c r="O8" s="38">
        <v>1816.1644145744222</v>
      </c>
      <c r="P8" s="38">
        <v>1724.081317753338</v>
      </c>
      <c r="Q8" s="38">
        <v>1974.6180494999999</v>
      </c>
      <c r="R8" s="38">
        <v>2899.0604780707549</v>
      </c>
      <c r="S8" s="38">
        <v>4366.3590000000004</v>
      </c>
      <c r="T8" s="38">
        <v>1374.2179925954333</v>
      </c>
      <c r="U8" s="38">
        <v>720.10589696999989</v>
      </c>
      <c r="V8" s="38">
        <v>927.66800000000001</v>
      </c>
      <c r="W8" s="38">
        <v>954.12338679873517</v>
      </c>
      <c r="X8" s="38">
        <v>1128.2070000000001</v>
      </c>
      <c r="Z8" s="38">
        <v>1640.0647823756271</v>
      </c>
      <c r="AA8" s="38">
        <v>1794.36167</v>
      </c>
      <c r="AB8" s="38">
        <v>1829.0969444130237</v>
      </c>
      <c r="AC8" s="38">
        <v>2899.0604780707549</v>
      </c>
      <c r="AD8" s="38">
        <v>927.66800000000001</v>
      </c>
    </row>
    <row r="9" spans="1:30" ht="14.25" customHeight="1" outlineLevel="1" x14ac:dyDescent="0.35">
      <c r="A9" s="3"/>
      <c r="B9" s="32" t="s">
        <v>186</v>
      </c>
      <c r="C9" s="38">
        <v>499.78202888999994</v>
      </c>
      <c r="D9" s="38">
        <v>658.04990407000003</v>
      </c>
      <c r="E9" s="38">
        <v>863.31146039999987</v>
      </c>
      <c r="F9" s="38">
        <v>979.83692366999992</v>
      </c>
      <c r="G9" s="38">
        <v>965.1119030000001</v>
      </c>
      <c r="H9" s="38">
        <v>1009.98373226</v>
      </c>
      <c r="I9" s="38">
        <v>1000.8770346399999</v>
      </c>
      <c r="J9" s="38">
        <v>782.64705400000003</v>
      </c>
      <c r="K9" s="38">
        <v>1131.7879108999998</v>
      </c>
      <c r="L9" s="38">
        <v>1046.55760455</v>
      </c>
      <c r="M9" s="38">
        <v>1073.81639931</v>
      </c>
      <c r="N9" s="38">
        <v>1103.29925239</v>
      </c>
      <c r="O9" s="38">
        <v>726</v>
      </c>
      <c r="P9" s="38">
        <v>872</v>
      </c>
      <c r="Q9" s="38">
        <v>979</v>
      </c>
      <c r="R9" s="38">
        <v>782.61199999999997</v>
      </c>
      <c r="S9" s="38">
        <v>1898</v>
      </c>
      <c r="T9" s="38">
        <v>1237</v>
      </c>
      <c r="U9" s="38">
        <v>664</v>
      </c>
      <c r="V9" s="38">
        <v>487.92430000000002</v>
      </c>
      <c r="W9" s="38">
        <v>658.36454173000004</v>
      </c>
      <c r="X9" s="38">
        <v>448.012</v>
      </c>
      <c r="Z9" s="38">
        <v>979.83692366999992</v>
      </c>
      <c r="AA9" s="38">
        <v>782.64705400000003</v>
      </c>
      <c r="AB9" s="38">
        <v>1103.29925239</v>
      </c>
      <c r="AC9" s="38">
        <v>782.61199999999997</v>
      </c>
      <c r="AD9" s="38">
        <v>487.92430000000002</v>
      </c>
    </row>
    <row r="10" spans="1:30" ht="14.25" customHeight="1" outlineLevel="1" x14ac:dyDescent="0.35">
      <c r="A10" s="3"/>
      <c r="B10" s="32" t="s">
        <v>187</v>
      </c>
      <c r="C10" s="38">
        <v>0</v>
      </c>
      <c r="D10" s="38">
        <v>0</v>
      </c>
      <c r="E10" s="38">
        <v>0</v>
      </c>
      <c r="F10" s="38">
        <v>0</v>
      </c>
      <c r="G10" s="38">
        <v>0</v>
      </c>
      <c r="H10" s="38">
        <v>0</v>
      </c>
      <c r="I10" s="38">
        <v>0</v>
      </c>
      <c r="J10" s="38">
        <v>0</v>
      </c>
      <c r="K10" s="38">
        <v>0</v>
      </c>
      <c r="L10" s="38">
        <v>0</v>
      </c>
      <c r="M10" s="38">
        <v>0</v>
      </c>
      <c r="N10" s="38">
        <v>0</v>
      </c>
      <c r="O10" s="38">
        <v>1063</v>
      </c>
      <c r="P10" s="38">
        <v>1122</v>
      </c>
      <c r="Q10" s="38">
        <v>1078</v>
      </c>
      <c r="R10" s="38">
        <v>2525.971</v>
      </c>
      <c r="S10" s="38">
        <v>2501</v>
      </c>
      <c r="T10" s="38">
        <v>3607</v>
      </c>
      <c r="U10" s="38">
        <v>4174</v>
      </c>
      <c r="V10" s="38">
        <v>4761.4038</v>
      </c>
      <c r="W10" s="38">
        <v>4027.5258330599995</v>
      </c>
      <c r="X10" s="38">
        <v>4426.0259999999998</v>
      </c>
      <c r="Z10" s="38"/>
      <c r="AA10" s="38"/>
      <c r="AB10" s="38"/>
      <c r="AC10" s="38">
        <v>2525.971</v>
      </c>
      <c r="AD10" s="38">
        <v>4761.4038</v>
      </c>
    </row>
    <row r="11" spans="1:30" ht="14.25" customHeight="1" outlineLevel="1" x14ac:dyDescent="0.35">
      <c r="A11" s="3"/>
      <c r="B11" s="32" t="s">
        <v>145</v>
      </c>
      <c r="C11" s="38">
        <v>9268.5711396540537</v>
      </c>
      <c r="D11" s="38">
        <v>10890.967549353336</v>
      </c>
      <c r="E11" s="38">
        <v>13538.587123868521</v>
      </c>
      <c r="F11" s="38">
        <v>16042.970360507807</v>
      </c>
      <c r="G11" s="38">
        <v>15824.049702</v>
      </c>
      <c r="H11" s="38">
        <v>17644.092843892748</v>
      </c>
      <c r="I11" s="38">
        <v>20122.691861239873</v>
      </c>
      <c r="J11" s="38">
        <v>23428.522396</v>
      </c>
      <c r="K11" s="38">
        <v>25528.928501482093</v>
      </c>
      <c r="L11" s="38">
        <v>31024.817329686295</v>
      </c>
      <c r="M11" s="38">
        <v>34569.772123180599</v>
      </c>
      <c r="N11" s="38">
        <v>36248.588881233576</v>
      </c>
      <c r="O11" s="38">
        <v>34002.110758020783</v>
      </c>
      <c r="P11" s="38">
        <v>33440.463231144182</v>
      </c>
      <c r="Q11" s="38">
        <v>37521.292117999998</v>
      </c>
      <c r="R11" s="38">
        <v>41757.204145917618</v>
      </c>
      <c r="S11" s="38">
        <v>42856.5674</v>
      </c>
      <c r="T11" s="38">
        <v>52051.02586440408</v>
      </c>
      <c r="U11" s="38">
        <v>52975.902061020839</v>
      </c>
      <c r="V11" s="38">
        <v>57628.537700000001</v>
      </c>
      <c r="W11" s="38">
        <v>54014.588646493896</v>
      </c>
      <c r="X11" s="38">
        <v>55643.578999999998</v>
      </c>
      <c r="Z11" s="38">
        <v>16042.970360507807</v>
      </c>
      <c r="AA11" s="38">
        <v>23428.522396</v>
      </c>
      <c r="AB11" s="38">
        <v>36248.588881233576</v>
      </c>
      <c r="AC11" s="38">
        <v>41757.204145917618</v>
      </c>
      <c r="AD11" s="38">
        <v>57628.537700000001</v>
      </c>
    </row>
    <row r="12" spans="1:30" ht="14.25" customHeight="1" outlineLevel="1" x14ac:dyDescent="0.35">
      <c r="A12" s="3"/>
      <c r="B12" s="32" t="s">
        <v>188</v>
      </c>
      <c r="C12" s="38">
        <v>0</v>
      </c>
      <c r="D12" s="38">
        <v>0</v>
      </c>
      <c r="E12" s="38">
        <v>0</v>
      </c>
      <c r="F12" s="38">
        <v>0</v>
      </c>
      <c r="G12" s="38">
        <v>0</v>
      </c>
      <c r="H12" s="38">
        <v>0</v>
      </c>
      <c r="I12" s="38">
        <v>0</v>
      </c>
      <c r="J12" s="38">
        <v>0</v>
      </c>
      <c r="K12" s="38">
        <v>1.3293851600000002</v>
      </c>
      <c r="L12" s="38">
        <v>4.4285869900000003</v>
      </c>
      <c r="M12" s="38">
        <v>0</v>
      </c>
      <c r="N12" s="38">
        <v>0</v>
      </c>
      <c r="O12" s="38">
        <v>0</v>
      </c>
      <c r="P12" s="38">
        <v>0</v>
      </c>
      <c r="Q12" s="38">
        <v>0</v>
      </c>
      <c r="R12" s="38">
        <v>0</v>
      </c>
      <c r="S12" s="38">
        <v>0</v>
      </c>
      <c r="T12" s="38">
        <v>20.934288370000001</v>
      </c>
      <c r="U12" s="38">
        <v>18.421238129999999</v>
      </c>
      <c r="V12" s="38">
        <v>58.470300000000002</v>
      </c>
      <c r="W12" s="38">
        <v>0.80945343999999764</v>
      </c>
      <c r="X12" s="38">
        <v>0</v>
      </c>
      <c r="Z12" s="38">
        <v>0</v>
      </c>
      <c r="AA12" s="38">
        <v>0</v>
      </c>
      <c r="AB12" s="38">
        <v>0</v>
      </c>
      <c r="AC12" s="38">
        <v>0</v>
      </c>
      <c r="AD12" s="38">
        <v>58.470300000000002</v>
      </c>
    </row>
    <row r="13" spans="1:30" ht="14.25" customHeight="1" outlineLevel="1" x14ac:dyDescent="0.35">
      <c r="A13" s="3"/>
      <c r="B13" s="32" t="s">
        <v>189</v>
      </c>
      <c r="C13" s="38">
        <v>0</v>
      </c>
      <c r="D13" s="38">
        <v>0</v>
      </c>
      <c r="E13" s="38">
        <v>0</v>
      </c>
      <c r="F13" s="38">
        <v>0</v>
      </c>
      <c r="G13" s="38">
        <v>0</v>
      </c>
      <c r="H13" s="38">
        <v>0</v>
      </c>
      <c r="I13" s="38">
        <v>0</v>
      </c>
      <c r="J13" s="38">
        <v>0</v>
      </c>
      <c r="K13" s="38">
        <v>0</v>
      </c>
      <c r="L13" s="38">
        <v>0</v>
      </c>
      <c r="M13" s="38">
        <v>0</v>
      </c>
      <c r="N13" s="38">
        <v>0</v>
      </c>
      <c r="O13" s="38">
        <v>0</v>
      </c>
      <c r="P13" s="38">
        <v>2.1643866599999964</v>
      </c>
      <c r="Q13" s="38">
        <v>4.3994660000000003</v>
      </c>
      <c r="R13" s="38">
        <v>4.3066472999999972</v>
      </c>
      <c r="S13" s="38">
        <v>4.1701999999999995</v>
      </c>
      <c r="T13" s="38">
        <v>5.7402080400000068</v>
      </c>
      <c r="U13" s="38">
        <v>7.4699749399999975</v>
      </c>
      <c r="V13" s="38">
        <v>9.0822000000000003</v>
      </c>
      <c r="W13" s="38">
        <v>10.865217419999997</v>
      </c>
      <c r="X13" s="38">
        <v>10.597</v>
      </c>
      <c r="Z13" s="38">
        <v>0</v>
      </c>
      <c r="AA13" s="38">
        <v>0</v>
      </c>
      <c r="AB13" s="38">
        <v>0</v>
      </c>
      <c r="AC13" s="38">
        <v>4.3066472999999972</v>
      </c>
      <c r="AD13" s="38">
        <v>9.0822000000000003</v>
      </c>
    </row>
    <row r="14" spans="1:30" ht="14.25" customHeight="1" outlineLevel="1" x14ac:dyDescent="0.35">
      <c r="A14" s="3"/>
      <c r="B14" s="32" t="s">
        <v>146</v>
      </c>
      <c r="C14" s="38">
        <v>70.210950660000023</v>
      </c>
      <c r="D14" s="38">
        <v>73.624182939999997</v>
      </c>
      <c r="E14" s="38">
        <v>34.890367929999996</v>
      </c>
      <c r="F14" s="38">
        <v>30.428736099999998</v>
      </c>
      <c r="G14" s="38">
        <v>53.045862999999997</v>
      </c>
      <c r="H14" s="38">
        <v>72.97058242</v>
      </c>
      <c r="I14" s="38">
        <v>86.214355749999996</v>
      </c>
      <c r="J14" s="38">
        <v>49.537286000000002</v>
      </c>
      <c r="K14" s="38">
        <v>49.273927599999993</v>
      </c>
      <c r="L14" s="38">
        <v>47.890113710000008</v>
      </c>
      <c r="M14" s="38">
        <v>52.062380510000004</v>
      </c>
      <c r="N14" s="38">
        <v>13.280499589999998</v>
      </c>
      <c r="O14" s="38">
        <v>21.613291810000003</v>
      </c>
      <c r="P14" s="38">
        <v>32.789881399999999</v>
      </c>
      <c r="Q14" s="38">
        <v>26.195367999999998</v>
      </c>
      <c r="R14" s="38">
        <v>33.536709710000004</v>
      </c>
      <c r="S14" s="38">
        <v>29.735799999999998</v>
      </c>
      <c r="T14" s="38">
        <v>30.209866989999998</v>
      </c>
      <c r="U14" s="38">
        <v>29.741155939999995</v>
      </c>
      <c r="V14" s="38">
        <v>1.6420999999999999</v>
      </c>
      <c r="W14" s="38">
        <v>0.86922253000000116</v>
      </c>
      <c r="X14" s="38">
        <v>0.95699999999999996</v>
      </c>
      <c r="Z14" s="38">
        <v>30.428736099999998</v>
      </c>
      <c r="AA14" s="38">
        <v>49.537286000000002</v>
      </c>
      <c r="AB14" s="38">
        <v>13.280499589999998</v>
      </c>
      <c r="AC14" s="38">
        <v>33.536709710000004</v>
      </c>
      <c r="AD14" s="38">
        <v>1.6420999999999999</v>
      </c>
    </row>
    <row r="15" spans="1:30" ht="14.25" customHeight="1" outlineLevel="1" x14ac:dyDescent="0.35">
      <c r="A15" s="3"/>
      <c r="B15" s="32" t="s">
        <v>147</v>
      </c>
      <c r="C15" s="38">
        <v>193.32097363000003</v>
      </c>
      <c r="D15" s="38">
        <v>254.09851791</v>
      </c>
      <c r="E15" s="38">
        <v>285.08604807</v>
      </c>
      <c r="F15" s="38">
        <v>388.97529052000004</v>
      </c>
      <c r="G15" s="38">
        <v>383.23054500000001</v>
      </c>
      <c r="H15" s="38">
        <v>565.05407232000005</v>
      </c>
      <c r="I15" s="38">
        <v>545.68223493042012</v>
      </c>
      <c r="J15" s="38">
        <v>469.49048900000003</v>
      </c>
      <c r="K15" s="38">
        <v>434.38426425709997</v>
      </c>
      <c r="L15" s="38">
        <v>440.23127755438804</v>
      </c>
      <c r="M15" s="38">
        <v>460.24847111805678</v>
      </c>
      <c r="N15" s="38">
        <v>410.80070440190201</v>
      </c>
      <c r="O15" s="38">
        <v>448.28288716095113</v>
      </c>
      <c r="P15" s="38">
        <v>421.45528373231889</v>
      </c>
      <c r="Q15" s="38">
        <v>379.141457</v>
      </c>
      <c r="R15" s="38">
        <v>563.30498520368224</v>
      </c>
      <c r="S15" s="38">
        <v>584.1662</v>
      </c>
      <c r="T15" s="38">
        <v>466.10403938585688</v>
      </c>
      <c r="U15" s="38">
        <v>594.11214387000018</v>
      </c>
      <c r="V15" s="38">
        <v>551.72199999999998</v>
      </c>
      <c r="W15" s="38">
        <v>545.47634704432414</v>
      </c>
      <c r="X15" s="38">
        <v>364.887</v>
      </c>
      <c r="Z15" s="38">
        <v>388.97529052000004</v>
      </c>
      <c r="AA15" s="38">
        <v>469.49048900000003</v>
      </c>
      <c r="AB15" s="38">
        <v>410.80070440190201</v>
      </c>
      <c r="AC15" s="38">
        <v>563.30498520368224</v>
      </c>
      <c r="AD15" s="38">
        <v>551.72199999999998</v>
      </c>
    </row>
    <row r="16" spans="1:30" ht="14.25" customHeight="1" outlineLevel="1" x14ac:dyDescent="0.35">
      <c r="A16" s="3"/>
      <c r="B16" s="32" t="s">
        <v>148</v>
      </c>
      <c r="C16" s="38">
        <v>71.334073171071992</v>
      </c>
      <c r="D16" s="38">
        <v>62.692257976170005</v>
      </c>
      <c r="E16" s="38">
        <v>66.223657255000006</v>
      </c>
      <c r="F16" s="38">
        <v>164.80456393962498</v>
      </c>
      <c r="G16" s="38">
        <v>157.54534799999999</v>
      </c>
      <c r="H16" s="38">
        <v>139.42471316870004</v>
      </c>
      <c r="I16" s="38">
        <v>129.60435782280007</v>
      </c>
      <c r="J16" s="38">
        <v>194.776251</v>
      </c>
      <c r="K16" s="38">
        <v>242.92342657700698</v>
      </c>
      <c r="L16" s="38">
        <v>199.11093188995801</v>
      </c>
      <c r="M16" s="38">
        <v>148.87291956805001</v>
      </c>
      <c r="N16" s="38">
        <v>162.00876797689497</v>
      </c>
      <c r="O16" s="38">
        <v>155.77199999999999</v>
      </c>
      <c r="P16" s="38">
        <v>154.61085242490603</v>
      </c>
      <c r="Q16" s="38">
        <v>180.83901</v>
      </c>
      <c r="R16" s="38">
        <v>162.83236380305999</v>
      </c>
      <c r="S16" s="38">
        <v>158.38290000000001</v>
      </c>
      <c r="T16" s="38">
        <v>191.09606187456006</v>
      </c>
      <c r="U16" s="38">
        <v>195.77090155643333</v>
      </c>
      <c r="V16" s="38">
        <v>194.46420000000001</v>
      </c>
      <c r="W16" s="38">
        <v>214.09320403865928</v>
      </c>
      <c r="X16" s="38">
        <v>192.42500000000001</v>
      </c>
      <c r="Z16" s="38">
        <v>164.80456393962498</v>
      </c>
      <c r="AA16" s="38">
        <v>194.776251</v>
      </c>
      <c r="AB16" s="38">
        <v>162.00876797689497</v>
      </c>
      <c r="AC16" s="38">
        <v>162.83236380305999</v>
      </c>
      <c r="AD16" s="38">
        <v>194.46420000000001</v>
      </c>
    </row>
    <row r="17" spans="1:30" ht="14.25" customHeight="1" x14ac:dyDescent="0.35">
      <c r="A17" s="3"/>
      <c r="B17" s="88" t="s">
        <v>190</v>
      </c>
      <c r="C17" s="89">
        <v>1321.7560531545778</v>
      </c>
      <c r="D17" s="89">
        <v>1739.0091708968612</v>
      </c>
      <c r="E17" s="89">
        <v>2241.3173237629317</v>
      </c>
      <c r="F17" s="89">
        <v>3077.2407264253025</v>
      </c>
      <c r="G17" s="89">
        <v>3333.2354210000003</v>
      </c>
      <c r="H17" s="89">
        <v>3558.9679638338575</v>
      </c>
      <c r="I17" s="89">
        <v>3952.6417953018699</v>
      </c>
      <c r="J17" s="89">
        <v>4356.4686980199995</v>
      </c>
      <c r="K17" s="89">
        <v>4935.7871326500972</v>
      </c>
      <c r="L17" s="89">
        <v>5240.7688117145672</v>
      </c>
      <c r="M17" s="89">
        <v>5566.5918094969238</v>
      </c>
      <c r="N17" s="89">
        <v>5562.2441653558053</v>
      </c>
      <c r="O17" s="89">
        <v>5684.0357127099132</v>
      </c>
      <c r="P17" s="89">
        <v>5938.5190439401031</v>
      </c>
      <c r="Q17" s="89">
        <v>6162.1816390000004</v>
      </c>
      <c r="R17" s="89">
        <v>6379.2650000000003</v>
      </c>
      <c r="S17" s="89">
        <v>6767.1507999999994</v>
      </c>
      <c r="T17" s="89">
        <v>7494.9421605612397</v>
      </c>
      <c r="U17" s="89">
        <v>7839.6294070678123</v>
      </c>
      <c r="V17" s="89">
        <v>8279.7019999999993</v>
      </c>
      <c r="W17" s="89">
        <v>8711.1312096090078</v>
      </c>
      <c r="X17" s="89">
        <v>8978.5159999999996</v>
      </c>
      <c r="Z17" s="89">
        <v>3077.2407264253025</v>
      </c>
      <c r="AA17" s="89">
        <v>4356.4686980199995</v>
      </c>
      <c r="AB17" s="89">
        <v>5562.2441653558053</v>
      </c>
      <c r="AC17" s="89">
        <v>6379.2650000000003</v>
      </c>
      <c r="AD17" s="89">
        <v>8279.7019999999993</v>
      </c>
    </row>
    <row r="18" spans="1:30" ht="14.25" customHeight="1" outlineLevel="1" x14ac:dyDescent="0.35">
      <c r="A18" s="3"/>
      <c r="B18" s="32" t="s">
        <v>191</v>
      </c>
      <c r="C18" s="38">
        <v>6.7512087899999615</v>
      </c>
      <c r="D18" s="38">
        <v>5.9803680299999114</v>
      </c>
      <c r="E18" s="38">
        <v>6.800120560000062</v>
      </c>
      <c r="F18" s="38">
        <v>7.4489868600000735</v>
      </c>
      <c r="G18" s="38">
        <v>37.698647999999999</v>
      </c>
      <c r="H18" s="38">
        <v>38.254655910000025</v>
      </c>
      <c r="I18" s="38">
        <v>38.412827780000029</v>
      </c>
      <c r="J18" s="38">
        <v>40.224169019999977</v>
      </c>
      <c r="K18" s="38">
        <v>41.147523509999992</v>
      </c>
      <c r="L18" s="38">
        <v>41.02468243000007</v>
      </c>
      <c r="M18" s="38">
        <v>44.062021489999893</v>
      </c>
      <c r="N18" s="38">
        <v>44.858467579999981</v>
      </c>
      <c r="O18" s="38">
        <v>44.21034703000003</v>
      </c>
      <c r="P18" s="38">
        <v>49.55914123000008</v>
      </c>
      <c r="Q18" s="38">
        <v>49.634442</v>
      </c>
      <c r="R18" s="38">
        <v>50.99232905000013</v>
      </c>
      <c r="S18" s="38">
        <v>56.9268</v>
      </c>
      <c r="T18" s="38">
        <v>61.334418600000085</v>
      </c>
      <c r="U18" s="38">
        <v>69.520142489999898</v>
      </c>
      <c r="V18" s="38">
        <v>79.591200000000001</v>
      </c>
      <c r="W18" s="38">
        <v>81.035211819999887</v>
      </c>
      <c r="X18" s="38">
        <v>90.204999999999998</v>
      </c>
      <c r="Z18" s="38">
        <v>7.4489868600000735</v>
      </c>
      <c r="AA18" s="38">
        <v>40.224169019999977</v>
      </c>
      <c r="AB18" s="38">
        <v>44.858467579999981</v>
      </c>
      <c r="AC18" s="38">
        <v>50.99232905000013</v>
      </c>
      <c r="AD18" s="38">
        <v>79.591200000000001</v>
      </c>
    </row>
    <row r="19" spans="1:30" ht="14.25" customHeight="1" outlineLevel="1" x14ac:dyDescent="0.35">
      <c r="A19" s="3"/>
      <c r="B19" s="32" t="s">
        <v>145</v>
      </c>
      <c r="C19" s="38">
        <v>23.72969766594445</v>
      </c>
      <c r="D19" s="38">
        <v>17.897456136664147</v>
      </c>
      <c r="E19" s="38">
        <v>27.846506951484251</v>
      </c>
      <c r="F19" s="38">
        <v>33.569947052191715</v>
      </c>
      <c r="G19" s="38">
        <v>44.451402000000002</v>
      </c>
      <c r="H19" s="38">
        <v>53.18669447726171</v>
      </c>
      <c r="I19" s="38">
        <v>179.85548677013534</v>
      </c>
      <c r="J19" s="38">
        <v>228.879874</v>
      </c>
      <c r="K19" s="38">
        <v>390.42772765291022</v>
      </c>
      <c r="L19" s="38">
        <v>511.56620592083993</v>
      </c>
      <c r="M19" s="38">
        <v>731.36069034143895</v>
      </c>
      <c r="N19" s="38">
        <v>745.54564903728817</v>
      </c>
      <c r="O19" s="38">
        <v>803.08043058370447</v>
      </c>
      <c r="P19" s="38">
        <v>918.07417212516714</v>
      </c>
      <c r="Q19" s="38">
        <v>1000.115247</v>
      </c>
      <c r="R19" s="38">
        <v>1143.7789711440187</v>
      </c>
      <c r="S19" s="38">
        <v>1391.1030000000001</v>
      </c>
      <c r="T19" s="38">
        <v>1699.5024823349729</v>
      </c>
      <c r="U19" s="38">
        <v>2011.5799341191459</v>
      </c>
      <c r="V19" s="38">
        <v>2174.7354999999998</v>
      </c>
      <c r="W19" s="38">
        <v>2277.360588969007</v>
      </c>
      <c r="X19" s="38">
        <v>2350.59</v>
      </c>
      <c r="Z19" s="38">
        <v>33.569947052191715</v>
      </c>
      <c r="AA19" s="38">
        <v>228.879874</v>
      </c>
      <c r="AB19" s="38">
        <v>745.54564903728817</v>
      </c>
      <c r="AC19" s="38">
        <v>1143.7789711440187</v>
      </c>
      <c r="AD19" s="38">
        <v>2174.7354999999998</v>
      </c>
    </row>
    <row r="20" spans="1:30" ht="14.25" customHeight="1" outlineLevel="1" x14ac:dyDescent="0.35">
      <c r="A20" s="3"/>
      <c r="B20" s="32" t="s">
        <v>192</v>
      </c>
      <c r="C20" s="38">
        <v>0</v>
      </c>
      <c r="D20" s="38">
        <v>0</v>
      </c>
      <c r="E20" s="38">
        <v>0</v>
      </c>
      <c r="F20" s="38">
        <v>0</v>
      </c>
      <c r="G20" s="38">
        <v>0</v>
      </c>
      <c r="H20" s="38">
        <v>0</v>
      </c>
      <c r="I20" s="38">
        <v>0</v>
      </c>
      <c r="J20" s="38">
        <v>0</v>
      </c>
      <c r="K20" s="38">
        <v>0</v>
      </c>
      <c r="L20" s="38">
        <v>0</v>
      </c>
      <c r="M20" s="38">
        <v>0</v>
      </c>
      <c r="N20" s="38">
        <v>0</v>
      </c>
      <c r="O20" s="38">
        <v>0</v>
      </c>
      <c r="P20" s="38">
        <v>0</v>
      </c>
      <c r="Q20" s="38">
        <v>0</v>
      </c>
      <c r="R20" s="38">
        <v>0</v>
      </c>
      <c r="S20" s="38">
        <v>0</v>
      </c>
      <c r="T20" s="38">
        <v>200.63701791999998</v>
      </c>
      <c r="U20" s="38">
        <v>123.31765527</v>
      </c>
      <c r="V20" s="38">
        <v>318.19729999999998</v>
      </c>
      <c r="W20" s="38">
        <v>497.63072516000005</v>
      </c>
      <c r="X20" s="38">
        <v>679.36400000000003</v>
      </c>
      <c r="Z20" s="38">
        <v>0</v>
      </c>
      <c r="AA20" s="38">
        <v>0</v>
      </c>
      <c r="AB20" s="38">
        <v>0</v>
      </c>
      <c r="AC20" s="38">
        <v>0</v>
      </c>
      <c r="AD20" s="38">
        <v>318.19729999999998</v>
      </c>
    </row>
    <row r="21" spans="1:30" ht="14.25" customHeight="1" outlineLevel="1" x14ac:dyDescent="0.35">
      <c r="A21" s="3"/>
      <c r="B21" s="32" t="s">
        <v>193</v>
      </c>
      <c r="C21" s="38">
        <v>0</v>
      </c>
      <c r="D21" s="38">
        <v>0</v>
      </c>
      <c r="E21" s="38">
        <v>0</v>
      </c>
      <c r="F21" s="38">
        <v>0</v>
      </c>
      <c r="G21" s="38">
        <v>0</v>
      </c>
      <c r="H21" s="38">
        <v>0</v>
      </c>
      <c r="I21" s="38">
        <v>0</v>
      </c>
      <c r="J21" s="38">
        <v>0</v>
      </c>
      <c r="K21" s="38">
        <v>0</v>
      </c>
      <c r="L21" s="38">
        <v>0</v>
      </c>
      <c r="M21" s="38">
        <v>0</v>
      </c>
      <c r="N21" s="38">
        <v>0</v>
      </c>
      <c r="O21" s="38">
        <v>0</v>
      </c>
      <c r="P21" s="38">
        <v>13.393423949999999</v>
      </c>
      <c r="Q21" s="38">
        <v>28.024224999999998</v>
      </c>
      <c r="R21" s="38">
        <v>27.974495929999996</v>
      </c>
      <c r="S21" s="38">
        <v>27.942400000000003</v>
      </c>
      <c r="T21" s="38">
        <v>26.252755139999998</v>
      </c>
      <c r="U21" s="38">
        <v>24.441536680000002</v>
      </c>
      <c r="V21" s="38">
        <v>22.767199999999999</v>
      </c>
      <c r="W21" s="38">
        <v>20.941700000000001</v>
      </c>
      <c r="X21" s="38">
        <v>19.271000000000001</v>
      </c>
      <c r="Z21" s="38"/>
      <c r="AA21" s="38"/>
      <c r="AB21" s="38"/>
      <c r="AC21" s="38">
        <v>27.974495929999996</v>
      </c>
      <c r="AD21" s="38">
        <v>22.767199999999999</v>
      </c>
    </row>
    <row r="22" spans="1:30" ht="14.25" customHeight="1" outlineLevel="1" x14ac:dyDescent="0.35">
      <c r="A22" s="3"/>
      <c r="B22" s="32" t="s">
        <v>194</v>
      </c>
      <c r="C22" s="38">
        <v>10.892582000000001</v>
      </c>
      <c r="D22" s="38">
        <v>10.094791809999998</v>
      </c>
      <c r="E22" s="38">
        <v>12.07508984</v>
      </c>
      <c r="F22" s="38">
        <v>10.29281312</v>
      </c>
      <c r="G22" s="38">
        <v>9.3260009999999998</v>
      </c>
      <c r="H22" s="38">
        <v>8.9513865600000013</v>
      </c>
      <c r="I22" s="38">
        <v>14.094434230000001</v>
      </c>
      <c r="J22" s="38">
        <v>11.709636</v>
      </c>
      <c r="K22" s="38">
        <v>9.8902571899999998</v>
      </c>
      <c r="L22" s="38">
        <v>24.29603706</v>
      </c>
      <c r="M22" s="38">
        <v>15.58868659</v>
      </c>
      <c r="N22" s="38">
        <v>18.506330146390003</v>
      </c>
      <c r="O22" s="38">
        <v>27.164000000000001</v>
      </c>
      <c r="P22" s="38">
        <v>25.072442130000006</v>
      </c>
      <c r="Q22" s="38">
        <v>20.826087000000001</v>
      </c>
      <c r="R22" s="38">
        <v>35.583805962000007</v>
      </c>
      <c r="S22" s="38">
        <v>44.799399999999999</v>
      </c>
      <c r="T22" s="38">
        <v>77.303267768729995</v>
      </c>
      <c r="U22" s="38">
        <v>81.186733286666652</v>
      </c>
      <c r="V22" s="38">
        <v>89.902199999999993</v>
      </c>
      <c r="W22" s="38">
        <v>92.506183659999991</v>
      </c>
      <c r="X22" s="38">
        <v>89.701999999999998</v>
      </c>
      <c r="Z22" s="38">
        <v>10.29281312</v>
      </c>
      <c r="AA22" s="38">
        <v>11.709636</v>
      </c>
      <c r="AB22" s="38">
        <v>18.506330146390003</v>
      </c>
      <c r="AC22" s="38">
        <v>35.583805962000007</v>
      </c>
      <c r="AD22" s="38">
        <v>89.902199999999993</v>
      </c>
    </row>
    <row r="23" spans="1:30" ht="14.25" customHeight="1" outlineLevel="1" x14ac:dyDescent="0.35">
      <c r="A23" s="3"/>
      <c r="B23" s="32" t="s">
        <v>72</v>
      </c>
      <c r="C23" s="38">
        <v>0</v>
      </c>
      <c r="D23" s="38">
        <v>104.24010562000001</v>
      </c>
      <c r="E23" s="38">
        <v>97.610180860000014</v>
      </c>
      <c r="F23" s="38">
        <v>83.296433110000009</v>
      </c>
      <c r="G23" s="38">
        <v>77.225634999999997</v>
      </c>
      <c r="H23" s="38">
        <v>88.082689259999981</v>
      </c>
      <c r="I23" s="38">
        <v>88.749117030000036</v>
      </c>
      <c r="J23" s="38">
        <v>120.761679</v>
      </c>
      <c r="K23" s="38">
        <v>114.30916291358005</v>
      </c>
      <c r="L23" s="38">
        <v>103.13333593880898</v>
      </c>
      <c r="M23" s="38">
        <v>102.95246806625998</v>
      </c>
      <c r="N23" s="38">
        <v>99.411216610000011</v>
      </c>
      <c r="O23" s="38">
        <v>102.10533661000001</v>
      </c>
      <c r="P23" s="38">
        <v>97.749090300000006</v>
      </c>
      <c r="Q23" s="38">
        <v>101.54090600000001</v>
      </c>
      <c r="R23" s="38">
        <v>98.855775750000006</v>
      </c>
      <c r="S23" s="38">
        <v>97.638999999999996</v>
      </c>
      <c r="T23" s="38">
        <v>104.44339114999998</v>
      </c>
      <c r="U23" s="38">
        <v>86.952999409999961</v>
      </c>
      <c r="V23" s="38">
        <v>95.872</v>
      </c>
      <c r="W23" s="38">
        <v>85.103700000000003</v>
      </c>
      <c r="X23" s="38">
        <v>80.358000000000004</v>
      </c>
      <c r="Z23" s="38">
        <v>83.296433110000009</v>
      </c>
      <c r="AA23" s="38">
        <v>120.761679</v>
      </c>
      <c r="AB23" s="38">
        <v>99.411216610000011</v>
      </c>
      <c r="AC23" s="38">
        <v>98.855775750000006</v>
      </c>
      <c r="AD23" s="38">
        <v>95.872</v>
      </c>
    </row>
    <row r="24" spans="1:30" ht="14.25" customHeight="1" outlineLevel="1" x14ac:dyDescent="0.35">
      <c r="A24" s="3"/>
      <c r="B24" s="32" t="s">
        <v>195</v>
      </c>
      <c r="C24" s="38">
        <v>1.4999999997835001</v>
      </c>
      <c r="D24" s="38">
        <v>1.5000000041918999</v>
      </c>
      <c r="E24" s="38">
        <v>1.5000000017171999</v>
      </c>
      <c r="F24" s="38">
        <v>16.399838449425602</v>
      </c>
      <c r="G24" s="38">
        <v>16.400039</v>
      </c>
      <c r="H24" s="38">
        <v>16.155449955305603</v>
      </c>
      <c r="I24" s="38">
        <v>15.956237999999999</v>
      </c>
      <c r="J24" s="38">
        <v>15.665587</v>
      </c>
      <c r="K24" s="38">
        <v>15.511572804432399</v>
      </c>
      <c r="L24" s="38">
        <v>14.728448544269801</v>
      </c>
      <c r="M24" s="38">
        <v>1.5744792338289009</v>
      </c>
      <c r="N24" s="38">
        <v>1.6508855557800002</v>
      </c>
      <c r="O24" s="38">
        <v>1.7625846409823001</v>
      </c>
      <c r="P24" s="38">
        <v>1.8110540412824001</v>
      </c>
      <c r="Q24" s="38">
        <v>0</v>
      </c>
      <c r="R24" s="38">
        <v>0</v>
      </c>
      <c r="S24" s="38">
        <v>0</v>
      </c>
      <c r="T24" s="38">
        <v>0</v>
      </c>
      <c r="U24" s="38">
        <v>0</v>
      </c>
      <c r="V24" s="38">
        <v>0</v>
      </c>
      <c r="W24" s="38">
        <v>0</v>
      </c>
      <c r="X24" s="38">
        <v>0</v>
      </c>
      <c r="Z24" s="38">
        <v>16.399838449425602</v>
      </c>
      <c r="AA24" s="38">
        <v>15.665587</v>
      </c>
      <c r="AB24" s="38">
        <v>1.6508855557800002</v>
      </c>
      <c r="AC24" s="38">
        <v>0</v>
      </c>
      <c r="AD24" s="38">
        <v>0</v>
      </c>
    </row>
    <row r="25" spans="1:30" ht="14.25" customHeight="1" outlineLevel="1" x14ac:dyDescent="0.35">
      <c r="A25" s="3"/>
      <c r="B25" s="32" t="s">
        <v>196</v>
      </c>
      <c r="C25" s="38">
        <v>607.23251313884998</v>
      </c>
      <c r="D25" s="38">
        <v>889.54147739600512</v>
      </c>
      <c r="E25" s="38">
        <v>1275.0718117697302</v>
      </c>
      <c r="F25" s="38">
        <v>1802.6129697136846</v>
      </c>
      <c r="G25" s="38">
        <v>1944.0950220000002</v>
      </c>
      <c r="H25" s="38">
        <v>2047.63033605129</v>
      </c>
      <c r="I25" s="38">
        <v>2148.2946022297347</v>
      </c>
      <c r="J25" s="38">
        <v>2289.0518509999997</v>
      </c>
      <c r="K25" s="38">
        <v>2578.5250164271743</v>
      </c>
      <c r="L25" s="38">
        <v>2646.6479826986483</v>
      </c>
      <c r="M25" s="38">
        <v>2671.7572103033963</v>
      </c>
      <c r="N25" s="38">
        <v>2493.4989673943464</v>
      </c>
      <c r="O25" s="38">
        <v>2437.9842227832264</v>
      </c>
      <c r="P25" s="38">
        <v>2473.7128286016541</v>
      </c>
      <c r="Q25" s="38">
        <v>2478.1137230000004</v>
      </c>
      <c r="R25" s="38">
        <v>2451.0110899226447</v>
      </c>
      <c r="S25" s="38">
        <v>2505.7203999999997</v>
      </c>
      <c r="T25" s="38">
        <v>2593.9678373655374</v>
      </c>
      <c r="U25" s="38">
        <v>2616.1129003700007</v>
      </c>
      <c r="V25" s="38">
        <v>2572.3359</v>
      </c>
      <c r="W25" s="38">
        <v>2659.2044000000001</v>
      </c>
      <c r="X25" s="38">
        <v>2617.15</v>
      </c>
      <c r="Z25" s="38">
        <v>1802.6129697136846</v>
      </c>
      <c r="AA25" s="38">
        <v>2289.0518509999997</v>
      </c>
      <c r="AB25" s="38">
        <v>2493.4989673943464</v>
      </c>
      <c r="AC25" s="38">
        <v>2451.0110899226447</v>
      </c>
      <c r="AD25" s="38">
        <v>2572.3359</v>
      </c>
    </row>
    <row r="26" spans="1:30" ht="14.25" customHeight="1" outlineLevel="1" x14ac:dyDescent="0.35">
      <c r="A26" s="3"/>
      <c r="B26" s="32" t="s">
        <v>197</v>
      </c>
      <c r="C26" s="38">
        <v>671.65005155999995</v>
      </c>
      <c r="D26" s="38">
        <v>709.7549719000001</v>
      </c>
      <c r="E26" s="38">
        <v>820.41361377999999</v>
      </c>
      <c r="F26" s="38">
        <v>1123.6197381200002</v>
      </c>
      <c r="G26" s="38">
        <v>1204.0386740000001</v>
      </c>
      <c r="H26" s="38">
        <v>1306.7067516200004</v>
      </c>
      <c r="I26" s="38">
        <v>1467.2790892620001</v>
      </c>
      <c r="J26" s="38">
        <v>1650.175902</v>
      </c>
      <c r="K26" s="38">
        <v>1785.9758721520004</v>
      </c>
      <c r="L26" s="38">
        <v>1899.372119122</v>
      </c>
      <c r="M26" s="38">
        <v>1999.2962534720002</v>
      </c>
      <c r="N26" s="38">
        <v>2158.7726490320001</v>
      </c>
      <c r="O26" s="38">
        <v>2267.7287910620003</v>
      </c>
      <c r="P26" s="38">
        <v>2359.1468915619998</v>
      </c>
      <c r="Q26" s="38">
        <v>2483.927009</v>
      </c>
      <c r="R26" s="38">
        <v>2571.0691949394995</v>
      </c>
      <c r="S26" s="38">
        <v>2643.0198</v>
      </c>
      <c r="T26" s="38">
        <v>2731.5009902819993</v>
      </c>
      <c r="U26" s="38">
        <v>2826.5175054419997</v>
      </c>
      <c r="V26" s="38">
        <v>2926.3018999999999</v>
      </c>
      <c r="W26" s="38">
        <v>2997.3487</v>
      </c>
      <c r="X26" s="38">
        <v>3051.8739999999998</v>
      </c>
      <c r="Z26" s="38">
        <v>1123.6197381200002</v>
      </c>
      <c r="AA26" s="38">
        <v>1650.175902</v>
      </c>
      <c r="AB26" s="38">
        <v>2158.7726490320001</v>
      </c>
      <c r="AC26" s="38">
        <v>2571.0691949394995</v>
      </c>
      <c r="AD26" s="38">
        <v>2926.3018999999999</v>
      </c>
    </row>
    <row r="27" spans="1:30" ht="14.25" customHeight="1" x14ac:dyDescent="0.35">
      <c r="A27" s="3"/>
      <c r="B27" s="39" t="s">
        <v>198</v>
      </c>
      <c r="C27" s="40">
        <v>14468.131349895963</v>
      </c>
      <c r="D27" s="40">
        <v>16343.758251686198</v>
      </c>
      <c r="E27" s="40">
        <v>18624.563734005045</v>
      </c>
      <c r="F27" s="40">
        <v>22324.321383587849</v>
      </c>
      <c r="G27" s="40">
        <v>21976.496945999999</v>
      </c>
      <c r="H27" s="40">
        <v>24186.037986395339</v>
      </c>
      <c r="I27" s="40">
        <v>26960.098373311062</v>
      </c>
      <c r="J27" s="40">
        <v>31075.805844161339</v>
      </c>
      <c r="K27" s="40">
        <v>33807.506776903654</v>
      </c>
      <c r="L27" s="40">
        <v>39195.790415640869</v>
      </c>
      <c r="M27" s="40">
        <v>43275.882955525871</v>
      </c>
      <c r="N27" s="40">
        <v>45329.345323696398</v>
      </c>
      <c r="O27" s="40">
        <v>43191.627205285738</v>
      </c>
      <c r="P27" s="40">
        <v>42836.299549040028</v>
      </c>
      <c r="Q27" s="40">
        <v>47326.985293999998</v>
      </c>
      <c r="R27" s="40">
        <v>55108.093000000001</v>
      </c>
      <c r="S27" s="40">
        <v>59165.055430599969</v>
      </c>
      <c r="T27" s="40">
        <v>66478.142617223755</v>
      </c>
      <c r="U27" s="40">
        <v>67219.481550303753</v>
      </c>
      <c r="V27" s="40">
        <v>72900.616999999998</v>
      </c>
      <c r="W27" s="40">
        <v>69137.849127776208</v>
      </c>
      <c r="X27" s="40">
        <v>71202.835999999996</v>
      </c>
      <c r="Z27" s="40">
        <v>22324.321383587849</v>
      </c>
      <c r="AA27" s="40">
        <v>31075.805844161339</v>
      </c>
      <c r="AB27" s="40">
        <v>45329.345323696398</v>
      </c>
      <c r="AC27" s="40">
        <v>55108.093000000001</v>
      </c>
      <c r="AD27" s="40">
        <v>72900.616999999998</v>
      </c>
    </row>
    <row r="28" spans="1:30" ht="14.25" customHeight="1" x14ac:dyDescent="0.35">
      <c r="A28" s="3"/>
      <c r="B28" s="88" t="s">
        <v>199</v>
      </c>
      <c r="C28" s="89">
        <v>5297.7670374239324</v>
      </c>
      <c r="D28" s="89">
        <v>6620.5807021818318</v>
      </c>
      <c r="E28" s="89">
        <v>8487.8750957585416</v>
      </c>
      <c r="F28" s="89">
        <v>11574.476502700032</v>
      </c>
      <c r="G28" s="89">
        <v>10714.138042999999</v>
      </c>
      <c r="H28" s="89">
        <v>12568.657432246919</v>
      </c>
      <c r="I28" s="89">
        <v>14820.597255098948</v>
      </c>
      <c r="J28" s="89">
        <v>19002.918690000006</v>
      </c>
      <c r="K28" s="89">
        <v>20926.444410090266</v>
      </c>
      <c r="L28" s="89">
        <v>-221.27221609</v>
      </c>
      <c r="M28" s="89">
        <v>28286.841226211149</v>
      </c>
      <c r="N28" s="89">
        <v>29740.349204556358</v>
      </c>
      <c r="O28" s="89">
        <v>25703.236336313017</v>
      </c>
      <c r="P28" s="89">
        <v>25889.511090923861</v>
      </c>
      <c r="Q28" s="89">
        <v>28665.418527999998</v>
      </c>
      <c r="R28" s="89">
        <v>34431.919014187792</v>
      </c>
      <c r="S28" s="89">
        <v>36515.92803162997</v>
      </c>
      <c r="T28" s="89">
        <v>39856.419973164462</v>
      </c>
      <c r="U28" s="89">
        <v>39167.387271664513</v>
      </c>
      <c r="V28" s="89">
        <v>42744.482000000004</v>
      </c>
      <c r="W28" s="89">
        <v>39647.018212976211</v>
      </c>
      <c r="X28" s="89">
        <v>43716.593999999997</v>
      </c>
      <c r="Z28" s="89">
        <v>11574.476502700032</v>
      </c>
      <c r="AA28" s="89">
        <v>19002.918690000006</v>
      </c>
      <c r="AB28" s="89">
        <v>29740.349204556358</v>
      </c>
      <c r="AC28" s="89">
        <v>34431.919014187792</v>
      </c>
      <c r="AD28" s="89">
        <v>42744.482000000004</v>
      </c>
    </row>
    <row r="29" spans="1:30" ht="14.25" customHeight="1" outlineLevel="1" x14ac:dyDescent="0.35">
      <c r="A29" s="3"/>
      <c r="B29" s="32" t="s">
        <v>151</v>
      </c>
      <c r="C29" s="38">
        <v>4691.2603002299993</v>
      </c>
      <c r="D29" s="38">
        <v>5649.3659551500004</v>
      </c>
      <c r="E29" s="38">
        <v>7660.02527242</v>
      </c>
      <c r="F29" s="38">
        <v>10101.510160279997</v>
      </c>
      <c r="G29" s="38">
        <v>8747.5710669999989</v>
      </c>
      <c r="H29" s="38">
        <v>9817.0368688299986</v>
      </c>
      <c r="I29" s="38">
        <v>11068.114052049998</v>
      </c>
      <c r="J29" s="38">
        <v>13217.149925000002</v>
      </c>
      <c r="K29" s="38">
        <v>13180.32123385802</v>
      </c>
      <c r="L29" s="38">
        <v>14359.488252585905</v>
      </c>
      <c r="M29" s="38">
        <v>14947.304700213619</v>
      </c>
      <c r="N29" s="38">
        <v>17988.138755102151</v>
      </c>
      <c r="O29" s="38">
        <v>8722.5981353315456</v>
      </c>
      <c r="P29" s="38">
        <v>8373.8677997591312</v>
      </c>
      <c r="Q29" s="38">
        <v>9051.9106565499897</v>
      </c>
      <c r="R29" s="38">
        <v>9965.6033393746657</v>
      </c>
      <c r="S29" s="38">
        <v>9858.1931999999997</v>
      </c>
      <c r="T29" s="38">
        <v>10948.729811218844</v>
      </c>
      <c r="U29" s="38">
        <v>10820.191461916987</v>
      </c>
      <c r="V29" s="38">
        <v>11557.6484</v>
      </c>
      <c r="W29" s="38">
        <v>10248.554616502895</v>
      </c>
      <c r="X29" s="38">
        <v>10132.757</v>
      </c>
      <c r="Z29" s="38">
        <v>10101.510160279997</v>
      </c>
      <c r="AA29" s="38">
        <v>13217.149925000002</v>
      </c>
      <c r="AB29" s="38">
        <v>17988.138755102151</v>
      </c>
      <c r="AC29" s="38">
        <v>9965.6033393746657</v>
      </c>
      <c r="AD29" s="38">
        <v>11557.6484</v>
      </c>
    </row>
    <row r="30" spans="1:30" ht="14.25" customHeight="1" outlineLevel="1" x14ac:dyDescent="0.35">
      <c r="A30" s="3"/>
      <c r="B30" s="32" t="s">
        <v>44</v>
      </c>
      <c r="C30" s="38">
        <v>0</v>
      </c>
      <c r="D30" s="38">
        <v>0</v>
      </c>
      <c r="E30" s="38">
        <v>0</v>
      </c>
      <c r="F30" s="38">
        <v>0</v>
      </c>
      <c r="G30" s="38">
        <v>0</v>
      </c>
      <c r="H30" s="38">
        <v>0</v>
      </c>
      <c r="I30" s="38">
        <v>0</v>
      </c>
      <c r="J30" s="38">
        <v>0</v>
      </c>
      <c r="K30" s="38">
        <v>0</v>
      </c>
      <c r="L30" s="38">
        <v>0</v>
      </c>
      <c r="M30" s="38">
        <v>0</v>
      </c>
      <c r="N30" s="38">
        <v>0</v>
      </c>
      <c r="O30" s="38">
        <v>7924.9676889799903</v>
      </c>
      <c r="P30" s="38">
        <v>8257.7695836499897</v>
      </c>
      <c r="Q30" s="38">
        <v>9654.7159334500102</v>
      </c>
      <c r="R30" s="38">
        <v>11382.924000000001</v>
      </c>
      <c r="S30" s="38">
        <v>10854.989677629977</v>
      </c>
      <c r="T30" s="38">
        <v>11508.73383359</v>
      </c>
      <c r="U30" s="38">
        <v>10512.393896889997</v>
      </c>
      <c r="V30" s="38">
        <v>12030.573400000001</v>
      </c>
      <c r="W30" s="38">
        <v>10314.392454739993</v>
      </c>
      <c r="X30" s="38">
        <v>10529.876</v>
      </c>
      <c r="Z30" s="38"/>
      <c r="AA30" s="38"/>
      <c r="AB30" s="38"/>
      <c r="AC30" s="38">
        <v>11382.924000000001</v>
      </c>
      <c r="AD30" s="38">
        <v>12030.573400000001</v>
      </c>
    </row>
    <row r="31" spans="1:30" ht="14.25" customHeight="1" outlineLevel="1" x14ac:dyDescent="0.35">
      <c r="A31" s="3"/>
      <c r="B31" s="32" t="s">
        <v>200</v>
      </c>
      <c r="C31" s="38"/>
      <c r="D31" s="38"/>
      <c r="E31" s="38"/>
      <c r="F31" s="38"/>
      <c r="G31" s="38"/>
      <c r="H31" s="38"/>
      <c r="I31" s="38"/>
      <c r="J31" s="38"/>
      <c r="K31" s="38"/>
      <c r="L31" s="38"/>
      <c r="M31" s="38"/>
      <c r="N31" s="38"/>
      <c r="O31" s="38"/>
      <c r="P31" s="38"/>
      <c r="Q31" s="38"/>
      <c r="R31" s="38"/>
      <c r="S31" s="38"/>
      <c r="T31" s="38"/>
      <c r="U31" s="38"/>
      <c r="V31" s="38">
        <v>134.37520000000001</v>
      </c>
      <c r="W31" s="38">
        <v>139.00133506999995</v>
      </c>
      <c r="X31" s="38">
        <v>144.262</v>
      </c>
      <c r="Z31" s="38"/>
      <c r="AA31" s="38"/>
      <c r="AB31" s="38"/>
      <c r="AC31" s="38"/>
      <c r="AD31" s="38">
        <v>134.37520000000001</v>
      </c>
    </row>
    <row r="32" spans="1:30" ht="14.25" customHeight="1" outlineLevel="1" x14ac:dyDescent="0.35">
      <c r="A32" s="3"/>
      <c r="B32" s="32" t="s">
        <v>152</v>
      </c>
      <c r="C32" s="38">
        <v>279.26202624200016</v>
      </c>
      <c r="D32" s="38">
        <v>227.23519366965695</v>
      </c>
      <c r="E32" s="38">
        <v>214.68558818609998</v>
      </c>
      <c r="F32" s="38">
        <v>335.53875136422459</v>
      </c>
      <c r="G32" s="38">
        <v>305.70709700000003</v>
      </c>
      <c r="H32" s="38">
        <v>343.93815429077085</v>
      </c>
      <c r="I32" s="38">
        <v>377.58872745107584</v>
      </c>
      <c r="J32" s="38">
        <v>578.00400500000001</v>
      </c>
      <c r="K32" s="38">
        <v>557.65419165916001</v>
      </c>
      <c r="L32" s="38">
        <v>507.35468097518788</v>
      </c>
      <c r="M32" s="38">
        <v>371.73023130600001</v>
      </c>
      <c r="N32" s="38">
        <v>449.10168531492184</v>
      </c>
      <c r="O32" s="38">
        <v>437.4687408999074</v>
      </c>
      <c r="P32" s="38">
        <v>465.07065265340003</v>
      </c>
      <c r="Q32" s="38">
        <v>439.35936800000002</v>
      </c>
      <c r="R32" s="38">
        <v>513.920209977083</v>
      </c>
      <c r="S32" s="38">
        <v>526.32560699999999</v>
      </c>
      <c r="T32" s="38">
        <v>638.9281541097431</v>
      </c>
      <c r="U32" s="38">
        <v>606.32210877310013</v>
      </c>
      <c r="V32" s="38">
        <v>663.22910000000002</v>
      </c>
      <c r="W32" s="38">
        <v>559.65824435833008</v>
      </c>
      <c r="X32" s="38">
        <v>536.17100000000005</v>
      </c>
      <c r="Z32" s="38">
        <v>335.53875136422459</v>
      </c>
      <c r="AA32" s="38">
        <v>578.00400500000001</v>
      </c>
      <c r="AB32" s="38">
        <v>449.10168531492184</v>
      </c>
      <c r="AC32" s="38">
        <v>513.920209977083</v>
      </c>
      <c r="AD32" s="38">
        <v>663.22910000000002</v>
      </c>
    </row>
    <row r="33" spans="1:30" ht="14.25" customHeight="1" outlineLevel="1" x14ac:dyDescent="0.35">
      <c r="A33" s="3"/>
      <c r="B33" s="32" t="s">
        <v>201</v>
      </c>
      <c r="C33" s="38">
        <v>35.767287265127614</v>
      </c>
      <c r="D33" s="38">
        <v>145.39731887273214</v>
      </c>
      <c r="E33" s="38">
        <v>130.83620781323216</v>
      </c>
      <c r="F33" s="38">
        <v>58.335783160000453</v>
      </c>
      <c r="G33" s="38">
        <v>79.653467000000006</v>
      </c>
      <c r="H33" s="38">
        <v>288.16923820996914</v>
      </c>
      <c r="I33" s="38">
        <v>369.50093550996911</v>
      </c>
      <c r="J33" s="38">
        <v>543.62106400000005</v>
      </c>
      <c r="K33" s="38">
        <v>282.76730566999998</v>
      </c>
      <c r="L33" s="38">
        <v>270.29374202999998</v>
      </c>
      <c r="M33" s="38">
        <v>450.98666144999999</v>
      </c>
      <c r="N33" s="38">
        <v>593.90602500299997</v>
      </c>
      <c r="O33" s="38">
        <v>360.26520691999997</v>
      </c>
      <c r="P33" s="38">
        <v>74.117428849999982</v>
      </c>
      <c r="Q33" s="38">
        <v>78.358508</v>
      </c>
      <c r="R33" s="38">
        <v>135.47815966408996</v>
      </c>
      <c r="S33" s="38">
        <v>105.05396499999999</v>
      </c>
      <c r="T33" s="38">
        <v>118.80549609000006</v>
      </c>
      <c r="U33" s="38">
        <v>85.111457749999829</v>
      </c>
      <c r="V33" s="38">
        <v>116.383</v>
      </c>
      <c r="W33" s="38">
        <v>81.095262305000176</v>
      </c>
      <c r="X33" s="38">
        <v>93.78</v>
      </c>
      <c r="Z33" s="38">
        <v>58.335783160000453</v>
      </c>
      <c r="AA33" s="38">
        <v>543.62106400000005</v>
      </c>
      <c r="AB33" s="38">
        <v>593.90602500299997</v>
      </c>
      <c r="AC33" s="38">
        <v>135.47815966408996</v>
      </c>
      <c r="AD33" s="38">
        <v>116.383</v>
      </c>
    </row>
    <row r="34" spans="1:30" ht="14.25" customHeight="1" outlineLevel="1" x14ac:dyDescent="0.35">
      <c r="A34" s="3"/>
      <c r="B34" s="32" t="s">
        <v>167</v>
      </c>
      <c r="C34" s="38">
        <v>0</v>
      </c>
      <c r="D34" s="38">
        <v>0</v>
      </c>
      <c r="E34" s="38">
        <v>0</v>
      </c>
      <c r="F34" s="38">
        <v>0</v>
      </c>
      <c r="G34" s="38">
        <v>0</v>
      </c>
      <c r="H34" s="38">
        <v>0</v>
      </c>
      <c r="I34" s="38">
        <v>0</v>
      </c>
      <c r="J34" s="38">
        <v>1005.786907</v>
      </c>
      <c r="K34" s="38">
        <v>1110.3722831599998</v>
      </c>
      <c r="L34" s="38">
        <v>1205.5702833</v>
      </c>
      <c r="M34" s="38">
        <v>986.69530813999995</v>
      </c>
      <c r="N34" s="38">
        <v>0</v>
      </c>
      <c r="O34" s="38">
        <v>195.65083769</v>
      </c>
      <c r="P34" s="38">
        <v>291.90131659000002</v>
      </c>
      <c r="Q34" s="38">
        <v>192.77789199999998</v>
      </c>
      <c r="R34" s="38">
        <v>189.42652164</v>
      </c>
      <c r="S34" s="38">
        <v>900.11151399999994</v>
      </c>
      <c r="T34" s="38">
        <v>2457.75543586</v>
      </c>
      <c r="U34" s="38">
        <v>2971.3245525100001</v>
      </c>
      <c r="V34" s="38">
        <v>4521.5029000000004</v>
      </c>
      <c r="W34" s="38">
        <v>4370.4952000000003</v>
      </c>
      <c r="X34" s="38">
        <v>3448.5219999999999</v>
      </c>
      <c r="Z34" s="38">
        <v>0</v>
      </c>
      <c r="AA34" s="38">
        <v>1005.786907</v>
      </c>
      <c r="AB34" s="38">
        <v>0</v>
      </c>
      <c r="AC34" s="38">
        <v>189.42652164</v>
      </c>
      <c r="AD34" s="38">
        <v>4521.5029000000004</v>
      </c>
    </row>
    <row r="35" spans="1:30" ht="14.25" customHeight="1" outlineLevel="1" x14ac:dyDescent="0.35">
      <c r="A35" s="3"/>
      <c r="B35" s="32" t="s">
        <v>188</v>
      </c>
      <c r="C35" s="38">
        <v>0</v>
      </c>
      <c r="D35" s="38">
        <v>0</v>
      </c>
      <c r="E35" s="38">
        <v>0</v>
      </c>
      <c r="F35" s="38">
        <v>0</v>
      </c>
      <c r="G35" s="38">
        <v>0</v>
      </c>
      <c r="H35" s="38">
        <v>0</v>
      </c>
      <c r="I35" s="38">
        <v>0</v>
      </c>
      <c r="J35" s="38">
        <v>14.316891</v>
      </c>
      <c r="K35" s="38">
        <v>192.74299605999997</v>
      </c>
      <c r="L35" s="38">
        <v>143.48454170000002</v>
      </c>
      <c r="M35" s="38">
        <v>157.01277574000002</v>
      </c>
      <c r="N35" s="38">
        <v>22.289287829999999</v>
      </c>
      <c r="O35" s="38">
        <v>26.414529719999997</v>
      </c>
      <c r="P35" s="38">
        <v>32.744956999999999</v>
      </c>
      <c r="Q35" s="38">
        <v>28.090835999999999</v>
      </c>
      <c r="R35" s="38">
        <v>40.945248200000002</v>
      </c>
      <c r="S35" s="38">
        <v>17.440335999999999</v>
      </c>
      <c r="T35" s="38">
        <v>7.8909607199999998</v>
      </c>
      <c r="U35" s="38">
        <v>16.44520417</v>
      </c>
      <c r="V35" s="38">
        <v>69.969200000000001</v>
      </c>
      <c r="W35" s="38">
        <v>109.79060000000001</v>
      </c>
      <c r="X35" s="38">
        <v>61.231999999999999</v>
      </c>
      <c r="Z35" s="38">
        <v>0</v>
      </c>
      <c r="AA35" s="38">
        <v>14.316891</v>
      </c>
      <c r="AB35" s="38">
        <v>22.289287829999999</v>
      </c>
      <c r="AC35" s="38">
        <v>40.945248200000002</v>
      </c>
      <c r="AD35" s="38">
        <v>69.969200000000001</v>
      </c>
    </row>
    <row r="36" spans="1:30" ht="14.25" customHeight="1" outlineLevel="1" x14ac:dyDescent="0.35">
      <c r="A36" s="3"/>
      <c r="B36" s="32" t="s">
        <v>202</v>
      </c>
      <c r="C36" s="38">
        <v>0</v>
      </c>
      <c r="D36" s="38">
        <v>318.54046082000002</v>
      </c>
      <c r="E36" s="38">
        <v>133.68845831000002</v>
      </c>
      <c r="F36" s="38">
        <v>571.99622041999999</v>
      </c>
      <c r="G36" s="38">
        <v>1157.9047949999999</v>
      </c>
      <c r="H36" s="38">
        <v>1547.0087573599999</v>
      </c>
      <c r="I36" s="38">
        <v>2458.3764313100005</v>
      </c>
      <c r="J36" s="38">
        <v>3056.4438</v>
      </c>
      <c r="K36" s="38">
        <v>5145.8643629200005</v>
      </c>
      <c r="L36" s="38">
        <v>7689.2326845999996</v>
      </c>
      <c r="M36" s="38">
        <v>10795.29461854</v>
      </c>
      <c r="N36" s="38">
        <v>10100.59886860412</v>
      </c>
      <c r="O36" s="38">
        <v>7521.5609987607104</v>
      </c>
      <c r="P36" s="38">
        <v>7813.0968426408144</v>
      </c>
      <c r="Q36" s="38">
        <v>8577.4447679999994</v>
      </c>
      <c r="R36" s="38">
        <v>11365.373247031866</v>
      </c>
      <c r="S36" s="38">
        <v>13473.325885</v>
      </c>
      <c r="T36" s="38">
        <v>13305.18952107039</v>
      </c>
      <c r="U36" s="38">
        <v>13295.865356169999</v>
      </c>
      <c r="V36" s="38">
        <v>12677.097800000001</v>
      </c>
      <c r="W36" s="38">
        <v>12955.8501</v>
      </c>
      <c r="X36" s="38">
        <v>17682.235000000001</v>
      </c>
      <c r="Z36" s="38">
        <v>571.99622041999999</v>
      </c>
      <c r="AA36" s="38">
        <v>3056.4438</v>
      </c>
      <c r="AB36" s="38">
        <v>10100.59886860412</v>
      </c>
      <c r="AC36" s="38">
        <v>11365.373247031866</v>
      </c>
      <c r="AD36" s="38">
        <v>12677.097800000001</v>
      </c>
    </row>
    <row r="37" spans="1:30" ht="14.25" customHeight="1" outlineLevel="1" x14ac:dyDescent="0.35">
      <c r="A37" s="3"/>
      <c r="B37" s="32" t="s">
        <v>154</v>
      </c>
      <c r="C37" s="38">
        <v>71.234214320000035</v>
      </c>
      <c r="D37" s="38">
        <v>95.323381740000016</v>
      </c>
      <c r="E37" s="38">
        <v>107.21347094000001</v>
      </c>
      <c r="F37" s="38">
        <v>175.19765276000001</v>
      </c>
      <c r="G37" s="38">
        <v>152.86887899999999</v>
      </c>
      <c r="H37" s="38">
        <v>217.8343155</v>
      </c>
      <c r="I37" s="38">
        <v>247.28313052000001</v>
      </c>
      <c r="J37" s="38">
        <v>259.72374400000001</v>
      </c>
      <c r="K37" s="38">
        <v>182.97425510000002</v>
      </c>
      <c r="L37" s="38">
        <v>251.4296863438</v>
      </c>
      <c r="M37" s="38">
        <v>300.75949915717626</v>
      </c>
      <c r="N37" s="38">
        <v>292.77786669044002</v>
      </c>
      <c r="O37" s="38">
        <v>205.17707729868562</v>
      </c>
      <c r="P37" s="38">
        <v>276.45444627192808</v>
      </c>
      <c r="Q37" s="38">
        <v>333.84743199999997</v>
      </c>
      <c r="R37" s="38">
        <v>345.24766147968205</v>
      </c>
      <c r="S37" s="38">
        <v>232.33942800000003</v>
      </c>
      <c r="T37" s="38">
        <v>311.92454523858368</v>
      </c>
      <c r="U37" s="38">
        <v>392.86563361999998</v>
      </c>
      <c r="V37" s="38">
        <v>402.64340000000004</v>
      </c>
      <c r="W37" s="38">
        <v>261.92950000000002</v>
      </c>
      <c r="X37" s="38">
        <v>337.30599999999998</v>
      </c>
      <c r="Z37" s="38">
        <v>175.19765276000001</v>
      </c>
      <c r="AA37" s="38">
        <v>259.72374400000001</v>
      </c>
      <c r="AB37" s="38">
        <v>292.77786669044002</v>
      </c>
      <c r="AC37" s="38">
        <v>345.24766147968205</v>
      </c>
      <c r="AD37" s="38">
        <v>402.64340000000004</v>
      </c>
    </row>
    <row r="38" spans="1:30" ht="14.25" customHeight="1" outlineLevel="1" x14ac:dyDescent="0.35">
      <c r="A38" s="3"/>
      <c r="B38" s="32" t="s">
        <v>155</v>
      </c>
      <c r="C38" s="38">
        <v>124.95579773911791</v>
      </c>
      <c r="D38" s="38">
        <v>26.856642758040966</v>
      </c>
      <c r="E38" s="38">
        <v>28.226767075327992</v>
      </c>
      <c r="F38" s="38">
        <v>26.042438066641928</v>
      </c>
      <c r="G38" s="38">
        <v>30.45016</v>
      </c>
      <c r="H38" s="38">
        <v>30.247742119635941</v>
      </c>
      <c r="I38" s="38">
        <v>38.230805029421987</v>
      </c>
      <c r="J38" s="38">
        <v>63.933655999999999</v>
      </c>
      <c r="K38" s="38">
        <v>55.948721859059631</v>
      </c>
      <c r="L38" s="38">
        <v>53.11540827103174</v>
      </c>
      <c r="M38" s="38">
        <v>73.467055565151924</v>
      </c>
      <c r="N38" s="38">
        <v>89.778760843572087</v>
      </c>
      <c r="O38" s="38">
        <v>99.972759442667964</v>
      </c>
      <c r="P38" s="38">
        <v>83.268818127762501</v>
      </c>
      <c r="Q38" s="38">
        <v>82.921929999999989</v>
      </c>
      <c r="R38" s="38">
        <v>240.67090193316085</v>
      </c>
      <c r="S38" s="38">
        <v>273.94369799999998</v>
      </c>
      <c r="T38" s="38">
        <v>343.6471751640222</v>
      </c>
      <c r="U38" s="38">
        <v>237.6861842900002</v>
      </c>
      <c r="V38" s="38">
        <v>280.76229999999998</v>
      </c>
      <c r="W38" s="38">
        <v>289.4237</v>
      </c>
      <c r="X38" s="38">
        <v>252.261</v>
      </c>
      <c r="Z38" s="38">
        <v>26.042438066641928</v>
      </c>
      <c r="AA38" s="38">
        <v>63.933655999999999</v>
      </c>
      <c r="AB38" s="38">
        <v>89.778760843572087</v>
      </c>
      <c r="AC38" s="38">
        <v>240.67090193316085</v>
      </c>
      <c r="AD38" s="38">
        <v>280.76229999999998</v>
      </c>
    </row>
    <row r="39" spans="1:30" ht="14.25" customHeight="1" outlineLevel="1" x14ac:dyDescent="0.35">
      <c r="A39" s="3"/>
      <c r="B39" s="32" t="s">
        <v>156</v>
      </c>
      <c r="C39" s="38">
        <v>14.71580983</v>
      </c>
      <c r="D39" s="38">
        <v>13.571013240000001</v>
      </c>
      <c r="E39" s="38">
        <v>14.553138060000002</v>
      </c>
      <c r="F39" s="38">
        <v>17.063007719999998</v>
      </c>
      <c r="G39" s="38">
        <v>19.781631000000001</v>
      </c>
      <c r="H39" s="38">
        <v>20.091625519999994</v>
      </c>
      <c r="I39" s="38">
        <v>24.407024390000004</v>
      </c>
      <c r="J39" s="38">
        <v>27.652597</v>
      </c>
      <c r="K39" s="38">
        <v>29.791035220000001</v>
      </c>
      <c r="L39" s="38">
        <v>33.159419449999994</v>
      </c>
      <c r="M39" s="38">
        <v>42.782035139999998</v>
      </c>
      <c r="N39" s="38">
        <v>46.233308970000003</v>
      </c>
      <c r="O39" s="38">
        <v>54.70296119999999</v>
      </c>
      <c r="P39" s="38">
        <v>61.848057420000032</v>
      </c>
      <c r="Q39" s="38">
        <v>70.163397000000003</v>
      </c>
      <c r="R39" s="38">
        <v>91.489990469999981</v>
      </c>
      <c r="S39" s="38">
        <v>102.712965</v>
      </c>
      <c r="T39" s="38">
        <v>44.067282149701462</v>
      </c>
      <c r="U39" s="38">
        <v>40.684578924086864</v>
      </c>
      <c r="V39" s="38">
        <v>43.820300000000003</v>
      </c>
      <c r="W39" s="38">
        <v>72.803300000000007</v>
      </c>
      <c r="X39" s="38">
        <v>80.328999999999994</v>
      </c>
      <c r="Z39" s="38">
        <v>17.063007719999998</v>
      </c>
      <c r="AA39" s="38">
        <v>27.652597</v>
      </c>
      <c r="AB39" s="38">
        <v>46.233308970000003</v>
      </c>
      <c r="AC39" s="38">
        <v>91.489990469999981</v>
      </c>
      <c r="AD39" s="38">
        <v>43.820300000000003</v>
      </c>
    </row>
    <row r="40" spans="1:30" ht="14.25" customHeight="1" outlineLevel="1" x14ac:dyDescent="0.35">
      <c r="A40" s="3"/>
      <c r="B40" s="32" t="s">
        <v>203</v>
      </c>
      <c r="C40" s="38">
        <v>0</v>
      </c>
      <c r="D40" s="38">
        <v>0</v>
      </c>
      <c r="E40" s="38">
        <v>0</v>
      </c>
      <c r="F40" s="38">
        <v>0</v>
      </c>
      <c r="G40" s="38">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191.13300000000001</v>
      </c>
      <c r="Z40" s="38">
        <v>0</v>
      </c>
      <c r="AA40" s="38">
        <v>0</v>
      </c>
      <c r="AB40" s="38">
        <v>0</v>
      </c>
      <c r="AC40" s="38">
        <v>0</v>
      </c>
      <c r="AD40" s="38">
        <v>0</v>
      </c>
    </row>
    <row r="41" spans="1:30" ht="14.25" customHeight="1" outlineLevel="1" x14ac:dyDescent="0.35">
      <c r="A41" s="3"/>
      <c r="B41" s="32" t="s">
        <v>149</v>
      </c>
      <c r="C41" s="38">
        <v>0</v>
      </c>
      <c r="D41" s="38">
        <v>0</v>
      </c>
      <c r="E41" s="38">
        <v>0</v>
      </c>
      <c r="F41" s="38">
        <v>186.21917202032628</v>
      </c>
      <c r="G41" s="38">
        <v>193.76964799999999</v>
      </c>
      <c r="H41" s="38">
        <v>195.1523943794474</v>
      </c>
      <c r="I41" s="38">
        <v>180.98443013672531</v>
      </c>
      <c r="J41" s="38">
        <v>162.56566000000001</v>
      </c>
      <c r="K41" s="38">
        <v>147.48916945210524</v>
      </c>
      <c r="L41" s="38">
        <v>137.63923302864879</v>
      </c>
      <c r="M41" s="38">
        <v>131.88781070632032</v>
      </c>
      <c r="N41" s="38">
        <v>126.04209522646831</v>
      </c>
      <c r="O41" s="38">
        <v>125.33908675078824</v>
      </c>
      <c r="P41" s="38">
        <v>124.97792641107684</v>
      </c>
      <c r="Q41" s="38">
        <v>125.800522</v>
      </c>
      <c r="R41" s="38">
        <v>128.46058495771084</v>
      </c>
      <c r="S41" s="38">
        <v>130.625317</v>
      </c>
      <c r="T41" s="38">
        <v>134.64168311527263</v>
      </c>
      <c r="U41" s="38">
        <v>133.63072165035089</v>
      </c>
      <c r="V41" s="38">
        <v>128.84909999999999</v>
      </c>
      <c r="W41" s="38">
        <v>118.8917</v>
      </c>
      <c r="X41" s="38">
        <v>112.81699999999999</v>
      </c>
      <c r="Z41" s="38">
        <v>186.21917202032628</v>
      </c>
      <c r="AA41" s="38">
        <v>162.56566000000001</v>
      </c>
      <c r="AB41" s="38">
        <v>126.04209522646831</v>
      </c>
      <c r="AC41" s="38">
        <v>128.46058495771084</v>
      </c>
      <c r="AD41" s="38">
        <v>128.84909999999999</v>
      </c>
    </row>
    <row r="42" spans="1:30" ht="14.25" customHeight="1" outlineLevel="1" x14ac:dyDescent="0.35">
      <c r="A42" s="3"/>
      <c r="B42" s="32" t="s">
        <v>150</v>
      </c>
      <c r="C42" s="38">
        <v>80.571601797687265</v>
      </c>
      <c r="D42" s="38">
        <v>144.29073593140188</v>
      </c>
      <c r="E42" s="38">
        <v>198.64619295388056</v>
      </c>
      <c r="F42" s="38">
        <v>102.57331690884</v>
      </c>
      <c r="G42" s="38">
        <v>26.431298999999999</v>
      </c>
      <c r="H42" s="38">
        <v>109.178336037096</v>
      </c>
      <c r="I42" s="38">
        <v>56.11171870175999</v>
      </c>
      <c r="J42" s="38">
        <v>73.720441000000008</v>
      </c>
      <c r="K42" s="38">
        <v>40.518855131919992</v>
      </c>
      <c r="L42" s="38">
        <v>29.785708842240005</v>
      </c>
      <c r="M42" s="38">
        <v>28.920530252880006</v>
      </c>
      <c r="N42" s="38">
        <v>31.482550971680002</v>
      </c>
      <c r="O42" s="38">
        <v>29.118313318717</v>
      </c>
      <c r="P42" s="38">
        <v>34.393261549757</v>
      </c>
      <c r="Q42" s="38">
        <v>30.027284999999999</v>
      </c>
      <c r="R42" s="38">
        <v>32.379149459520001</v>
      </c>
      <c r="S42" s="38">
        <v>40.866439</v>
      </c>
      <c r="T42" s="38">
        <v>36.106074837908309</v>
      </c>
      <c r="U42" s="38">
        <v>54.866115000000001</v>
      </c>
      <c r="V42" s="38">
        <v>117.6301</v>
      </c>
      <c r="W42" s="38">
        <v>125.1322</v>
      </c>
      <c r="X42" s="38">
        <v>113.914</v>
      </c>
      <c r="Z42" s="38">
        <v>102.57331690884</v>
      </c>
      <c r="AA42" s="38">
        <v>73.720441000000008</v>
      </c>
      <c r="AB42" s="38">
        <v>31.482550971680002</v>
      </c>
      <c r="AC42" s="38">
        <v>32.379149459520001</v>
      </c>
      <c r="AD42" s="38">
        <v>117.6301</v>
      </c>
    </row>
    <row r="43" spans="1:30" ht="14.25" customHeight="1" x14ac:dyDescent="0.35">
      <c r="A43" s="3"/>
      <c r="B43" s="88" t="s">
        <v>204</v>
      </c>
      <c r="C43" s="89">
        <v>816.71671558227285</v>
      </c>
      <c r="D43" s="89">
        <v>1054.692630152698</v>
      </c>
      <c r="E43" s="89">
        <v>1187.6222285257898</v>
      </c>
      <c r="F43" s="89">
        <v>1422.3885468594738</v>
      </c>
      <c r="G43" s="89">
        <v>1582.0656760000002</v>
      </c>
      <c r="H43" s="89">
        <v>1608.2855927310532</v>
      </c>
      <c r="I43" s="89">
        <v>1682.7104619978948</v>
      </c>
      <c r="J43" s="89">
        <v>1570.6880890968416</v>
      </c>
      <c r="K43" s="89">
        <v>2089.7990171878951</v>
      </c>
      <c r="L43" s="89">
        <v>3325.9063558008775</v>
      </c>
      <c r="M43" s="89">
        <v>3477.4181516686399</v>
      </c>
      <c r="N43" s="89">
        <v>3746.8460553957925</v>
      </c>
      <c r="O43" s="89">
        <v>5281.2249769307491</v>
      </c>
      <c r="P43" s="89">
        <v>4421.2425853712439</v>
      </c>
      <c r="Q43" s="89">
        <v>5793.3592590000007</v>
      </c>
      <c r="R43" s="89">
        <v>7435.4889999999996</v>
      </c>
      <c r="S43" s="89">
        <v>8879.7757569999994</v>
      </c>
      <c r="T43" s="89">
        <v>12303.831626765745</v>
      </c>
      <c r="U43" s="89">
        <v>13609.274386878578</v>
      </c>
      <c r="V43" s="89">
        <v>15487.763200000001</v>
      </c>
      <c r="W43" s="89">
        <v>14547.983114800001</v>
      </c>
      <c r="X43" s="89">
        <v>12892.911</v>
      </c>
      <c r="Z43" s="89">
        <v>1422.3885468594738</v>
      </c>
      <c r="AA43" s="89">
        <v>1570.6880890968416</v>
      </c>
      <c r="AB43" s="89">
        <v>3746.8460553957925</v>
      </c>
      <c r="AC43" s="89">
        <v>7435.4889999999996</v>
      </c>
      <c r="AD43" s="89">
        <v>15487.763200000001</v>
      </c>
    </row>
    <row r="44" spans="1:30" ht="14.25" customHeight="1" outlineLevel="1" x14ac:dyDescent="0.35">
      <c r="A44" s="3"/>
      <c r="B44" s="32" t="s">
        <v>151</v>
      </c>
      <c r="C44" s="38">
        <v>0</v>
      </c>
      <c r="D44" s="38">
        <v>0</v>
      </c>
      <c r="E44" s="38">
        <v>0</v>
      </c>
      <c r="F44" s="38">
        <v>0</v>
      </c>
      <c r="G44" s="38">
        <v>0</v>
      </c>
      <c r="H44" s="38">
        <v>0</v>
      </c>
      <c r="I44" s="38">
        <v>0</v>
      </c>
      <c r="J44" s="38">
        <v>0</v>
      </c>
      <c r="K44" s="38">
        <v>0</v>
      </c>
      <c r="L44" s="38">
        <v>0</v>
      </c>
      <c r="M44" s="38">
        <v>0</v>
      </c>
      <c r="N44" s="38">
        <v>84.759227225089163</v>
      </c>
      <c r="O44" s="38">
        <v>93.522951303608821</v>
      </c>
      <c r="P44" s="38">
        <v>127.44982581118099</v>
      </c>
      <c r="Q44" s="38">
        <v>159.437814</v>
      </c>
      <c r="R44" s="38">
        <v>185.86080696424767</v>
      </c>
      <c r="S44" s="38">
        <v>204.987022</v>
      </c>
      <c r="T44" s="38">
        <v>53.155612826888934</v>
      </c>
      <c r="U44" s="38">
        <v>66.711501083017666</v>
      </c>
      <c r="V44" s="38">
        <v>84.569699999999997</v>
      </c>
      <c r="W44" s="38">
        <v>86.024199999999993</v>
      </c>
      <c r="X44" s="38">
        <v>82.69</v>
      </c>
      <c r="Z44" s="38">
        <v>0</v>
      </c>
      <c r="AA44" s="38">
        <v>0</v>
      </c>
      <c r="AB44" s="38">
        <v>84.759227225089163</v>
      </c>
      <c r="AC44" s="38">
        <v>185.86080696424767</v>
      </c>
      <c r="AD44" s="38">
        <v>84.569699999999997</v>
      </c>
    </row>
    <row r="45" spans="1:30" ht="14.25" customHeight="1" outlineLevel="1" x14ac:dyDescent="0.35">
      <c r="A45" s="3"/>
      <c r="B45" s="32" t="s">
        <v>200</v>
      </c>
      <c r="C45" s="38"/>
      <c r="D45" s="38"/>
      <c r="E45" s="38"/>
      <c r="F45" s="38"/>
      <c r="G45" s="38"/>
      <c r="H45" s="38"/>
      <c r="I45" s="38"/>
      <c r="J45" s="38"/>
      <c r="K45" s="38"/>
      <c r="L45" s="38"/>
      <c r="M45" s="38"/>
      <c r="N45" s="38"/>
      <c r="O45" s="38"/>
      <c r="P45" s="38"/>
      <c r="Q45" s="38"/>
      <c r="R45" s="38"/>
      <c r="S45" s="38"/>
      <c r="T45" s="38"/>
      <c r="U45" s="38"/>
      <c r="V45" s="38">
        <v>1017.0091</v>
      </c>
      <c r="W45" s="38">
        <v>1049.4096000000002</v>
      </c>
      <c r="X45" s="38">
        <v>1086.268</v>
      </c>
      <c r="Z45" s="38"/>
      <c r="AA45" s="38"/>
      <c r="AB45" s="38"/>
      <c r="AC45" s="38">
        <v>0</v>
      </c>
      <c r="AD45" s="38">
        <v>1017.0091</v>
      </c>
    </row>
    <row r="46" spans="1:30" ht="14.25" customHeight="1" outlineLevel="1" x14ac:dyDescent="0.35">
      <c r="A46" s="3"/>
      <c r="B46" s="32" t="s">
        <v>72</v>
      </c>
      <c r="C46" s="38">
        <v>766.38848466000013</v>
      </c>
      <c r="D46" s="38">
        <v>968.78507244999992</v>
      </c>
      <c r="E46" s="38">
        <v>1035.0124093700001</v>
      </c>
      <c r="F46" s="38">
        <v>1132.59537897</v>
      </c>
      <c r="G46" s="38">
        <v>1183.8379320000001</v>
      </c>
      <c r="H46" s="38">
        <v>1259.0556857000004</v>
      </c>
      <c r="I46" s="38">
        <v>1350.4601987000001</v>
      </c>
      <c r="J46" s="38">
        <v>1391.7603085699996</v>
      </c>
      <c r="K46" s="38">
        <v>1421.70475794</v>
      </c>
      <c r="L46" s="38">
        <v>1482.52998996</v>
      </c>
      <c r="M46" s="38">
        <v>1530.32630554</v>
      </c>
      <c r="N46" s="38">
        <v>1564.2284636599998</v>
      </c>
      <c r="O46" s="38">
        <v>1613.5336663999999</v>
      </c>
      <c r="P46" s="38">
        <v>1666.3954475799999</v>
      </c>
      <c r="Q46" s="38">
        <v>1755.4285279999999</v>
      </c>
      <c r="R46" s="38">
        <v>1832.0868928300001</v>
      </c>
      <c r="S46" s="38">
        <v>1897.1773529999998</v>
      </c>
      <c r="T46" s="38">
        <v>1848.6191590199999</v>
      </c>
      <c r="U46" s="38">
        <v>1870.5191463499998</v>
      </c>
      <c r="V46" s="38">
        <v>1790.3618999999999</v>
      </c>
      <c r="W46" s="38">
        <v>1673.6598999999999</v>
      </c>
      <c r="X46" s="38">
        <v>1607.4259999999999</v>
      </c>
      <c r="Z46" s="38">
        <v>1132.59537897</v>
      </c>
      <c r="AA46" s="38">
        <v>1391.7603085699996</v>
      </c>
      <c r="AB46" s="38">
        <v>1564.2284636599998</v>
      </c>
      <c r="AC46" s="38">
        <v>1832.0868928300001</v>
      </c>
      <c r="AD46" s="38">
        <v>1790.3618999999999</v>
      </c>
    </row>
    <row r="47" spans="1:30" ht="14.25" customHeight="1" outlineLevel="1" x14ac:dyDescent="0.35">
      <c r="A47" s="3"/>
      <c r="B47" s="32" t="s">
        <v>156</v>
      </c>
      <c r="C47" s="38">
        <v>0</v>
      </c>
      <c r="D47" s="38">
        <v>0</v>
      </c>
      <c r="E47" s="38">
        <v>0</v>
      </c>
      <c r="F47" s="38">
        <v>11.741379670000001</v>
      </c>
      <c r="G47" s="38">
        <v>12.633370000000001</v>
      </c>
      <c r="H47" s="38">
        <v>12.814935949999999</v>
      </c>
      <c r="I47" s="38">
        <v>12.807079089999998</v>
      </c>
      <c r="J47" s="38">
        <v>13.910468260000002</v>
      </c>
      <c r="K47" s="38">
        <v>13.6557967</v>
      </c>
      <c r="L47" s="38">
        <v>14.115684709999998</v>
      </c>
      <c r="M47" s="38">
        <v>14.526301500000001</v>
      </c>
      <c r="N47" s="38">
        <v>14.370448289999999</v>
      </c>
      <c r="O47" s="38">
        <v>14.827072370000002</v>
      </c>
      <c r="P47" s="38">
        <v>6.8681260899999996</v>
      </c>
      <c r="Q47" s="38">
        <v>6.3139880000000002</v>
      </c>
      <c r="R47" s="38">
        <v>5.7288388999999995</v>
      </c>
      <c r="S47" s="38">
        <v>5.4841859999999993</v>
      </c>
      <c r="T47" s="38">
        <v>70.97733071029856</v>
      </c>
      <c r="U47" s="38">
        <v>57.770240395913113</v>
      </c>
      <c r="V47" s="38">
        <v>71.139699999999991</v>
      </c>
      <c r="W47" s="38">
        <v>58.728300000000004</v>
      </c>
      <c r="X47" s="38">
        <v>70.221999999999994</v>
      </c>
      <c r="Z47" s="38">
        <v>11.741379670000001</v>
      </c>
      <c r="AA47" s="38">
        <v>13.910468260000002</v>
      </c>
      <c r="AB47" s="38">
        <v>14.370448289999999</v>
      </c>
      <c r="AC47" s="38">
        <v>5.7288388999999995</v>
      </c>
      <c r="AD47" s="38">
        <v>71.139699999999991</v>
      </c>
    </row>
    <row r="48" spans="1:30" ht="14.25" customHeight="1" outlineLevel="1" x14ac:dyDescent="0.35">
      <c r="A48" s="3"/>
      <c r="B48" s="97" t="s">
        <v>202</v>
      </c>
      <c r="C48" s="38">
        <v>0</v>
      </c>
      <c r="D48" s="38">
        <v>0</v>
      </c>
      <c r="E48" s="38">
        <v>61.61745663</v>
      </c>
      <c r="F48" s="38">
        <v>194.09014230000002</v>
      </c>
      <c r="G48" s="38">
        <v>288.87627800000001</v>
      </c>
      <c r="H48" s="38">
        <v>242.51209657999999</v>
      </c>
      <c r="I48" s="38">
        <v>211.76924861999998</v>
      </c>
      <c r="J48" s="38">
        <v>77.551869280000005</v>
      </c>
      <c r="K48" s="38">
        <v>568.51502073999995</v>
      </c>
      <c r="L48" s="38">
        <v>1735.2119641700001</v>
      </c>
      <c r="M48" s="38">
        <v>1843.4012978699998</v>
      </c>
      <c r="N48" s="38">
        <v>1894.6892017358787</v>
      </c>
      <c r="O48" s="38">
        <v>3156.5350562992885</v>
      </c>
      <c r="P48" s="38">
        <v>2219.4048169991861</v>
      </c>
      <c r="Q48" s="38">
        <v>3337.0234870000004</v>
      </c>
      <c r="R48" s="38">
        <v>4823.0665354081348</v>
      </c>
      <c r="S48" s="38">
        <v>6232.7726190000003</v>
      </c>
      <c r="T48" s="38">
        <v>9428.8018751996096</v>
      </c>
      <c r="U48" s="38">
        <v>10393.486062999998</v>
      </c>
      <c r="V48" s="38">
        <v>11412.136500000001</v>
      </c>
      <c r="W48" s="38">
        <v>10611.975</v>
      </c>
      <c r="X48" s="38">
        <v>8963.6329999999998</v>
      </c>
      <c r="Z48" s="38">
        <v>194.09014230000002</v>
      </c>
      <c r="AA48" s="38">
        <v>77.551869280000005</v>
      </c>
      <c r="AB48" s="38">
        <v>1894.6892017358787</v>
      </c>
      <c r="AC48" s="38">
        <v>4823.0665354081348</v>
      </c>
      <c r="AD48" s="38">
        <v>11412.136500000001</v>
      </c>
    </row>
    <row r="49" spans="1:30" ht="14.25" customHeight="1" outlineLevel="1" x14ac:dyDescent="0.35">
      <c r="A49" s="3"/>
      <c r="B49" s="32" t="s">
        <v>149</v>
      </c>
      <c r="C49" s="38">
        <v>0</v>
      </c>
      <c r="D49" s="38">
        <v>0</v>
      </c>
      <c r="E49" s="38">
        <v>0</v>
      </c>
      <c r="F49" s="38">
        <v>27.335969029473681</v>
      </c>
      <c r="G49" s="38">
        <v>25.484883999999997</v>
      </c>
      <c r="H49" s="38">
        <v>26.757112671052624</v>
      </c>
      <c r="I49" s="38">
        <v>21.875989717894733</v>
      </c>
      <c r="J49" s="38">
        <v>17.300422046842101</v>
      </c>
      <c r="K49" s="38">
        <v>16.750506517894738</v>
      </c>
      <c r="L49" s="38">
        <v>19.813494850877195</v>
      </c>
      <c r="M49" s="38">
        <v>19.105887838640346</v>
      </c>
      <c r="N49" s="38">
        <v>17.485978844824565</v>
      </c>
      <c r="O49" s="38">
        <v>17.792415477850881</v>
      </c>
      <c r="P49" s="38">
        <v>17.792546450877193</v>
      </c>
      <c r="Q49" s="38">
        <v>18.07377</v>
      </c>
      <c r="R49" s="38">
        <v>17.723759481333335</v>
      </c>
      <c r="S49" s="38">
        <v>20.023538000000002</v>
      </c>
      <c r="T49" s="38">
        <v>20.822948698947368</v>
      </c>
      <c r="U49" s="38">
        <v>19.516036769649123</v>
      </c>
      <c r="V49" s="38">
        <v>16.579099999999997</v>
      </c>
      <c r="W49" s="38">
        <v>14.3323</v>
      </c>
      <c r="X49" s="38">
        <v>10.113</v>
      </c>
      <c r="Z49" s="38">
        <v>27.335969029473681</v>
      </c>
      <c r="AA49" s="38">
        <v>17.300422046842101</v>
      </c>
      <c r="AB49" s="38">
        <v>17.485978844824565</v>
      </c>
      <c r="AC49" s="38">
        <v>17.723759481333335</v>
      </c>
      <c r="AD49" s="38">
        <v>16.579099999999997</v>
      </c>
    </row>
    <row r="50" spans="1:30" ht="14.25" customHeight="1" outlineLevel="1" x14ac:dyDescent="0.35">
      <c r="A50" s="3"/>
      <c r="B50" s="32" t="s">
        <v>205</v>
      </c>
      <c r="C50" s="38">
        <v>0</v>
      </c>
      <c r="D50" s="38">
        <v>0</v>
      </c>
      <c r="E50" s="38">
        <v>0</v>
      </c>
      <c r="F50" s="38">
        <v>0</v>
      </c>
      <c r="G50" s="38">
        <v>0</v>
      </c>
      <c r="H50" s="38">
        <v>0</v>
      </c>
      <c r="I50" s="38">
        <v>0</v>
      </c>
      <c r="J50" s="38">
        <v>0</v>
      </c>
      <c r="K50" s="38">
        <v>0</v>
      </c>
      <c r="L50" s="38">
        <v>0</v>
      </c>
      <c r="M50" s="38">
        <v>0</v>
      </c>
      <c r="N50" s="38">
        <v>0</v>
      </c>
      <c r="O50" s="38">
        <v>161.08538435999998</v>
      </c>
      <c r="P50" s="38">
        <v>154.82769747</v>
      </c>
      <c r="Q50" s="38">
        <v>284.08225500000003</v>
      </c>
      <c r="R50" s="38">
        <v>341.32605359999997</v>
      </c>
      <c r="S50" s="38">
        <v>290.10563299999995</v>
      </c>
      <c r="T50" s="38">
        <v>652.73421915999995</v>
      </c>
      <c r="U50" s="38">
        <v>968.97455795999997</v>
      </c>
      <c r="V50" s="38">
        <v>1014.8630000000001</v>
      </c>
      <c r="W50" s="38">
        <v>978.42971479999983</v>
      </c>
      <c r="X50" s="38">
        <v>1002.351</v>
      </c>
      <c r="Z50" s="38"/>
      <c r="AA50" s="38"/>
      <c r="AB50" s="38"/>
      <c r="AC50" s="38">
        <v>341.32605359999997</v>
      </c>
      <c r="AD50" s="38">
        <v>1014.8630000000001</v>
      </c>
    </row>
    <row r="51" spans="1:30" ht="14.25" customHeight="1" outlineLevel="1" x14ac:dyDescent="0.35">
      <c r="A51" s="3"/>
      <c r="B51" s="32" t="s">
        <v>150</v>
      </c>
      <c r="C51" s="38">
        <v>50.328230922272731</v>
      </c>
      <c r="D51" s="38">
        <v>85.907557702698114</v>
      </c>
      <c r="E51" s="38">
        <v>90.992362525789474</v>
      </c>
      <c r="F51" s="38">
        <v>56.625676890000001</v>
      </c>
      <c r="G51" s="38">
        <v>71.233211999999995</v>
      </c>
      <c r="H51" s="38">
        <v>67.145761829999998</v>
      </c>
      <c r="I51" s="38">
        <v>85.797945870000007</v>
      </c>
      <c r="J51" s="38">
        <v>70.165020940000005</v>
      </c>
      <c r="K51" s="38">
        <v>69.172935289999998</v>
      </c>
      <c r="L51" s="38">
        <v>74.235222109999995</v>
      </c>
      <c r="M51" s="38">
        <v>70.058358919999989</v>
      </c>
      <c r="N51" s="38">
        <v>171.31273564000003</v>
      </c>
      <c r="O51" s="38">
        <v>223.92843072000005</v>
      </c>
      <c r="P51" s="38">
        <v>228.50412496999999</v>
      </c>
      <c r="Q51" s="38">
        <v>232.99941699999999</v>
      </c>
      <c r="R51" s="38">
        <v>229.69386075999998</v>
      </c>
      <c r="S51" s="38">
        <v>229.22540599999999</v>
      </c>
      <c r="T51" s="38">
        <v>228.72048115000001</v>
      </c>
      <c r="U51" s="38">
        <v>232.29684132</v>
      </c>
      <c r="V51" s="38">
        <v>81.104199999999992</v>
      </c>
      <c r="W51" s="38">
        <v>75.42410000000001</v>
      </c>
      <c r="X51" s="38">
        <v>70.206999999999994</v>
      </c>
      <c r="Z51" s="38">
        <v>56.625676890000001</v>
      </c>
      <c r="AA51" s="38">
        <v>70.165020940000005</v>
      </c>
      <c r="AB51" s="38">
        <v>171.31273564000003</v>
      </c>
      <c r="AC51" s="38">
        <v>229.69386075999998</v>
      </c>
      <c r="AD51" s="38">
        <v>81.104199999999992</v>
      </c>
    </row>
    <row r="52" spans="1:30" ht="14.25" customHeight="1" x14ac:dyDescent="0.35">
      <c r="A52" s="3"/>
      <c r="B52" s="88" t="s">
        <v>206</v>
      </c>
      <c r="C52" s="89">
        <v>8353.6475968897576</v>
      </c>
      <c r="D52" s="89">
        <v>8668.4849193516693</v>
      </c>
      <c r="E52" s="89">
        <v>8949.0664097207155</v>
      </c>
      <c r="F52" s="89">
        <v>9327.4563340283421</v>
      </c>
      <c r="G52" s="89">
        <v>9680.2932270000001</v>
      </c>
      <c r="H52" s="89">
        <v>10009.094961417366</v>
      </c>
      <c r="I52" s="89">
        <v>10456.79065621422</v>
      </c>
      <c r="J52" s="89">
        <v>10502.199065064489</v>
      </c>
      <c r="K52" s="89">
        <v>10791.263349625491</v>
      </c>
      <c r="L52" s="89">
        <v>11189.330418713182</v>
      </c>
      <c r="M52" s="89">
        <v>11511.623577646082</v>
      </c>
      <c r="N52" s="89">
        <v>11842.150063744242</v>
      </c>
      <c r="O52" s="89">
        <v>12207.165892041974</v>
      </c>
      <c r="P52" s="89">
        <v>12525.545872744922</v>
      </c>
      <c r="Q52" s="89">
        <v>12868.207507000001</v>
      </c>
      <c r="R52" s="89">
        <v>13240.684999999999</v>
      </c>
      <c r="S52" s="89">
        <v>13769.351641969999</v>
      </c>
      <c r="T52" s="89">
        <v>14317.891017293545</v>
      </c>
      <c r="U52" s="89">
        <v>14442.819891760668</v>
      </c>
      <c r="V52" s="89">
        <v>14668.371999999999</v>
      </c>
      <c r="W52" s="89">
        <v>14942.8478</v>
      </c>
      <c r="X52" s="89">
        <v>14583.7</v>
      </c>
      <c r="Z52" s="89">
        <v>9327.4563340283421</v>
      </c>
      <c r="AA52" s="89">
        <v>10502.199065064489</v>
      </c>
      <c r="AB52" s="89">
        <v>11842.150063744242</v>
      </c>
      <c r="AC52" s="89">
        <v>13240.684999999999</v>
      </c>
      <c r="AD52" s="89">
        <v>14668.371999999999</v>
      </c>
    </row>
    <row r="53" spans="1:30" ht="14.25" customHeight="1" outlineLevel="1" x14ac:dyDescent="0.35">
      <c r="A53" s="3"/>
      <c r="B53" s="32" t="s">
        <v>207</v>
      </c>
      <c r="C53" s="38">
        <v>2.586664E-2</v>
      </c>
      <c r="D53" s="38">
        <v>2.586664E-2</v>
      </c>
      <c r="E53" s="38">
        <v>2.586664E-2</v>
      </c>
      <c r="F53" s="38">
        <v>2.6107970000000001E-2</v>
      </c>
      <c r="G53" s="38">
        <v>2.6107999999999999E-2</v>
      </c>
      <c r="H53" s="38">
        <v>2.6107970000000001E-2</v>
      </c>
      <c r="I53" s="38">
        <v>2.6107999999999999E-2</v>
      </c>
      <c r="J53" s="38">
        <v>2.6107970000000001E-2</v>
      </c>
      <c r="K53" s="38">
        <v>2.6107970000000001E-2</v>
      </c>
      <c r="L53" s="38">
        <v>2.6107970000000001E-2</v>
      </c>
      <c r="M53" s="38">
        <v>2.6107970000000001E-2</v>
      </c>
      <c r="N53" s="38">
        <v>2.6107970000000001E-2</v>
      </c>
      <c r="O53" s="38">
        <v>2.6107970000000001E-2</v>
      </c>
      <c r="P53" s="38">
        <v>2.6107970000000001E-2</v>
      </c>
      <c r="Q53" s="38">
        <v>2.6107999999999999E-2</v>
      </c>
      <c r="R53" s="38">
        <v>2.6107970000000001E-2</v>
      </c>
      <c r="S53" s="38">
        <v>2.6107970000000001E-2</v>
      </c>
      <c r="T53" s="38">
        <v>2.6107970000000001E-2</v>
      </c>
      <c r="U53" s="38">
        <v>2.6107970000000001E-2</v>
      </c>
      <c r="V53" s="38">
        <v>2.6100000000000002E-2</v>
      </c>
      <c r="W53" s="38">
        <v>2.6100000000000002E-2</v>
      </c>
      <c r="X53" s="38">
        <v>2.5999999999999999E-2</v>
      </c>
      <c r="Z53" s="38">
        <v>2.6107970000000001E-2</v>
      </c>
      <c r="AA53" s="38">
        <v>2.6107970000000001E-2</v>
      </c>
      <c r="AB53" s="38">
        <v>2.6107970000000001E-2</v>
      </c>
      <c r="AC53" s="38">
        <v>2.6107970000000001E-2</v>
      </c>
      <c r="AD53" s="38">
        <v>2.6100000000000002E-2</v>
      </c>
    </row>
    <row r="54" spans="1:30" ht="14.25" customHeight="1" outlineLevel="1" x14ac:dyDescent="0.35">
      <c r="A54" s="3"/>
      <c r="B54" s="32" t="s">
        <v>208</v>
      </c>
      <c r="C54" s="38">
        <v>0</v>
      </c>
      <c r="D54" s="38">
        <v>0</v>
      </c>
      <c r="E54" s="38">
        <v>0</v>
      </c>
      <c r="F54" s="38">
        <v>0</v>
      </c>
      <c r="G54" s="38">
        <v>0</v>
      </c>
      <c r="H54" s="38">
        <v>0</v>
      </c>
      <c r="I54" s="38">
        <v>0</v>
      </c>
      <c r="J54" s="38">
        <v>0</v>
      </c>
      <c r="K54" s="38">
        <v>0</v>
      </c>
      <c r="L54" s="38">
        <v>0</v>
      </c>
      <c r="M54" s="38">
        <v>0</v>
      </c>
      <c r="N54" s="38">
        <v>0</v>
      </c>
      <c r="O54" s="38">
        <v>0</v>
      </c>
      <c r="P54" s="38">
        <v>0</v>
      </c>
      <c r="Q54" s="38">
        <v>0</v>
      </c>
      <c r="R54" s="38">
        <v>0</v>
      </c>
      <c r="S54" s="38">
        <v>0</v>
      </c>
      <c r="T54" s="38">
        <v>0</v>
      </c>
      <c r="U54" s="38">
        <v>0</v>
      </c>
      <c r="V54" s="38">
        <v>0</v>
      </c>
      <c r="W54" s="38">
        <v>0</v>
      </c>
      <c r="X54" s="38">
        <v>0</v>
      </c>
      <c r="Z54" s="38">
        <v>0</v>
      </c>
      <c r="AA54" s="38">
        <v>0</v>
      </c>
      <c r="AB54" s="38">
        <v>0</v>
      </c>
      <c r="AC54" s="38">
        <v>0</v>
      </c>
      <c r="AD54" s="38">
        <v>0</v>
      </c>
    </row>
    <row r="55" spans="1:30" ht="14.25" customHeight="1" outlineLevel="1" x14ac:dyDescent="0.35">
      <c r="A55" s="3"/>
      <c r="B55" s="32" t="s">
        <v>209</v>
      </c>
      <c r="C55" s="38">
        <v>5807.8844171400006</v>
      </c>
      <c r="D55" s="38">
        <v>5826.4773584599998</v>
      </c>
      <c r="E55" s="38">
        <v>5773.1998810799996</v>
      </c>
      <c r="F55" s="38">
        <v>5784.2880303500006</v>
      </c>
      <c r="G55" s="38">
        <v>5852.8403630000003</v>
      </c>
      <c r="H55" s="38">
        <v>5909.9937750500003</v>
      </c>
      <c r="I55" s="38">
        <v>6035.1096960800005</v>
      </c>
      <c r="J55" s="38">
        <v>6076.2860099400004</v>
      </c>
      <c r="K55" s="38">
        <v>6014.2159830399996</v>
      </c>
      <c r="L55" s="38">
        <v>6054.0134391400006</v>
      </c>
      <c r="M55" s="38">
        <v>6089.3598179499995</v>
      </c>
      <c r="N55" s="38">
        <v>6102.572433280001</v>
      </c>
      <c r="O55" s="38">
        <v>6029.4365499899995</v>
      </c>
      <c r="P55" s="38">
        <v>6062.30303508</v>
      </c>
      <c r="Q55" s="38">
        <v>6097.3909129999993</v>
      </c>
      <c r="R55" s="38">
        <v>6132.7458467400002</v>
      </c>
      <c r="S55" s="38">
        <v>6002.4136859999999</v>
      </c>
      <c r="T55" s="38">
        <v>6046.550698770001</v>
      </c>
      <c r="U55" s="38">
        <v>6090.6208054600002</v>
      </c>
      <c r="V55" s="38">
        <v>6133.8633</v>
      </c>
      <c r="W55" s="38">
        <v>6003.2910000000002</v>
      </c>
      <c r="X55" s="38">
        <v>4821.9750000000004</v>
      </c>
      <c r="Z55" s="38">
        <v>5784.2880303500006</v>
      </c>
      <c r="AA55" s="38">
        <v>6076.2860099400004</v>
      </c>
      <c r="AB55" s="38">
        <v>6102.572433280001</v>
      </c>
      <c r="AC55" s="38">
        <v>6132.7458467400002</v>
      </c>
      <c r="AD55" s="38">
        <v>6133.8633</v>
      </c>
    </row>
    <row r="56" spans="1:30" ht="14.25" customHeight="1" outlineLevel="1" x14ac:dyDescent="0.35">
      <c r="A56" s="3"/>
      <c r="B56" s="32" t="s">
        <v>210</v>
      </c>
      <c r="C56" s="38">
        <v>0.32669924</v>
      </c>
      <c r="D56" s="38">
        <v>0.23578960999999998</v>
      </c>
      <c r="E56" s="38">
        <v>0.17519113</v>
      </c>
      <c r="F56" s="38">
        <v>0.49120708000000002</v>
      </c>
      <c r="G56" s="38">
        <v>0.72620799999999996</v>
      </c>
      <c r="H56" s="38">
        <v>0.21167598000000001</v>
      </c>
      <c r="I56" s="38">
        <v>0.57726626000000003</v>
      </c>
      <c r="J56" s="38">
        <v>0.64543022999999988</v>
      </c>
      <c r="K56" s="38">
        <v>-2.5934295400000003</v>
      </c>
      <c r="L56" s="38">
        <v>-11.59567124</v>
      </c>
      <c r="M56" s="38">
        <v>-8.5431439299999994</v>
      </c>
      <c r="N56" s="38">
        <v>-0.13816929</v>
      </c>
      <c r="O56" s="38">
        <v>0.17662604000000001</v>
      </c>
      <c r="P56" s="38">
        <v>-1.0993153599999999</v>
      </c>
      <c r="Q56" s="38">
        <v>-6.9900000000000004E-2</v>
      </c>
      <c r="R56" s="38">
        <v>-0.47294580000000003</v>
      </c>
      <c r="S56" s="38">
        <v>-1.1185740000000002</v>
      </c>
      <c r="T56" s="38">
        <v>-0.36086597999999998</v>
      </c>
      <c r="U56" s="38">
        <v>-22.935677819999999</v>
      </c>
      <c r="V56" s="38">
        <v>-82.913699999999992</v>
      </c>
      <c r="W56" s="38">
        <v>-134.48939999999999</v>
      </c>
      <c r="X56" s="38">
        <v>-162.69300000000001</v>
      </c>
      <c r="Z56" s="38">
        <v>0.49120708000000002</v>
      </c>
      <c r="AA56" s="38">
        <v>0.64543022999999988</v>
      </c>
      <c r="AB56" s="38">
        <v>-0.13816929</v>
      </c>
      <c r="AC56" s="38">
        <v>-0.47294580000000003</v>
      </c>
      <c r="AD56" s="38">
        <v>-82.913699999999992</v>
      </c>
    </row>
    <row r="57" spans="1:30" ht="14.25" customHeight="1" outlineLevel="1" x14ac:dyDescent="0.35">
      <c r="A57" s="3"/>
      <c r="B57" s="32" t="s">
        <v>211</v>
      </c>
      <c r="C57" s="38">
        <v>0</v>
      </c>
      <c r="D57" s="38">
        <v>0</v>
      </c>
      <c r="E57" s="38">
        <v>0</v>
      </c>
      <c r="F57" s="38">
        <v>0</v>
      </c>
      <c r="G57" s="38">
        <v>0</v>
      </c>
      <c r="H57" s="38">
        <v>0</v>
      </c>
      <c r="I57" s="38">
        <v>0</v>
      </c>
      <c r="J57" s="38">
        <v>0</v>
      </c>
      <c r="K57" s="38">
        <v>0</v>
      </c>
      <c r="L57" s="38">
        <v>0</v>
      </c>
      <c r="M57" s="38">
        <v>0</v>
      </c>
      <c r="N57" s="38">
        <v>2.6107970000000001E-2</v>
      </c>
      <c r="O57" s="38">
        <v>0</v>
      </c>
      <c r="P57" s="38">
        <v>0</v>
      </c>
      <c r="Q57" s="38">
        <v>0</v>
      </c>
      <c r="R57" s="38">
        <v>0</v>
      </c>
      <c r="S57" s="38">
        <v>0</v>
      </c>
      <c r="T57" s="38">
        <v>0</v>
      </c>
      <c r="U57" s="38">
        <v>0</v>
      </c>
      <c r="V57" s="38">
        <v>0</v>
      </c>
      <c r="W57" s="38">
        <v>0</v>
      </c>
      <c r="X57" s="38">
        <v>0</v>
      </c>
      <c r="Z57" s="38">
        <v>0</v>
      </c>
      <c r="AA57" s="38">
        <v>0</v>
      </c>
      <c r="AB57" s="38">
        <v>2.6107970000000001E-2</v>
      </c>
      <c r="AC57" s="38">
        <v>0</v>
      </c>
      <c r="AD57" s="38">
        <v>0</v>
      </c>
    </row>
    <row r="58" spans="1:30" ht="14.25" customHeight="1" outlineLevel="1" x14ac:dyDescent="0.35">
      <c r="A58" s="3"/>
      <c r="B58" s="32" t="s">
        <v>212</v>
      </c>
      <c r="C58" s="38">
        <v>-22.371617750000002</v>
      </c>
      <c r="D58" s="38">
        <v>-22.37261775</v>
      </c>
      <c r="E58" s="38">
        <v>-22.37261775</v>
      </c>
      <c r="F58" s="38">
        <v>-22.37261775</v>
      </c>
      <c r="G58" s="38">
        <v>-22.372617999999999</v>
      </c>
      <c r="H58" s="38">
        <v>-22.371617750000002</v>
      </c>
      <c r="I58" s="38">
        <v>-22.372617748</v>
      </c>
      <c r="J58" s="38">
        <v>-22.371617748000002</v>
      </c>
      <c r="K58" s="38">
        <v>-22.372617748</v>
      </c>
      <c r="L58" s="38">
        <v>-22.372617748</v>
      </c>
      <c r="M58" s="38">
        <v>-22.372617748</v>
      </c>
      <c r="N58" s="38">
        <v>-22.372617748</v>
      </c>
      <c r="O58" s="38">
        <v>-22.371617747999998</v>
      </c>
      <c r="P58" s="38">
        <v>-22.372617748</v>
      </c>
      <c r="Q58" s="38">
        <v>-22.371617999999998</v>
      </c>
      <c r="R58" s="38">
        <v>-22.371617748000002</v>
      </c>
      <c r="S58" s="38">
        <v>-22.371617999999998</v>
      </c>
      <c r="T58" s="38">
        <v>-22.371617748000002</v>
      </c>
      <c r="U58" s="38">
        <v>-22.371617748000002</v>
      </c>
      <c r="V58" s="38">
        <v>-22.371599999999997</v>
      </c>
      <c r="W58" s="38">
        <v>-22.371599999999997</v>
      </c>
      <c r="X58" s="38">
        <v>-22.372</v>
      </c>
      <c r="Z58" s="38">
        <v>-22.37261775</v>
      </c>
      <c r="AA58" s="38">
        <v>-22.371617748000002</v>
      </c>
      <c r="AB58" s="38">
        <v>-22.372617748</v>
      </c>
      <c r="AC58" s="38">
        <v>-22.371617748000002</v>
      </c>
      <c r="AD58" s="38">
        <v>-22.371599999999997</v>
      </c>
    </row>
    <row r="59" spans="1:30" ht="14.25" customHeight="1" outlineLevel="1" x14ac:dyDescent="0.35">
      <c r="A59" s="3"/>
      <c r="B59" s="32" t="s">
        <v>213</v>
      </c>
      <c r="C59" s="38">
        <v>2631.5354754197569</v>
      </c>
      <c r="D59" s="38">
        <v>2927.6675665616694</v>
      </c>
      <c r="E59" s="38">
        <v>3190.9724006107162</v>
      </c>
      <c r="F59" s="38">
        <v>3566.5192011483414</v>
      </c>
      <c r="G59" s="38">
        <v>3837.7856400000001</v>
      </c>
      <c r="H59" s="38">
        <v>4109.8346357673654</v>
      </c>
      <c r="I59" s="38">
        <v>4431.2257002222204</v>
      </c>
      <c r="J59" s="38">
        <v>4732.6242846624882</v>
      </c>
      <c r="K59" s="38">
        <v>5082.5420697934933</v>
      </c>
      <c r="L59" s="38">
        <v>5449.4635754811825</v>
      </c>
      <c r="M59" s="38">
        <v>5829.7509467940827</v>
      </c>
      <c r="N59" s="38">
        <v>6237.3876070122415</v>
      </c>
      <c r="O59" s="38">
        <v>6607.235697659974</v>
      </c>
      <c r="P59" s="38">
        <v>6992.3263394929209</v>
      </c>
      <c r="Q59" s="38">
        <v>7403.0564680000007</v>
      </c>
      <c r="R59" s="38">
        <v>7891.0761938368205</v>
      </c>
      <c r="S59" s="38">
        <v>8373.6221069999992</v>
      </c>
      <c r="T59" s="38">
        <v>8877.2667613515441</v>
      </c>
      <c r="U59" s="38">
        <v>9408.419345768667</v>
      </c>
      <c r="V59" s="38">
        <v>10007.444300000001</v>
      </c>
      <c r="W59" s="38">
        <v>10532.536</v>
      </c>
      <c r="X59" s="38">
        <v>10642.125</v>
      </c>
      <c r="Z59" s="38">
        <v>3566.5192011483414</v>
      </c>
      <c r="AA59" s="38">
        <v>4732.6242846624882</v>
      </c>
      <c r="AB59" s="38">
        <v>6237.3876070122415</v>
      </c>
      <c r="AC59" s="38">
        <v>7891.0761938368205</v>
      </c>
      <c r="AD59" s="38">
        <v>10007.444300000001</v>
      </c>
    </row>
    <row r="60" spans="1:30" ht="14.25" customHeight="1" outlineLevel="1" x14ac:dyDescent="0.35">
      <c r="A60" s="3"/>
      <c r="B60" s="32" t="s">
        <v>214</v>
      </c>
      <c r="C60" s="38">
        <v>0</v>
      </c>
      <c r="D60" s="38">
        <v>0</v>
      </c>
      <c r="E60" s="38">
        <v>0</v>
      </c>
      <c r="F60" s="38">
        <v>0</v>
      </c>
      <c r="G60" s="38">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Z60" s="38">
        <v>0</v>
      </c>
      <c r="AA60" s="38">
        <v>0</v>
      </c>
      <c r="AB60" s="38">
        <v>0</v>
      </c>
      <c r="AC60" s="38">
        <v>0</v>
      </c>
      <c r="AD60" s="38">
        <v>0</v>
      </c>
    </row>
    <row r="61" spans="1:30" ht="14.25" customHeight="1" outlineLevel="1" x14ac:dyDescent="0.35">
      <c r="A61" s="3"/>
      <c r="B61" s="32" t="s">
        <v>120</v>
      </c>
      <c r="C61" s="38">
        <v>-86.041603780000003</v>
      </c>
      <c r="D61" s="38">
        <v>-86.041603780000003</v>
      </c>
      <c r="E61" s="38">
        <v>-15.598185490000001</v>
      </c>
      <c r="F61" s="38">
        <v>-13.609000230000001</v>
      </c>
      <c r="G61" s="38">
        <v>-0.88633299999999993</v>
      </c>
      <c r="H61" s="38">
        <v>-0.87035431000000008</v>
      </c>
      <c r="I61" s="38">
        <v>-0.19900730999999999</v>
      </c>
      <c r="J61" s="38">
        <v>-285.01114998999998</v>
      </c>
      <c r="K61" s="38">
        <v>-280.55476389</v>
      </c>
      <c r="L61" s="38">
        <v>-280.20441489000001</v>
      </c>
      <c r="M61" s="38">
        <v>-376.59753338999997</v>
      </c>
      <c r="N61" s="38">
        <v>-475.35140545000002</v>
      </c>
      <c r="O61" s="38">
        <v>-407.33747187</v>
      </c>
      <c r="P61" s="38">
        <v>-505.63767668999998</v>
      </c>
      <c r="Q61" s="38">
        <v>-609.82446400000003</v>
      </c>
      <c r="R61" s="38">
        <v>-760.3170859600001</v>
      </c>
      <c r="S61" s="38">
        <v>-583.22006700000009</v>
      </c>
      <c r="T61" s="38">
        <v>-583.22006707000014</v>
      </c>
      <c r="U61" s="38">
        <v>-1010.93907187</v>
      </c>
      <c r="V61" s="38">
        <v>-1367.6773000000001</v>
      </c>
      <c r="W61" s="38">
        <v>-1436.1443000000002</v>
      </c>
      <c r="X61" s="38">
        <v>-695.36099999999999</v>
      </c>
      <c r="Z61" s="38">
        <v>-13.609000230000001</v>
      </c>
      <c r="AA61" s="38">
        <v>-285.01114998999998</v>
      </c>
      <c r="AB61" s="38">
        <v>-475.35140545000002</v>
      </c>
      <c r="AC61" s="38">
        <v>-760.3170859600001</v>
      </c>
      <c r="AD61" s="38">
        <v>-1367.6773000000001</v>
      </c>
    </row>
    <row r="62" spans="1:30" ht="14.25" customHeight="1" outlineLevel="1" thickBot="1" x14ac:dyDescent="0.4">
      <c r="A62" s="3"/>
      <c r="B62" s="33" t="s">
        <v>215</v>
      </c>
      <c r="C62" s="60">
        <v>22.288359980000003</v>
      </c>
      <c r="D62" s="60">
        <v>22.492559610000001</v>
      </c>
      <c r="E62" s="60">
        <v>22.663873500000001</v>
      </c>
      <c r="F62" s="60">
        <v>12.113405460000001</v>
      </c>
      <c r="G62" s="60">
        <v>12.173859</v>
      </c>
      <c r="H62" s="60">
        <v>12.270738710000002</v>
      </c>
      <c r="I62" s="60">
        <v>12.42351071</v>
      </c>
      <c r="J62" s="60">
        <v>0</v>
      </c>
      <c r="K62" s="60">
        <v>0</v>
      </c>
      <c r="L62" s="60">
        <v>0</v>
      </c>
      <c r="M62" s="60">
        <v>0</v>
      </c>
      <c r="N62" s="60">
        <v>0</v>
      </c>
      <c r="O62" s="60">
        <v>0</v>
      </c>
      <c r="P62" s="60">
        <v>0</v>
      </c>
      <c r="Q62" s="60">
        <v>0</v>
      </c>
      <c r="R62" s="60">
        <v>0</v>
      </c>
      <c r="S62" s="60">
        <v>0</v>
      </c>
      <c r="T62" s="60">
        <v>0</v>
      </c>
      <c r="U62" s="60">
        <v>0</v>
      </c>
      <c r="V62" s="60">
        <v>0</v>
      </c>
      <c r="W62" s="60">
        <v>0</v>
      </c>
      <c r="X62" s="60">
        <v>0</v>
      </c>
      <c r="Z62" s="60">
        <v>12.113405460000001</v>
      </c>
      <c r="AA62" s="60">
        <v>0</v>
      </c>
      <c r="AB62" s="60">
        <v>0</v>
      </c>
      <c r="AC62" s="60">
        <v>0</v>
      </c>
      <c r="AD62" s="60">
        <v>0</v>
      </c>
    </row>
    <row r="63" spans="1:30" ht="14.25" customHeight="1" x14ac:dyDescent="0.35">
      <c r="B63" s="23"/>
      <c r="C63" s="38"/>
      <c r="D63" s="38"/>
      <c r="E63" s="38"/>
      <c r="F63" s="38"/>
      <c r="G63" s="38"/>
      <c r="H63" s="38"/>
      <c r="I63" s="38"/>
      <c r="J63" s="38"/>
      <c r="K63" s="38"/>
      <c r="L63" s="38"/>
      <c r="M63" s="38"/>
      <c r="N63" s="38"/>
      <c r="O63" s="38"/>
      <c r="P63" s="38"/>
      <c r="Q63" s="38"/>
      <c r="R63" s="38"/>
      <c r="S63" s="38"/>
      <c r="T63" s="38"/>
      <c r="U63" s="38"/>
      <c r="V63" s="38"/>
      <c r="W63" s="38"/>
      <c r="X63" s="38"/>
      <c r="Z63" s="38"/>
      <c r="AA63" s="38"/>
      <c r="AB63" s="38"/>
      <c r="AC63" s="38"/>
      <c r="AD63" s="38"/>
    </row>
    <row r="64" spans="1:30" ht="14.25" customHeight="1" thickBot="1" x14ac:dyDescent="0.4">
      <c r="B64" s="192" t="s">
        <v>54</v>
      </c>
      <c r="C64" s="189" t="s">
        <v>3</v>
      </c>
      <c r="D64" s="189" t="s">
        <v>4</v>
      </c>
      <c r="E64" s="189" t="s">
        <v>5</v>
      </c>
      <c r="F64" s="189" t="s">
        <v>6</v>
      </c>
      <c r="G64" s="189" t="s">
        <v>7</v>
      </c>
      <c r="H64" s="189" t="s">
        <v>8</v>
      </c>
      <c r="I64" s="189" t="s">
        <v>9</v>
      </c>
      <c r="J64" s="189" t="s">
        <v>10</v>
      </c>
      <c r="K64" s="189" t="s">
        <v>11</v>
      </c>
      <c r="L64" s="189" t="s">
        <v>12</v>
      </c>
      <c r="M64" s="189" t="s">
        <v>13</v>
      </c>
      <c r="N64" s="189" t="s">
        <v>14</v>
      </c>
      <c r="O64" s="189" t="s">
        <v>15</v>
      </c>
      <c r="P64" s="189" t="s">
        <v>16</v>
      </c>
      <c r="Q64" s="189" t="s">
        <v>17</v>
      </c>
      <c r="R64" s="189" t="s">
        <v>18</v>
      </c>
      <c r="S64" s="189" t="s">
        <v>19</v>
      </c>
      <c r="T64" s="189" t="str">
        <f>T5</f>
        <v>2Q24</v>
      </c>
      <c r="U64" s="189" t="str">
        <f>U5</f>
        <v>3Q24</v>
      </c>
      <c r="V64" s="189" t="s">
        <v>22</v>
      </c>
      <c r="W64" s="189" t="str">
        <f>W5</f>
        <v>1Q25</v>
      </c>
      <c r="X64" s="189" t="s">
        <v>493</v>
      </c>
      <c r="Z64" s="189">
        <v>2020</v>
      </c>
      <c r="AA64" s="189">
        <v>2021</v>
      </c>
      <c r="AB64" s="189">
        <v>2022</v>
      </c>
      <c r="AC64" s="189">
        <v>2023</v>
      </c>
      <c r="AD64" s="189">
        <v>2024</v>
      </c>
    </row>
    <row r="65" spans="2:30" ht="14.25" customHeight="1" x14ac:dyDescent="0.35">
      <c r="B65" s="27" t="s">
        <v>216</v>
      </c>
      <c r="C65" s="98">
        <v>8143.9756973190297</v>
      </c>
      <c r="D65" s="98">
        <v>8264.3251622398093</v>
      </c>
      <c r="E65" s="98">
        <v>8169.5616562581217</v>
      </c>
      <c r="F65" s="98">
        <v>7828.8454906056286</v>
      </c>
      <c r="G65" s="98">
        <v>7899.5390320000006</v>
      </c>
      <c r="H65" s="98">
        <v>8296.2496260797998</v>
      </c>
      <c r="I65" s="98">
        <v>8687.552383830589</v>
      </c>
      <c r="J65" s="98">
        <v>8863.1616017199958</v>
      </c>
      <c r="K65" s="98">
        <v>8336.4204708406651</v>
      </c>
      <c r="L65" s="98">
        <v>8641.9391921098431</v>
      </c>
      <c r="M65" s="98">
        <v>9049.7593644188419</v>
      </c>
      <c r="N65" s="98">
        <v>9836.0553865766451</v>
      </c>
      <c r="O65" s="98">
        <f>IFERROR(SUM(O66:O67),"-")</f>
        <v>9706.1054050937673</v>
      </c>
      <c r="P65" s="98">
        <f t="shared" ref="P65:T65" si="0">IFERROR(SUM(P66:P67),"-")</f>
        <v>9838.3835785723786</v>
      </c>
      <c r="Q65" s="98">
        <f t="shared" si="0"/>
        <v>10473.624027500002</v>
      </c>
      <c r="R65" s="98">
        <f t="shared" si="0"/>
        <v>8629.4558965134711</v>
      </c>
      <c r="S65" s="98">
        <f t="shared" si="0"/>
        <v>8970.2091463700199</v>
      </c>
      <c r="T65" s="98">
        <f t="shared" si="0"/>
        <v>8651.4892888487593</v>
      </c>
      <c r="U65" s="98">
        <f t="shared" ref="U65" si="1">IFERROR(SUM(U66:U67),"-")</f>
        <v>8295.1698563699902</v>
      </c>
      <c r="V65" s="98">
        <v>8865.3675999999978</v>
      </c>
      <c r="W65" s="98">
        <v>9207.3549927487475</v>
      </c>
      <c r="X65" s="98">
        <f t="shared" ref="X65" si="2">IFERROR(SUM(X66:X67),"-")</f>
        <v>8669.4430000000066</v>
      </c>
      <c r="Z65" s="99">
        <v>7828.8454906056286</v>
      </c>
      <c r="AA65" s="99">
        <v>8863.1616017199958</v>
      </c>
      <c r="AB65" s="99">
        <v>9836.0553865766451</v>
      </c>
      <c r="AC65" s="99">
        <v>8629.4558965134711</v>
      </c>
      <c r="AD65" s="99">
        <v>8865.3675999999978</v>
      </c>
    </row>
    <row r="66" spans="2:30" ht="14.25" customHeight="1" x14ac:dyDescent="0.35">
      <c r="B66" s="100" t="s">
        <v>183</v>
      </c>
      <c r="C66" s="46">
        <v>12835.235997549029</v>
      </c>
      <c r="D66" s="46">
        <v>14232.231578209809</v>
      </c>
      <c r="E66" s="46">
        <v>16024.892843618121</v>
      </c>
      <c r="F66" s="46">
        <v>18696.442013605625</v>
      </c>
      <c r="G66" s="46">
        <v>18093.891172</v>
      </c>
      <c r="H66" s="46">
        <v>19902.807348849798</v>
      </c>
      <c r="I66" s="46">
        <v>22425.812115810586</v>
      </c>
      <c r="J66" s="46">
        <v>26234.410993999998</v>
      </c>
      <c r="K66" s="46">
        <v>28534.236367578684</v>
      </c>
      <c r="L66" s="46">
        <v>33774.926918465746</v>
      </c>
      <c r="M66" s="46">
        <v>37779.468064922461</v>
      </c>
      <c r="N66" s="46">
        <v>39926.530727073885</v>
      </c>
      <c r="O66" s="46">
        <f t="shared" ref="O66:R66" si="3">SUM(O8:O9,O19,O11)</f>
        <v>37347.355603178912</v>
      </c>
      <c r="P66" s="46">
        <f t="shared" si="3"/>
        <v>36954.618721022685</v>
      </c>
      <c r="Q66" s="46">
        <f t="shared" si="3"/>
        <v>41475.0254145</v>
      </c>
      <c r="R66" s="46">
        <f t="shared" si="3"/>
        <v>46582.65559513239</v>
      </c>
      <c r="S66" s="46">
        <f t="shared" ref="S66:U66" si="4">SUM(S8:S9,S19,S11)</f>
        <v>50512.029399999999</v>
      </c>
      <c r="T66" s="46">
        <f t="shared" si="4"/>
        <v>56361.746339334488</v>
      </c>
      <c r="U66" s="46">
        <f t="shared" si="4"/>
        <v>56371.587892109987</v>
      </c>
      <c r="V66" s="46">
        <v>61218.8655</v>
      </c>
      <c r="W66" s="46">
        <v>57904.437163991635</v>
      </c>
      <c r="X66" s="46">
        <f>SUM(X8:X9,X19,X11)</f>
        <v>59570.387999999999</v>
      </c>
      <c r="Z66" s="46">
        <v>18696.442013605625</v>
      </c>
      <c r="AA66" s="46">
        <v>26234.410993999998</v>
      </c>
      <c r="AB66" s="46">
        <v>39926.530727073885</v>
      </c>
      <c r="AC66" s="46">
        <v>46582.65559513239</v>
      </c>
      <c r="AD66" s="46">
        <v>61218.8655</v>
      </c>
    </row>
    <row r="67" spans="2:30" ht="14.25" customHeight="1" thickBot="1" x14ac:dyDescent="0.4">
      <c r="B67" s="101" t="s">
        <v>217</v>
      </c>
      <c r="C67" s="102">
        <v>-4691.2603002299993</v>
      </c>
      <c r="D67" s="102">
        <v>-5967.9064159700001</v>
      </c>
      <c r="E67" s="102">
        <v>-7855.3311873599996</v>
      </c>
      <c r="F67" s="102">
        <v>-10867.596522999997</v>
      </c>
      <c r="G67" s="102">
        <v>-10194.352139999999</v>
      </c>
      <c r="H67" s="102">
        <v>-11606.557722769998</v>
      </c>
      <c r="I67" s="102">
        <v>-13738.259731979997</v>
      </c>
      <c r="J67" s="102">
        <v>-17371.249392280002</v>
      </c>
      <c r="K67" s="102">
        <v>-20197.815896738019</v>
      </c>
      <c r="L67" s="102">
        <v>-25132.987726355903</v>
      </c>
      <c r="M67" s="102">
        <v>-28729.708700503619</v>
      </c>
      <c r="N67" s="102">
        <v>-30090.47534049724</v>
      </c>
      <c r="O67" s="102">
        <f t="shared" ref="O67:U67" si="5">-(O29+O34+O35+O36+O44+O48+O30)</f>
        <v>-27641.250198085145</v>
      </c>
      <c r="P67" s="102">
        <f t="shared" si="5"/>
        <v>-27116.235142450307</v>
      </c>
      <c r="Q67" s="102">
        <f t="shared" si="5"/>
        <v>-31001.401386999998</v>
      </c>
      <c r="R67" s="102">
        <f t="shared" si="5"/>
        <v>-37953.199698618919</v>
      </c>
      <c r="S67" s="102">
        <f t="shared" si="5"/>
        <v>-41541.82025362998</v>
      </c>
      <c r="T67" s="102">
        <f t="shared" si="5"/>
        <v>-47710.257050485729</v>
      </c>
      <c r="U67" s="102">
        <f t="shared" si="5"/>
        <v>-48076.418035739996</v>
      </c>
      <c r="V67" s="102">
        <v>-52353.497900000002</v>
      </c>
      <c r="W67" s="102">
        <v>-48697.082171242888</v>
      </c>
      <c r="X67" s="102">
        <f t="shared" ref="X67" si="6">-(X29+X34+X35+X36+X44+X48+X30)</f>
        <v>-50900.944999999992</v>
      </c>
      <c r="Z67" s="102">
        <v>-10867.596522999997</v>
      </c>
      <c r="AA67" s="102">
        <v>-17371.249392280002</v>
      </c>
      <c r="AB67" s="102">
        <v>-30090.47534049724</v>
      </c>
      <c r="AC67" s="102">
        <v>-37953.199698618919</v>
      </c>
      <c r="AD67" s="102">
        <v>-52353.497900000002</v>
      </c>
    </row>
  </sheetData>
  <hyperlinks>
    <hyperlink ref="B3" r:id="rId1" xr:uid="{F7A81C8D-B959-4C11-B12A-35A9E370D347}"/>
  </hyperlinks>
  <pageMargins left="0.511811024" right="0.511811024" top="0.78740157499999996" bottom="0.78740157499999996" header="0.31496062000000002" footer="0.31496062000000002"/>
  <pageSetup paperSize="9" orientation="portrait" r:id="rId2"/>
  <ignoredErrors>
    <ignoredError sqref="A6:V9 A10:B10 A11:V62 Y1:XFD1048576 V10 A63:W64 A1:W5 A68:W1048576 A65:V6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5257-3FCA-4FC1-B26A-76EBE8CBFFEB}">
  <sheetPr codeName="Planilha4">
    <tabColor rgb="FFFFE72D"/>
  </sheetPr>
  <dimension ref="A1:BD108"/>
  <sheetViews>
    <sheetView showGridLines="0" zoomScaleNormal="104" workbookViewId="0">
      <pane xSplit="2" ySplit="5" topLeftCell="V38" activePane="bottomRight" state="frozen"/>
      <selection pane="topRight" activeCell="C1" sqref="C1"/>
      <selection pane="bottomLeft" activeCell="A6" sqref="A6"/>
      <selection pane="bottomRight" activeCell="Z11" sqref="Z11"/>
    </sheetView>
  </sheetViews>
  <sheetFormatPr defaultColWidth="0" defaultRowHeight="14.25" customHeight="1" outlineLevelRow="1" outlineLevelCol="1" x14ac:dyDescent="0.35"/>
  <cols>
    <col min="1" max="1" width="2.54296875" style="1" customWidth="1"/>
    <col min="2" max="2" width="60.54296875" style="24" customWidth="1"/>
    <col min="3" max="3" width="10.54296875" style="24" hidden="1" customWidth="1" outlineLevel="1" collapsed="1"/>
    <col min="4" max="6" width="10.54296875" style="24" hidden="1" customWidth="1" outlineLevel="1"/>
    <col min="7" max="7" width="10.54296875" style="24" hidden="1" customWidth="1" outlineLevel="1" collapsed="1"/>
    <col min="8" max="14" width="10.54296875" style="24" hidden="1" customWidth="1" outlineLevel="1"/>
    <col min="15" max="15" width="10.54296875" style="24" customWidth="1" collapsed="1"/>
    <col min="16" max="24" width="10.54296875" style="24" customWidth="1"/>
    <col min="25" max="25" width="2.54296875" style="24" customWidth="1"/>
    <col min="26" max="30" width="10.54296875" style="24" customWidth="1"/>
    <col min="31" max="31" width="2.54296875" style="24" customWidth="1"/>
    <col min="32" max="35" width="10.54296875" style="1" hidden="1" customWidth="1"/>
    <col min="36" max="40" width="0" style="1" hidden="1" customWidth="1"/>
    <col min="41" max="46" width="10.54296875" style="1" hidden="1" customWidth="1"/>
    <col min="47" max="56" width="0" style="1" hidden="1" customWidth="1"/>
    <col min="57" max="16384" width="10.54296875" style="1" hidden="1"/>
  </cols>
  <sheetData>
    <row r="1" spans="1:35" ht="14.25" customHeight="1" x14ac:dyDescent="0.35">
      <c r="C1" s="38"/>
      <c r="D1" s="38"/>
      <c r="E1" s="38"/>
      <c r="F1" s="38"/>
      <c r="G1" s="38"/>
      <c r="H1" s="38"/>
      <c r="I1" s="38"/>
      <c r="J1" s="38"/>
      <c r="K1" s="38"/>
      <c r="L1" s="38"/>
      <c r="M1" s="38"/>
      <c r="N1" s="38"/>
      <c r="O1" s="38"/>
      <c r="P1" s="38"/>
      <c r="Q1" s="38"/>
      <c r="R1" s="38"/>
      <c r="S1" s="38"/>
      <c r="T1" s="38"/>
      <c r="U1" s="38"/>
      <c r="V1" s="38"/>
      <c r="W1" s="38"/>
      <c r="X1" s="38"/>
      <c r="Z1" s="86"/>
      <c r="AA1" s="86"/>
      <c r="AB1" s="86"/>
      <c r="AC1" s="86"/>
      <c r="AD1" s="86"/>
      <c r="AE1" s="86"/>
      <c r="AF1" s="2"/>
      <c r="AG1" s="2"/>
      <c r="AH1" s="2"/>
      <c r="AI1" s="2"/>
    </row>
    <row r="2" spans="1:35" ht="14.25" customHeight="1" x14ac:dyDescent="0.35">
      <c r="B2" s="13" t="s">
        <v>95</v>
      </c>
      <c r="C2" s="38"/>
      <c r="D2" s="38"/>
      <c r="E2" s="38"/>
      <c r="F2" s="38"/>
      <c r="G2" s="38"/>
      <c r="H2" s="38"/>
      <c r="I2" s="38"/>
      <c r="J2" s="38"/>
      <c r="K2" s="38"/>
      <c r="L2" s="38"/>
      <c r="M2" s="38"/>
      <c r="N2" s="38"/>
      <c r="O2" s="38"/>
      <c r="P2" s="38"/>
      <c r="Q2" s="38"/>
      <c r="R2" s="38"/>
      <c r="S2" s="38"/>
      <c r="T2" s="38"/>
      <c r="U2" s="38"/>
      <c r="V2" s="38"/>
      <c r="W2" s="38"/>
      <c r="X2" s="38"/>
      <c r="Z2" s="86"/>
      <c r="AA2" s="86"/>
      <c r="AB2" s="86"/>
      <c r="AC2" s="86"/>
      <c r="AD2" s="86"/>
      <c r="AE2" s="86"/>
      <c r="AF2" s="2"/>
      <c r="AG2" s="2"/>
      <c r="AH2" s="2"/>
      <c r="AI2" s="2"/>
    </row>
    <row r="3" spans="1:35" ht="14.25" customHeight="1" x14ac:dyDescent="0.35">
      <c r="B3" s="15" t="s">
        <v>1</v>
      </c>
      <c r="C3" s="87"/>
      <c r="D3" s="87"/>
      <c r="E3" s="87"/>
      <c r="F3" s="87"/>
      <c r="G3" s="87"/>
      <c r="H3" s="87"/>
      <c r="I3" s="87"/>
      <c r="J3" s="87"/>
      <c r="K3" s="87"/>
      <c r="L3" s="87"/>
      <c r="M3" s="87"/>
      <c r="N3" s="87"/>
      <c r="O3" s="87"/>
      <c r="P3" s="87"/>
      <c r="Q3" s="87"/>
      <c r="R3" s="87"/>
      <c r="S3" s="87"/>
      <c r="T3" s="87"/>
      <c r="U3" s="87"/>
      <c r="V3" s="87"/>
      <c r="W3" s="87"/>
      <c r="X3" s="87"/>
      <c r="Z3" s="86"/>
      <c r="AA3" s="86"/>
      <c r="AB3" s="86"/>
      <c r="AC3" s="86"/>
      <c r="AD3" s="86"/>
      <c r="AE3" s="86"/>
      <c r="AF3" s="2"/>
      <c r="AG3" s="2"/>
      <c r="AH3" s="2"/>
      <c r="AI3" s="2"/>
    </row>
    <row r="4" spans="1:35" s="2" customFormat="1" ht="14.25" customHeight="1" x14ac:dyDescent="0.35">
      <c r="A4" s="1"/>
      <c r="B4" s="55"/>
      <c r="C4" s="38"/>
      <c r="D4" s="38"/>
      <c r="E4" s="38"/>
      <c r="F4" s="38"/>
      <c r="G4" s="38"/>
      <c r="H4" s="38"/>
      <c r="I4" s="38"/>
      <c r="J4" s="38"/>
      <c r="K4" s="38"/>
      <c r="L4" s="38"/>
      <c r="M4" s="38"/>
      <c r="N4" s="38"/>
      <c r="O4" s="38"/>
      <c r="P4" s="103"/>
      <c r="Q4" s="103"/>
      <c r="R4" s="103"/>
      <c r="S4" s="103"/>
      <c r="T4" s="103"/>
      <c r="U4" s="103"/>
      <c r="V4" s="103"/>
      <c r="W4" s="103"/>
      <c r="X4" s="103"/>
      <c r="Y4" s="24"/>
      <c r="Z4" s="86"/>
      <c r="AA4" s="86"/>
      <c r="AB4" s="86"/>
      <c r="AC4" s="86"/>
      <c r="AD4" s="86"/>
      <c r="AE4" s="86"/>
    </row>
    <row r="5" spans="1:35" s="2" customFormat="1" ht="14.25" customHeight="1" thickBot="1" x14ac:dyDescent="0.4">
      <c r="A5" s="1"/>
      <c r="B5" s="192" t="s">
        <v>54</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
        <v>20</v>
      </c>
      <c r="U5" s="189" t="s">
        <v>21</v>
      </c>
      <c r="V5" s="189" t="s">
        <v>22</v>
      </c>
      <c r="W5" s="189" t="s">
        <v>457</v>
      </c>
      <c r="X5" s="189" t="s">
        <v>493</v>
      </c>
      <c r="Y5" s="24"/>
      <c r="Z5" s="189">
        <v>2020</v>
      </c>
      <c r="AA5" s="189">
        <v>2021</v>
      </c>
      <c r="AB5" s="189">
        <v>2022</v>
      </c>
      <c r="AC5" s="189">
        <v>2023</v>
      </c>
      <c r="AD5" s="189">
        <v>2024</v>
      </c>
      <c r="AE5" s="86"/>
    </row>
    <row r="6" spans="1:35" s="2" customFormat="1" ht="14.25" customHeight="1" x14ac:dyDescent="0.35">
      <c r="A6" s="1"/>
      <c r="B6" s="88" t="s">
        <v>86</v>
      </c>
      <c r="C6" s="89">
        <v>-556.43391558278608</v>
      </c>
      <c r="D6" s="89">
        <v>-589.41989783206373</v>
      </c>
      <c r="E6" s="89">
        <v>-801.85333371000013</v>
      </c>
      <c r="F6" s="89">
        <v>-825.72826543515043</v>
      </c>
      <c r="G6" s="89">
        <v>-845.89162015999989</v>
      </c>
      <c r="H6" s="89">
        <v>-965.10283215999982</v>
      </c>
      <c r="I6" s="89">
        <v>-1112.1511079000004</v>
      </c>
      <c r="J6" s="89">
        <v>-1398.0048165500002</v>
      </c>
      <c r="K6" s="89">
        <v>-1302.9783022702736</v>
      </c>
      <c r="L6" s="89">
        <v>-1414.2046547948698</v>
      </c>
      <c r="M6" s="89">
        <v>-1371.616829647784</v>
      </c>
      <c r="N6" s="89">
        <v>-1478.260653589706</v>
      </c>
      <c r="O6" s="89">
        <v>-1388.7597120333323</v>
      </c>
      <c r="P6" s="89">
        <v>-1414.2290838637653</v>
      </c>
      <c r="Q6" s="89">
        <v>-1508.4410267865851</v>
      </c>
      <c r="R6" s="89">
        <v>-1644.688380414216</v>
      </c>
      <c r="S6" s="89">
        <v>-1626.5758664319394</v>
      </c>
      <c r="T6" s="89">
        <v>-1760.9301595813702</v>
      </c>
      <c r="U6" s="89">
        <v>-1850.924001886691</v>
      </c>
      <c r="V6" s="89">
        <v>-1959.6999999999998</v>
      </c>
      <c r="W6" s="89">
        <v>-1715.4242674060924</v>
      </c>
      <c r="X6" s="89">
        <v>-1735.87</v>
      </c>
      <c r="Y6" s="24"/>
      <c r="Z6" s="89">
        <v>-2773.4354125600003</v>
      </c>
      <c r="AA6" s="89">
        <v>-4321.1503767700005</v>
      </c>
      <c r="AB6" s="89">
        <v>-5566.9</v>
      </c>
      <c r="AC6" s="89">
        <v>-5956.1080000000002</v>
      </c>
      <c r="AD6" s="89">
        <v>-7198.0929999999998</v>
      </c>
      <c r="AE6" s="86"/>
    </row>
    <row r="7" spans="1:35" s="2" customFormat="1" ht="14.25" customHeight="1" outlineLevel="1" x14ac:dyDescent="0.35">
      <c r="A7" s="1"/>
      <c r="B7" s="32" t="s">
        <v>96</v>
      </c>
      <c r="C7" s="38">
        <v>-341.31681793000001</v>
      </c>
      <c r="D7" s="38">
        <v>-327.67153774000002</v>
      </c>
      <c r="E7" s="38">
        <v>-475.81282601000009</v>
      </c>
      <c r="F7" s="38">
        <v>-535.63985329000002</v>
      </c>
      <c r="G7" s="38">
        <v>-566.72366900999998</v>
      </c>
      <c r="H7" s="38">
        <v>-676.52042493999988</v>
      </c>
      <c r="I7" s="38">
        <v>-820.95729442000004</v>
      </c>
      <c r="J7" s="38">
        <v>-980.07479132000014</v>
      </c>
      <c r="K7" s="38">
        <v>-1018.6</v>
      </c>
      <c r="L7" s="38">
        <v>-1143.79240628</v>
      </c>
      <c r="M7" s="38">
        <v>-1159.2629693900005</v>
      </c>
      <c r="N7" s="38">
        <v>-1183.69626543</v>
      </c>
      <c r="O7" s="38">
        <v>-1115.5152621299999</v>
      </c>
      <c r="P7" s="38">
        <v>-1125.5372036899998</v>
      </c>
      <c r="Q7" s="38">
        <v>-1205.9480000000001</v>
      </c>
      <c r="R7" s="38">
        <v>-1358.47350424</v>
      </c>
      <c r="S7" s="38">
        <v>-1334.229</v>
      </c>
      <c r="T7" s="38">
        <v>-1453.99035546</v>
      </c>
      <c r="U7" s="38">
        <v>-1541.7624588899998</v>
      </c>
      <c r="V7" s="38">
        <v>-1614.7</v>
      </c>
      <c r="W7" s="38">
        <v>-1445.8562364000002</v>
      </c>
      <c r="X7" s="38">
        <v>-1436.8050000000001</v>
      </c>
      <c r="Y7" s="24"/>
      <c r="Z7" s="38">
        <v>-1680.4410349700001</v>
      </c>
      <c r="AA7" s="38">
        <v>-3044.2761796899999</v>
      </c>
      <c r="AB7" s="38">
        <v>-4505.29</v>
      </c>
      <c r="AC7" s="38">
        <v>-4805.4740000000002</v>
      </c>
      <c r="AD7" s="38">
        <v>-5944.6840000000002</v>
      </c>
      <c r="AE7" s="86"/>
    </row>
    <row r="8" spans="1:35" s="2" customFormat="1" ht="14.25" customHeight="1" outlineLevel="1" x14ac:dyDescent="0.35">
      <c r="A8" s="1"/>
      <c r="B8" s="32" t="s">
        <v>97</v>
      </c>
      <c r="C8" s="38">
        <v>-91.352320710000015</v>
      </c>
      <c r="D8" s="38">
        <v>-91.637532770000007</v>
      </c>
      <c r="E8" s="38">
        <v>-121.86819162999998</v>
      </c>
      <c r="F8" s="38">
        <v>-132.54117116999998</v>
      </c>
      <c r="G8" s="38">
        <v>-139.00166834999999</v>
      </c>
      <c r="H8" s="38">
        <v>-151.62935827999999</v>
      </c>
      <c r="I8" s="38">
        <v>-164.23698906000001</v>
      </c>
      <c r="J8" s="38">
        <v>-197.87102758999993</v>
      </c>
      <c r="K8" s="38">
        <v>-211.8</v>
      </c>
      <c r="L8" s="38">
        <v>-221.27221609</v>
      </c>
      <c r="M8" s="38">
        <v>-220.26254465</v>
      </c>
      <c r="N8" s="38">
        <v>-228.82849939000002</v>
      </c>
      <c r="O8" s="38">
        <v>-222.66323468999997</v>
      </c>
      <c r="P8" s="38">
        <v>-231.48130695000003</v>
      </c>
      <c r="Q8" s="38">
        <v>-244.02799999999999</v>
      </c>
      <c r="R8" s="38">
        <v>-271.02100000000002</v>
      </c>
      <c r="S8" s="38">
        <v>-257.01900000000001</v>
      </c>
      <c r="T8" s="38">
        <v>-274.29562568</v>
      </c>
      <c r="U8" s="38">
        <v>-285.59582093</v>
      </c>
      <c r="V8" s="38">
        <v>-288.60000000000002</v>
      </c>
      <c r="W8" s="38">
        <v>-250.28882979000002</v>
      </c>
      <c r="X8" s="38">
        <v>-282.19857908000006</v>
      </c>
      <c r="Y8" s="90"/>
      <c r="Z8" s="38">
        <v>-437.39921628000002</v>
      </c>
      <c r="AA8" s="38">
        <v>-652.73904327999992</v>
      </c>
      <c r="AB8" s="38">
        <v>-882.09100000000001</v>
      </c>
      <c r="AC8" s="38">
        <v>-969.19299999999998</v>
      </c>
      <c r="AD8" s="38">
        <v>-1105.432</v>
      </c>
      <c r="AE8" s="86"/>
    </row>
    <row r="9" spans="1:35" s="2" customFormat="1" ht="14.25" customHeight="1" outlineLevel="1" x14ac:dyDescent="0.35">
      <c r="A9" s="1"/>
      <c r="B9" s="32" t="s">
        <v>98</v>
      </c>
      <c r="C9" s="38">
        <v>-123.76477694278606</v>
      </c>
      <c r="D9" s="38">
        <v>-170.1108273220637</v>
      </c>
      <c r="E9" s="38">
        <v>-204.17231607000008</v>
      </c>
      <c r="F9" s="38">
        <v>-157.54724097515043</v>
      </c>
      <c r="G9" s="38">
        <v>-140.16628279999998</v>
      </c>
      <c r="H9" s="38">
        <v>-136.95304893999992</v>
      </c>
      <c r="I9" s="38">
        <v>-126.95682442000032</v>
      </c>
      <c r="J9" s="38">
        <v>-220.05899764000003</v>
      </c>
      <c r="K9" s="38">
        <v>-72.578302270273582</v>
      </c>
      <c r="L9" s="38">
        <v>-49.140032424869673</v>
      </c>
      <c r="M9" s="38">
        <v>7.9086843922163155</v>
      </c>
      <c r="N9" s="38">
        <v>-65.73588876970598</v>
      </c>
      <c r="O9" s="38">
        <f t="shared" ref="O9:U9" si="0">O6-SUM(O7:O8)</f>
        <v>-50.581215213332371</v>
      </c>
      <c r="P9" s="38">
        <f t="shared" si="0"/>
        <v>-57.210573223765323</v>
      </c>
      <c r="Q9" s="38">
        <f t="shared" si="0"/>
        <v>-58.465026786584986</v>
      </c>
      <c r="R9" s="38">
        <f t="shared" si="0"/>
        <v>-15.19387617421603</v>
      </c>
      <c r="S9" s="38">
        <f t="shared" si="0"/>
        <v>-35.327866431939356</v>
      </c>
      <c r="T9" s="38">
        <f t="shared" si="0"/>
        <v>-32.644178441370059</v>
      </c>
      <c r="U9" s="38">
        <f t="shared" si="0"/>
        <v>-23.565722066691251</v>
      </c>
      <c r="V9" s="38">
        <v>-56.399999999999636</v>
      </c>
      <c r="W9" s="38">
        <v>-19.279201216092133</v>
      </c>
      <c r="X9" s="38">
        <v>-16.866420919999655</v>
      </c>
      <c r="Y9" s="24"/>
      <c r="Z9" s="38">
        <v>-655.59516131000009</v>
      </c>
      <c r="AA9" s="38">
        <v>-624.13515380000081</v>
      </c>
      <c r="AB9" s="38">
        <v>-179.54553907263292</v>
      </c>
      <c r="AC9" s="38">
        <v>-181.45069139789916</v>
      </c>
      <c r="AD9" s="38">
        <v>-147.9377669400003</v>
      </c>
      <c r="AE9" s="86"/>
    </row>
    <row r="10" spans="1:35" s="2" customFormat="1" ht="14.25" customHeight="1" x14ac:dyDescent="0.35">
      <c r="A10" s="1"/>
      <c r="B10" s="88" t="s">
        <v>65</v>
      </c>
      <c r="C10" s="89">
        <v>-45.561989969999999</v>
      </c>
      <c r="D10" s="89">
        <v>-17.872514700000004</v>
      </c>
      <c r="E10" s="89">
        <v>-16.255824969999999</v>
      </c>
      <c r="F10" s="89">
        <v>-29.542062090000002</v>
      </c>
      <c r="G10" s="89">
        <v>-44.387658880000004</v>
      </c>
      <c r="H10" s="89">
        <v>-133.78472765999999</v>
      </c>
      <c r="I10" s="89">
        <v>-209.82270677</v>
      </c>
      <c r="J10" s="89">
        <v>-402.64024504000008</v>
      </c>
      <c r="K10" s="89">
        <v>-620.62783420999995</v>
      </c>
      <c r="L10" s="89">
        <v>-755.55951044419521</v>
      </c>
      <c r="M10" s="89">
        <v>-920.65559389805776</v>
      </c>
      <c r="N10" s="89">
        <v>-854.70929850153209</v>
      </c>
      <c r="O10" s="89">
        <v>-812.97072458971468</v>
      </c>
      <c r="P10" s="89">
        <v>-795.62738407411825</v>
      </c>
      <c r="Q10" s="89">
        <v>-819.93723811680593</v>
      </c>
      <c r="R10" s="89">
        <v>-841.12085084668172</v>
      </c>
      <c r="S10" s="89">
        <v>-827.13272112797347</v>
      </c>
      <c r="T10" s="89">
        <v>-863.42093072595981</v>
      </c>
      <c r="U10" s="89">
        <v>-964.29900973928704</v>
      </c>
      <c r="V10" s="89">
        <v>-1091.8000000000002</v>
      </c>
      <c r="W10" s="89">
        <v>-1177.7638463346641</v>
      </c>
      <c r="X10" s="89">
        <v>-1279.567</v>
      </c>
      <c r="Y10" s="24"/>
      <c r="Z10" s="89">
        <v>-109.23239173</v>
      </c>
      <c r="AA10" s="89">
        <v>-790.6353383500001</v>
      </c>
      <c r="AB10" s="89">
        <v>-3151.5520000000001</v>
      </c>
      <c r="AC10" s="89">
        <v>-3269.556</v>
      </c>
      <c r="AD10" s="89">
        <v>-3746.6880000000001</v>
      </c>
      <c r="AE10" s="86"/>
    </row>
    <row r="11" spans="1:35" s="2" customFormat="1" ht="14.25" customHeight="1" x14ac:dyDescent="0.35">
      <c r="A11" s="1"/>
      <c r="B11" s="88" t="s">
        <v>99</v>
      </c>
      <c r="C11" s="89">
        <v>-359.36899924182592</v>
      </c>
      <c r="D11" s="89">
        <v>-195.98540453092841</v>
      </c>
      <c r="E11" s="89">
        <v>-427.15818438784396</v>
      </c>
      <c r="F11" s="89">
        <v>-510.00398553048865</v>
      </c>
      <c r="G11" s="89">
        <v>-485.12261704850113</v>
      </c>
      <c r="H11" s="89">
        <v>-604.00646414954156</v>
      </c>
      <c r="I11" s="89">
        <v>-699.41274029399301</v>
      </c>
      <c r="J11" s="89">
        <v>-627.49753356197573</v>
      </c>
      <c r="K11" s="89">
        <v>-588.26333919393403</v>
      </c>
      <c r="L11" s="89">
        <v>-653.91752555186417</v>
      </c>
      <c r="M11" s="89">
        <v>-709.52923755124448</v>
      </c>
      <c r="N11" s="89">
        <v>-590.31865760351695</v>
      </c>
      <c r="O11" s="89">
        <f t="shared" ref="O11:P11" si="1">SUM(O12:O15)</f>
        <v>-606.15040256598058</v>
      </c>
      <c r="P11" s="89">
        <f t="shared" si="1"/>
        <v>-618.82488738512768</v>
      </c>
      <c r="Q11" s="89">
        <f t="shared" ref="Q11" si="2">SUM(Q12:Q15)</f>
        <v>-610.30052287650062</v>
      </c>
      <c r="R11" s="89">
        <f t="shared" ref="R11:T11" si="3">SUM(R12:R15)</f>
        <v>-731.58864736617124</v>
      </c>
      <c r="S11" s="89">
        <f t="shared" si="3"/>
        <v>-750.0326713623499</v>
      </c>
      <c r="T11" s="89">
        <f t="shared" si="3"/>
        <v>-810.75473721280002</v>
      </c>
      <c r="U11" s="89">
        <f t="shared" ref="U11" si="4">SUM(U12:U15)</f>
        <v>-853.30348695693533</v>
      </c>
      <c r="V11" s="89">
        <v>-850.11000000000013</v>
      </c>
      <c r="W11" s="89">
        <v>-816.69675965786564</v>
      </c>
      <c r="X11" s="89">
        <v>-841.03917583102816</v>
      </c>
      <c r="Y11" s="24"/>
      <c r="Z11" s="89">
        <v>-1492.5165736910869</v>
      </c>
      <c r="AA11" s="89">
        <v>-2416.0393550540111</v>
      </c>
      <c r="AB11" s="89">
        <v>-2542.1293168550128</v>
      </c>
      <c r="AC11" s="89">
        <v>-2567.1999999999998</v>
      </c>
      <c r="AD11" s="89">
        <v>-3258.9205999999999</v>
      </c>
      <c r="AE11" s="86"/>
    </row>
    <row r="12" spans="1:35" s="2" customFormat="1" ht="14.25" customHeight="1" outlineLevel="1" x14ac:dyDescent="0.35">
      <c r="A12" s="1"/>
      <c r="B12" s="32" t="s">
        <v>100</v>
      </c>
      <c r="C12" s="38">
        <v>0</v>
      </c>
      <c r="D12" s="38">
        <v>0</v>
      </c>
      <c r="E12" s="38">
        <v>0</v>
      </c>
      <c r="F12" s="38">
        <v>0</v>
      </c>
      <c r="G12" s="38">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90"/>
      <c r="Z12" s="38">
        <v>0</v>
      </c>
      <c r="AA12" s="38">
        <v>0</v>
      </c>
      <c r="AB12" s="38">
        <v>0</v>
      </c>
      <c r="AC12" s="38">
        <v>0</v>
      </c>
      <c r="AD12" s="38">
        <v>0</v>
      </c>
      <c r="AE12" s="86"/>
    </row>
    <row r="13" spans="1:35" s="2" customFormat="1" ht="14.25" customHeight="1" outlineLevel="1" x14ac:dyDescent="0.35">
      <c r="A13" s="1"/>
      <c r="B13" s="32" t="s">
        <v>101</v>
      </c>
      <c r="C13" s="38">
        <v>-156.16515697477143</v>
      </c>
      <c r="D13" s="38">
        <v>-98.004076913110936</v>
      </c>
      <c r="E13" s="38">
        <v>-115.93558771053259</v>
      </c>
      <c r="F13" s="38">
        <v>-140.68679624039748</v>
      </c>
      <c r="G13" s="38">
        <v>-190.14082957000002</v>
      </c>
      <c r="H13" s="38">
        <v>-212.69834353000002</v>
      </c>
      <c r="I13" s="38">
        <v>-210.44027416</v>
      </c>
      <c r="J13" s="38">
        <v>-177.79592673000002</v>
      </c>
      <c r="K13" s="38">
        <v>-172.36477647000004</v>
      </c>
      <c r="L13" s="38">
        <v>-167.44069830000001</v>
      </c>
      <c r="M13" s="38">
        <v>-199.94698797000001</v>
      </c>
      <c r="N13" s="38">
        <v>-177.95756170999999</v>
      </c>
      <c r="O13" s="38">
        <v>-117.74875795000003</v>
      </c>
      <c r="P13" s="38">
        <v>-129.32659444000001</v>
      </c>
      <c r="Q13" s="38">
        <v>-139.842351592168</v>
      </c>
      <c r="R13" s="38">
        <v>-193.74936925</v>
      </c>
      <c r="S13" s="38">
        <v>-209.30307027000001</v>
      </c>
      <c r="T13" s="38">
        <v>-220.27597414279995</v>
      </c>
      <c r="U13" s="38">
        <v>-223.4634898772</v>
      </c>
      <c r="V13" s="38">
        <v>-205.3</v>
      </c>
      <c r="W13" s="38">
        <v>-210.27383632000002</v>
      </c>
      <c r="X13" s="38">
        <v>-225.51034315645998</v>
      </c>
      <c r="Y13" s="24"/>
      <c r="Z13" s="38">
        <v>-510.79161783881244</v>
      </c>
      <c r="AA13" s="38">
        <v>-791.07537399000012</v>
      </c>
      <c r="AB13" s="38">
        <v>-717.73199999999997</v>
      </c>
      <c r="AC13" s="38">
        <v>-580.66700000000003</v>
      </c>
      <c r="AD13" s="38">
        <v>-858.32100000000003</v>
      </c>
      <c r="AE13" s="86"/>
    </row>
    <row r="14" spans="1:35" s="2" customFormat="1" ht="14.25" customHeight="1" outlineLevel="1" x14ac:dyDescent="0.35">
      <c r="A14" s="1"/>
      <c r="B14" s="32" t="s">
        <v>102</v>
      </c>
      <c r="C14" s="38">
        <v>-105.06175475814409</v>
      </c>
      <c r="D14" s="38">
        <v>-98.390587617817488</v>
      </c>
      <c r="E14" s="38">
        <v>-205.8795331342769</v>
      </c>
      <c r="F14" s="38">
        <v>-209.79932169427752</v>
      </c>
      <c r="G14" s="38">
        <v>-231.66198560776397</v>
      </c>
      <c r="H14" s="38">
        <v>-248.56965138735603</v>
      </c>
      <c r="I14" s="38">
        <v>-335.50220855266002</v>
      </c>
      <c r="J14" s="38">
        <v>-258.50709050643604</v>
      </c>
      <c r="K14" s="38">
        <v>-255.46201970896004</v>
      </c>
      <c r="L14" s="38">
        <v>-291.87019752239922</v>
      </c>
      <c r="M14" s="38">
        <v>-277.79674963628065</v>
      </c>
      <c r="N14" s="38">
        <v>-207.52445172790692</v>
      </c>
      <c r="O14" s="38">
        <v>-271.92701775500257</v>
      </c>
      <c r="P14" s="38">
        <v>-275.70025644489465</v>
      </c>
      <c r="Q14" s="38">
        <v>-274.31351134270062</v>
      </c>
      <c r="R14" s="38">
        <v>-300.09306860840923</v>
      </c>
      <c r="S14" s="38">
        <v>-334.68852863109794</v>
      </c>
      <c r="T14" s="38">
        <v>-351.17899999999997</v>
      </c>
      <c r="U14" s="38">
        <v>-372.73390646950998</v>
      </c>
      <c r="V14" s="38">
        <v>-362.7000000000001</v>
      </c>
      <c r="W14" s="38">
        <v>-347.84578726822195</v>
      </c>
      <c r="X14" s="38">
        <v>-347.37292111851201</v>
      </c>
      <c r="Y14" s="24"/>
      <c r="Z14" s="38">
        <v>-619.13119720451596</v>
      </c>
      <c r="AA14" s="38">
        <v>-1074.240936054216</v>
      </c>
      <c r="AB14" s="38">
        <v>-1032.732</v>
      </c>
      <c r="AC14" s="38">
        <v>-1122.1279999999999</v>
      </c>
      <c r="AD14" s="38">
        <v>-1421.2529999999999</v>
      </c>
      <c r="AE14" s="86"/>
    </row>
    <row r="15" spans="1:35" s="2" customFormat="1" ht="14.25" customHeight="1" outlineLevel="1" x14ac:dyDescent="0.35">
      <c r="A15" s="1"/>
      <c r="B15" s="32" t="s">
        <v>103</v>
      </c>
      <c r="C15" s="52">
        <v>-98.142087508910407</v>
      </c>
      <c r="D15" s="52">
        <v>0.4092600000000175</v>
      </c>
      <c r="E15" s="52">
        <v>-105.34306354303449</v>
      </c>
      <c r="F15" s="52">
        <v>-159.51786759581364</v>
      </c>
      <c r="G15" s="52">
        <v>-63.319801870737145</v>
      </c>
      <c r="H15" s="52">
        <v>-142.73846923218548</v>
      </c>
      <c r="I15" s="52">
        <v>-153.47025758133299</v>
      </c>
      <c r="J15" s="52">
        <v>-191.19451632553964</v>
      </c>
      <c r="K15" s="52">
        <v>-160.43654301497398</v>
      </c>
      <c r="L15" s="52">
        <v>-194.60662972946494</v>
      </c>
      <c r="M15" s="52">
        <v>-231.78549994496387</v>
      </c>
      <c r="N15" s="52">
        <v>-204.83664416561001</v>
      </c>
      <c r="O15" s="38">
        <v>-216.47462686097796</v>
      </c>
      <c r="P15" s="38">
        <v>-213.79803650023302</v>
      </c>
      <c r="Q15" s="38">
        <v>-196.14465994163197</v>
      </c>
      <c r="R15" s="38">
        <v>-237.74620950776205</v>
      </c>
      <c r="S15" s="38">
        <v>-206.04107246125199</v>
      </c>
      <c r="T15" s="38">
        <v>-239.29976307000004</v>
      </c>
      <c r="U15" s="38">
        <v>-257.10609061022535</v>
      </c>
      <c r="V15" s="38">
        <v>-282.11</v>
      </c>
      <c r="W15" s="38">
        <v>-258.57713606964359</v>
      </c>
      <c r="X15" s="38">
        <v>-268.15591155605608</v>
      </c>
      <c r="Y15" s="24"/>
      <c r="Z15" s="38">
        <v>-362.59375864775853</v>
      </c>
      <c r="AA15" s="38">
        <v>-550.72304500979521</v>
      </c>
      <c r="AB15" s="38">
        <v>-791.66531685501275</v>
      </c>
      <c r="AC15" s="38">
        <v>-864.16353000000004</v>
      </c>
      <c r="AD15" s="38">
        <v>-979.34659999999997</v>
      </c>
      <c r="AE15" s="86"/>
    </row>
    <row r="16" spans="1:35" s="2" customFormat="1" ht="14.25" customHeight="1" x14ac:dyDescent="0.35">
      <c r="A16" s="1"/>
      <c r="B16" s="88" t="s">
        <v>76</v>
      </c>
      <c r="C16" s="89">
        <v>-70.171495870000001</v>
      </c>
      <c r="D16" s="89">
        <v>-60.324426360000004</v>
      </c>
      <c r="E16" s="89">
        <v>-82.473348340000015</v>
      </c>
      <c r="F16" s="89">
        <v>-75.339767269999996</v>
      </c>
      <c r="G16" s="89">
        <v>-173.13273332</v>
      </c>
      <c r="H16" s="89">
        <v>-147.02718609000001</v>
      </c>
      <c r="I16" s="89">
        <v>-129.89069608</v>
      </c>
      <c r="J16" s="89">
        <v>-214.21735868999997</v>
      </c>
      <c r="K16" s="89">
        <v>-249.71464083999999</v>
      </c>
      <c r="L16" s="89">
        <v>-270.48382595791998</v>
      </c>
      <c r="M16" s="89">
        <v>-272.75183490207996</v>
      </c>
      <c r="N16" s="89">
        <v>-191.53634024999999</v>
      </c>
      <c r="O16" s="89">
        <f t="shared" ref="O16:T16" si="5">SUM(O17:O18)</f>
        <v>-126.54382303</v>
      </c>
      <c r="P16" s="89">
        <f t="shared" si="5"/>
        <v>-121.65799247</v>
      </c>
      <c r="Q16" s="89">
        <f t="shared" si="5"/>
        <v>-165.02500000000001</v>
      </c>
      <c r="R16" s="89">
        <f t="shared" si="5"/>
        <v>-122.5847101013008</v>
      </c>
      <c r="S16" s="89">
        <f t="shared" si="5"/>
        <v>-102.73741299845999</v>
      </c>
      <c r="T16" s="89">
        <f t="shared" si="5"/>
        <v>-112.956</v>
      </c>
      <c r="U16" s="89">
        <f t="shared" ref="U16" si="6">SUM(U17:U18)</f>
        <v>-119.64396086609599</v>
      </c>
      <c r="V16" s="89">
        <v>-120.69999999999999</v>
      </c>
      <c r="W16" s="89">
        <v>-83.451065724638994</v>
      </c>
      <c r="X16" s="89">
        <v>-97.548286782290987</v>
      </c>
      <c r="Y16" s="24"/>
      <c r="Z16" s="89">
        <v>-288.30903784000003</v>
      </c>
      <c r="AA16" s="89">
        <v>-664.26797418000001</v>
      </c>
      <c r="AB16" s="89">
        <v>-984.48699999999997</v>
      </c>
      <c r="AC16" s="89">
        <v>-536.048</v>
      </c>
      <c r="AD16" s="89">
        <v>-456.07900000000001</v>
      </c>
      <c r="AE16" s="86"/>
    </row>
    <row r="17" spans="1:31" s="2" customFormat="1" ht="14.25" customHeight="1" outlineLevel="1" x14ac:dyDescent="0.35">
      <c r="A17" s="1"/>
      <c r="B17" s="32" t="s">
        <v>104</v>
      </c>
      <c r="C17" s="38"/>
      <c r="D17" s="38"/>
      <c r="E17" s="38"/>
      <c r="F17" s="38"/>
      <c r="G17" s="38"/>
      <c r="H17" s="38"/>
      <c r="I17" s="38"/>
      <c r="J17" s="38"/>
      <c r="K17" s="38">
        <v>-88.948152429999993</v>
      </c>
      <c r="L17" s="38">
        <v>-115.01603417792001</v>
      </c>
      <c r="M17" s="38">
        <v>-126.29378593208</v>
      </c>
      <c r="N17" s="38">
        <v>-111.98769313</v>
      </c>
      <c r="O17" s="38">
        <v>-86.3</v>
      </c>
      <c r="P17" s="38">
        <v>-115.3</v>
      </c>
      <c r="Q17" s="38">
        <v>-136</v>
      </c>
      <c r="R17" s="38">
        <v>-93.823620421300802</v>
      </c>
      <c r="S17" s="38">
        <v>-72.11698171245223</v>
      </c>
      <c r="T17" s="38">
        <v>-75.665997900000008</v>
      </c>
      <c r="U17" s="38">
        <v>-91.794587596095994</v>
      </c>
      <c r="V17" s="38">
        <v>-106.1</v>
      </c>
      <c r="W17" s="38">
        <v>-62.213092194639003</v>
      </c>
      <c r="X17" s="38">
        <v>-69.789000000000001</v>
      </c>
      <c r="Y17" s="24"/>
      <c r="Z17" s="38"/>
      <c r="AA17" s="38" t="s">
        <v>28</v>
      </c>
      <c r="AB17" s="38">
        <v>-442.24566566999999</v>
      </c>
      <c r="AC17" s="38">
        <v>-426.73919000000001</v>
      </c>
      <c r="AD17" s="38">
        <v>-345.69229999999999</v>
      </c>
      <c r="AE17" s="86"/>
    </row>
    <row r="18" spans="1:31" s="2" customFormat="1" ht="14.25" customHeight="1" outlineLevel="1" x14ac:dyDescent="0.35">
      <c r="A18" s="1"/>
      <c r="B18" s="32" t="s">
        <v>105</v>
      </c>
      <c r="C18" s="38"/>
      <c r="D18" s="38"/>
      <c r="E18" s="38"/>
      <c r="F18" s="38"/>
      <c r="G18" s="38"/>
      <c r="H18" s="38"/>
      <c r="I18" s="38"/>
      <c r="J18" s="38"/>
      <c r="K18" s="38">
        <v>-160.76648840999999</v>
      </c>
      <c r="L18" s="38">
        <v>-155.46779178</v>
      </c>
      <c r="M18" s="38">
        <v>-146.45804896999999</v>
      </c>
      <c r="N18" s="38">
        <v>-79.548647119999998</v>
      </c>
      <c r="O18" s="38">
        <v>-40.243823030000001</v>
      </c>
      <c r="P18" s="38">
        <v>-6.3579924700000001</v>
      </c>
      <c r="Q18" s="38">
        <v>-29.024999999999999</v>
      </c>
      <c r="R18" s="38">
        <v>-28.761089680000005</v>
      </c>
      <c r="S18" s="38">
        <v>-30.620431286007758</v>
      </c>
      <c r="T18" s="38">
        <v>-37.290002099999995</v>
      </c>
      <c r="U18" s="38">
        <v>-27.849373270000001</v>
      </c>
      <c r="V18" s="38">
        <v>-14.599999999999998</v>
      </c>
      <c r="W18" s="38">
        <v>-21.237973529999998</v>
      </c>
      <c r="X18" s="38">
        <v>-27.759286782290985</v>
      </c>
      <c r="Y18" s="24"/>
      <c r="Z18" s="38"/>
      <c r="AA18" s="38" t="s">
        <v>28</v>
      </c>
      <c r="AB18" s="38">
        <v>-542.24097628000004</v>
      </c>
      <c r="AC18" s="38">
        <v>-109.30733474000002</v>
      </c>
      <c r="AD18" s="38">
        <v>-110.35980665600776</v>
      </c>
      <c r="AE18" s="86"/>
    </row>
    <row r="19" spans="1:31" s="2" customFormat="1" ht="14.25" customHeight="1" x14ac:dyDescent="0.35">
      <c r="A19" s="1"/>
      <c r="B19" s="88" t="s">
        <v>69</v>
      </c>
      <c r="C19" s="89">
        <v>-59.6</v>
      </c>
      <c r="D19" s="89">
        <v>-81.400000000000006</v>
      </c>
      <c r="E19" s="89">
        <v>-101.52798060813829</v>
      </c>
      <c r="F19" s="89">
        <v>-133.82178216510505</v>
      </c>
      <c r="G19" s="89">
        <v>-158.29787135049457</v>
      </c>
      <c r="H19" s="89">
        <v>-181.52033899584535</v>
      </c>
      <c r="I19" s="89">
        <v>-203.27671777909396</v>
      </c>
      <c r="J19" s="89">
        <v>-225.5</v>
      </c>
      <c r="K19" s="89">
        <v>-249.02219570682448</v>
      </c>
      <c r="L19" s="89">
        <v>-280.56612036482954</v>
      </c>
      <c r="M19" s="89">
        <v>-294.41611663115395</v>
      </c>
      <c r="N19" s="89">
        <v>-306.649080200865</v>
      </c>
      <c r="O19" s="89">
        <v>-317.43429316927228</v>
      </c>
      <c r="P19" s="89">
        <v>-325.57205905775481</v>
      </c>
      <c r="Q19" s="89">
        <v>-346.479101002915</v>
      </c>
      <c r="R19" s="89">
        <v>-366.17548289828596</v>
      </c>
      <c r="S19" s="89">
        <v>-371.51231529374996</v>
      </c>
      <c r="T19" s="89">
        <v>-391.17183326049991</v>
      </c>
      <c r="U19" s="89">
        <v>-413.02603908575003</v>
      </c>
      <c r="V19" s="89">
        <v>-425.2</v>
      </c>
      <c r="W19" s="89">
        <v>-439.00831746</v>
      </c>
      <c r="X19" s="89">
        <v>-451.84595817855995</v>
      </c>
      <c r="Y19" s="24"/>
      <c r="Z19" s="89">
        <v>-376.34976277324336</v>
      </c>
      <c r="AA19" s="89">
        <v>-768.59492812543385</v>
      </c>
      <c r="AB19" s="89">
        <v>-1130.69</v>
      </c>
      <c r="AC19" s="89">
        <v>-1355.653</v>
      </c>
      <c r="AD19" s="89">
        <v>-1600.932</v>
      </c>
      <c r="AE19" s="86"/>
    </row>
    <row r="20" spans="1:31" s="2" customFormat="1" ht="14.25" customHeight="1" x14ac:dyDescent="0.35">
      <c r="A20" s="1"/>
      <c r="B20" s="88" t="s">
        <v>106</v>
      </c>
      <c r="C20" s="89"/>
      <c r="D20" s="89"/>
      <c r="E20" s="89"/>
      <c r="F20" s="89"/>
      <c r="G20" s="89"/>
      <c r="H20" s="89"/>
      <c r="I20" s="89"/>
      <c r="J20" s="89"/>
      <c r="K20" s="89"/>
      <c r="L20" s="89">
        <v>-93.141000000000005</v>
      </c>
      <c r="M20" s="89">
        <v>-41.164966999999997</v>
      </c>
      <c r="N20" s="89">
        <v>-65.599999999999994</v>
      </c>
      <c r="O20" s="89">
        <v>-62.256</v>
      </c>
      <c r="P20" s="89">
        <v>-64.7</v>
      </c>
      <c r="Q20" s="89">
        <v>-63.747</v>
      </c>
      <c r="R20" s="89">
        <v>-56.822000000000003</v>
      </c>
      <c r="S20" s="89">
        <v>-56.195</v>
      </c>
      <c r="T20" s="89">
        <v>-39.699236929999998</v>
      </c>
      <c r="U20" s="89">
        <v>-36.724938750001797</v>
      </c>
      <c r="V20" s="89">
        <v>-31.29</v>
      </c>
      <c r="W20" s="89">
        <v>-37.708999999999996</v>
      </c>
      <c r="X20" s="89">
        <v>-36.042999999999999</v>
      </c>
      <c r="Y20" s="24"/>
      <c r="Z20" s="89">
        <v>0</v>
      </c>
      <c r="AA20" s="89">
        <v>0</v>
      </c>
      <c r="AB20" s="89">
        <v>-199.905967</v>
      </c>
      <c r="AC20" s="89">
        <v>-246.77099999999999</v>
      </c>
      <c r="AD20" s="89">
        <v>-163.89099999999999</v>
      </c>
      <c r="AE20" s="86"/>
    </row>
    <row r="21" spans="1:31" s="2" customFormat="1" ht="14.25" customHeight="1" x14ac:dyDescent="0.35">
      <c r="A21" s="1"/>
      <c r="B21" s="39" t="s">
        <v>67</v>
      </c>
      <c r="C21" s="40">
        <v>-1091.136400664612</v>
      </c>
      <c r="D21" s="40">
        <v>-945.00224342299214</v>
      </c>
      <c r="E21" s="40">
        <v>-1429.2686720159825</v>
      </c>
      <c r="F21" s="40">
        <v>-1574.4358624907443</v>
      </c>
      <c r="G21" s="40">
        <v>-1706.8325007589956</v>
      </c>
      <c r="H21" s="40">
        <v>-2031.4415490553865</v>
      </c>
      <c r="I21" s="40">
        <v>-2354.5539688230874</v>
      </c>
      <c r="J21" s="40">
        <v>-2867.8599538419758</v>
      </c>
      <c r="K21" s="40">
        <v>-3010.6063122210317</v>
      </c>
      <c r="L21" s="40">
        <v>-3467.8726371136786</v>
      </c>
      <c r="M21" s="40">
        <v>-3610.1345796303208</v>
      </c>
      <c r="N21" s="40">
        <v>-3487.0740301456203</v>
      </c>
      <c r="O21" s="40">
        <f t="shared" ref="O21:S21" si="7">O33</f>
        <v>-3313.6942300482997</v>
      </c>
      <c r="P21" s="40">
        <f t="shared" si="7"/>
        <v>-3340.6283153130862</v>
      </c>
      <c r="Q21" s="40">
        <f t="shared" si="7"/>
        <v>-3514.0820805112635</v>
      </c>
      <c r="R21" s="40">
        <f t="shared" si="7"/>
        <v>-3762.8674122866569</v>
      </c>
      <c r="S21" s="40">
        <f t="shared" si="7"/>
        <v>-3733.9999999999995</v>
      </c>
      <c r="T21" s="40">
        <f>T33</f>
        <v>-3978.9819307259595</v>
      </c>
      <c r="U21" s="40">
        <f>U33</f>
        <v>-4237.9526210841395</v>
      </c>
      <c r="V21" s="40">
        <v>-4478.9000000000005</v>
      </c>
      <c r="W21" s="40">
        <v>-4270.25</v>
      </c>
      <c r="X21" s="40">
        <v>-4441.9134207918796</v>
      </c>
      <c r="Y21" s="24"/>
      <c r="Z21" s="40">
        <v>-5039.8192989534473</v>
      </c>
      <c r="AA21" s="40">
        <v>-8429.2547261331492</v>
      </c>
      <c r="AB21" s="40">
        <v>-13575.598</v>
      </c>
      <c r="AC21" s="40">
        <v>-13931.294</v>
      </c>
      <c r="AD21" s="40">
        <v>-16429.703000000001</v>
      </c>
      <c r="AE21" s="86"/>
    </row>
    <row r="22" spans="1:31" s="2" customFormat="1" ht="14.25" customHeight="1" thickBot="1" x14ac:dyDescent="0.4">
      <c r="A22" s="1"/>
      <c r="B22" s="91" t="s">
        <v>68</v>
      </c>
      <c r="C22" s="92">
        <v>-658.46726202461195</v>
      </c>
      <c r="D22" s="92">
        <v>-525.69317291299217</v>
      </c>
      <c r="E22" s="92">
        <v>-831.58765437598242</v>
      </c>
      <c r="F22" s="92">
        <v>-906.25483803074428</v>
      </c>
      <c r="G22" s="92">
        <v>-1001.1071633989957</v>
      </c>
      <c r="H22" s="92">
        <v>-1203.2917658353867</v>
      </c>
      <c r="I22" s="92">
        <v>-1369.3596853430874</v>
      </c>
      <c r="J22" s="92">
        <v>-1689.9141349319757</v>
      </c>
      <c r="K22" s="92">
        <v>-1780.2063122210318</v>
      </c>
      <c r="L22" s="92">
        <v>-2102.808014743679</v>
      </c>
      <c r="M22" s="92">
        <v>-2230.6090655903204</v>
      </c>
      <c r="N22" s="92">
        <v>-2074.5492653256201</v>
      </c>
      <c r="O22" s="92">
        <f t="shared" ref="O22:U22" si="8">O21-O7-O8</f>
        <v>-1975.5157332282997</v>
      </c>
      <c r="P22" s="92">
        <f t="shared" si="8"/>
        <v>-1983.6098046730863</v>
      </c>
      <c r="Q22" s="92">
        <f t="shared" si="8"/>
        <v>-2064.1060805112634</v>
      </c>
      <c r="R22" s="92">
        <f t="shared" si="8"/>
        <v>-2133.3729080466569</v>
      </c>
      <c r="S22" s="92">
        <f t="shared" si="8"/>
        <v>-2142.7519999999995</v>
      </c>
      <c r="T22" s="92">
        <f t="shared" si="8"/>
        <v>-2250.6959495859596</v>
      </c>
      <c r="U22" s="92">
        <f t="shared" si="8"/>
        <v>-2410.5943412641395</v>
      </c>
      <c r="V22" s="92">
        <v>-2575.6000000000008</v>
      </c>
      <c r="W22" s="92">
        <v>-2574.1049338100001</v>
      </c>
      <c r="X22" s="92">
        <v>-2722.9098417118794</v>
      </c>
      <c r="Y22" s="24"/>
      <c r="Z22" s="92">
        <v>-2921.9790477034471</v>
      </c>
      <c r="AA22" s="92">
        <v>-4732.2395031631495</v>
      </c>
      <c r="AB22" s="92">
        <v>-8188.3065591106533</v>
      </c>
      <c r="AC22" s="92">
        <v>-8156.5743133894894</v>
      </c>
      <c r="AD22" s="92">
        <v>-9379.5869999999995</v>
      </c>
      <c r="AE22" s="86"/>
    </row>
    <row r="23" spans="1:31" s="2" customFormat="1" ht="14.25" customHeight="1" x14ac:dyDescent="0.35">
      <c r="A23" s="1"/>
      <c r="B23" s="23"/>
      <c r="C23" s="86"/>
      <c r="D23" s="86"/>
      <c r="E23" s="86"/>
      <c r="F23" s="86"/>
      <c r="G23" s="86"/>
      <c r="H23" s="86"/>
      <c r="I23" s="86"/>
      <c r="J23" s="86"/>
      <c r="K23" s="86"/>
      <c r="L23" s="86"/>
      <c r="M23" s="86"/>
      <c r="N23" s="86"/>
      <c r="O23" s="86"/>
      <c r="P23" s="86"/>
      <c r="Q23" s="86"/>
      <c r="R23" s="86"/>
      <c r="S23" s="86"/>
      <c r="T23" s="86"/>
      <c r="U23" s="86"/>
      <c r="V23" s="86"/>
      <c r="W23" s="86"/>
      <c r="X23" s="86"/>
      <c r="Y23" s="24"/>
      <c r="Z23" s="86"/>
      <c r="AA23" s="86"/>
      <c r="AB23" s="86"/>
      <c r="AC23" s="86"/>
      <c r="AD23" s="86"/>
      <c r="AE23" s="86"/>
    </row>
    <row r="24" spans="1:31" s="2" customFormat="1" ht="14.25" customHeight="1" thickBot="1" x14ac:dyDescent="0.4">
      <c r="A24" s="1"/>
      <c r="B24" s="192" t="s">
        <v>54</v>
      </c>
      <c r="C24" s="189" t="s">
        <v>3</v>
      </c>
      <c r="D24" s="189" t="s">
        <v>4</v>
      </c>
      <c r="E24" s="189" t="s">
        <v>5</v>
      </c>
      <c r="F24" s="189" t="s">
        <v>6</v>
      </c>
      <c r="G24" s="189" t="s">
        <v>7</v>
      </c>
      <c r="H24" s="189" t="s">
        <v>8</v>
      </c>
      <c r="I24" s="189" t="s">
        <v>9</v>
      </c>
      <c r="J24" s="189" t="s">
        <v>10</v>
      </c>
      <c r="K24" s="189" t="s">
        <v>11</v>
      </c>
      <c r="L24" s="189" t="s">
        <v>12</v>
      </c>
      <c r="M24" s="189" t="s">
        <v>13</v>
      </c>
      <c r="N24" s="189" t="s">
        <v>14</v>
      </c>
      <c r="O24" s="189" t="s">
        <v>15</v>
      </c>
      <c r="P24" s="189" t="s">
        <v>16</v>
      </c>
      <c r="Q24" s="189" t="s">
        <v>17</v>
      </c>
      <c r="R24" s="189" t="s">
        <v>18</v>
      </c>
      <c r="S24" s="189" t="s">
        <v>19</v>
      </c>
      <c r="T24" s="189" t="str">
        <f>'Operating Metrics - Old_View'!$T$5</f>
        <v>2Q24</v>
      </c>
      <c r="U24" s="189" t="str">
        <f>U5</f>
        <v>3Q24</v>
      </c>
      <c r="V24" s="189" t="s">
        <v>22</v>
      </c>
      <c r="W24" s="189" t="s">
        <v>457</v>
      </c>
      <c r="X24" s="189" t="s">
        <v>493</v>
      </c>
      <c r="Y24" s="24"/>
      <c r="Z24" s="189">
        <v>2020</v>
      </c>
      <c r="AA24" s="189">
        <v>2021</v>
      </c>
      <c r="AB24" s="189">
        <v>2022</v>
      </c>
      <c r="AC24" s="189">
        <v>2023</v>
      </c>
      <c r="AD24" s="189">
        <v>2024</v>
      </c>
      <c r="AE24" s="86"/>
    </row>
    <row r="25" spans="1:31" s="2" customFormat="1" ht="14.25" customHeight="1" x14ac:dyDescent="0.35">
      <c r="A25" s="1"/>
      <c r="B25" s="88" t="s">
        <v>62</v>
      </c>
      <c r="C25" s="89">
        <v>-768.59319245307006</v>
      </c>
      <c r="D25" s="89">
        <v>-793.28539579987375</v>
      </c>
      <c r="E25" s="89">
        <v>-1057.2317686637434</v>
      </c>
      <c r="F25" s="89">
        <v>-1153.1401092510764</v>
      </c>
      <c r="G25" s="89">
        <v>-1146.1192632040238</v>
      </c>
      <c r="H25" s="89">
        <v>-1295.0621130794425</v>
      </c>
      <c r="I25" s="89">
        <v>-1502.0057330008003</v>
      </c>
      <c r="J25" s="89">
        <v>-1832.7700966488487</v>
      </c>
      <c r="K25" s="89">
        <v>-1739.3727443554285</v>
      </c>
      <c r="L25" s="89">
        <v>-1900.3466758279001</v>
      </c>
      <c r="M25" s="89">
        <v>-1862.1729389366694</v>
      </c>
      <c r="N25" s="89">
        <v>-1969.8675476971871</v>
      </c>
      <c r="O25" s="89">
        <v>-1929.298263211243</v>
      </c>
      <c r="P25" s="89">
        <v>-1926.0719999999999</v>
      </c>
      <c r="Q25" s="89">
        <v>-2033.3094382326144</v>
      </c>
      <c r="R25" s="89">
        <v>-2243.9001936632008</v>
      </c>
      <c r="S25" s="89">
        <v>-2170.6999999999998</v>
      </c>
      <c r="T25" s="89">
        <v>-2332.1550000000002</v>
      </c>
      <c r="U25" s="89">
        <v>-2455.326579842826</v>
      </c>
      <c r="V25" s="89">
        <v>-2585.1</v>
      </c>
      <c r="W25" s="89">
        <v>-2360.29</v>
      </c>
      <c r="X25" s="89">
        <v>-2410.7669999999998</v>
      </c>
      <c r="Y25" s="24"/>
      <c r="Z25" s="89">
        <v>-3772.2504661677635</v>
      </c>
      <c r="AA25" s="89">
        <v>-5775.9572059331149</v>
      </c>
      <c r="AB25" s="89">
        <v>-7470.8950000000004</v>
      </c>
      <c r="AC25" s="89">
        <v>-8132.58</v>
      </c>
      <c r="AD25" s="89">
        <v>-9543.3150000000005</v>
      </c>
      <c r="AE25" s="86"/>
    </row>
    <row r="26" spans="1:31" s="2" customFormat="1" ht="14.25" customHeight="1" outlineLevel="1" x14ac:dyDescent="0.35">
      <c r="A26" s="1"/>
      <c r="B26" s="32" t="s">
        <v>96</v>
      </c>
      <c r="C26" s="38">
        <v>-341.31681793000001</v>
      </c>
      <c r="D26" s="38">
        <v>-327.67153774000002</v>
      </c>
      <c r="E26" s="38">
        <v>-475.81282601000009</v>
      </c>
      <c r="F26" s="38">
        <v>-535.63985329000002</v>
      </c>
      <c r="G26" s="38">
        <v>-566.72366900999998</v>
      </c>
      <c r="H26" s="38">
        <v>-676.52042493999988</v>
      </c>
      <c r="I26" s="38">
        <v>-820.95729442000004</v>
      </c>
      <c r="J26" s="38">
        <v>-980.07479132000014</v>
      </c>
      <c r="K26" s="38">
        <v>-1018.6</v>
      </c>
      <c r="L26" s="38">
        <v>-1143.79240628</v>
      </c>
      <c r="M26" s="38">
        <v>-1159.2629693900005</v>
      </c>
      <c r="N26" s="38">
        <v>-1183.69626543</v>
      </c>
      <c r="O26" s="38">
        <f t="shared" ref="O26:U26" si="9">O7</f>
        <v>-1115.5152621299999</v>
      </c>
      <c r="P26" s="38">
        <f t="shared" si="9"/>
        <v>-1125.5372036899998</v>
      </c>
      <c r="Q26" s="38">
        <f t="shared" si="9"/>
        <v>-1205.9480000000001</v>
      </c>
      <c r="R26" s="38">
        <f t="shared" si="9"/>
        <v>-1358.47350424</v>
      </c>
      <c r="S26" s="38">
        <f t="shared" si="9"/>
        <v>-1334.229</v>
      </c>
      <c r="T26" s="38">
        <f t="shared" si="9"/>
        <v>-1453.99035546</v>
      </c>
      <c r="U26" s="38">
        <f t="shared" si="9"/>
        <v>-1541.7624588899998</v>
      </c>
      <c r="V26" s="38">
        <v>-1614.7</v>
      </c>
      <c r="W26" s="38">
        <v>-1445.8562364000002</v>
      </c>
      <c r="X26" s="38">
        <v>-1436.8050000000001</v>
      </c>
      <c r="Y26" s="24"/>
      <c r="Z26" s="38">
        <v>-1680.4410349700001</v>
      </c>
      <c r="AA26" s="38">
        <v>-3044.2761796899999</v>
      </c>
      <c r="AB26" s="38">
        <v>-4505.29</v>
      </c>
      <c r="AC26" s="38">
        <v>-4805.4740000000002</v>
      </c>
      <c r="AD26" s="38">
        <v>-5944.6840000000002</v>
      </c>
      <c r="AE26" s="86"/>
    </row>
    <row r="27" spans="1:31" s="2" customFormat="1" ht="14.25" customHeight="1" outlineLevel="1" x14ac:dyDescent="0.35">
      <c r="A27" s="1"/>
      <c r="B27" s="32" t="s">
        <v>107</v>
      </c>
      <c r="C27" s="38">
        <v>-91.352320710000015</v>
      </c>
      <c r="D27" s="38">
        <v>-91.637532770000007</v>
      </c>
      <c r="E27" s="38">
        <v>-121.86819162999998</v>
      </c>
      <c r="F27" s="38">
        <v>-132.54117116999998</v>
      </c>
      <c r="G27" s="38">
        <v>-139.00166834999999</v>
      </c>
      <c r="H27" s="38">
        <v>-151.62935827999999</v>
      </c>
      <c r="I27" s="38">
        <v>-164.23698906000001</v>
      </c>
      <c r="J27" s="38">
        <v>-197.87102758999993</v>
      </c>
      <c r="K27" s="38">
        <v>-211.8</v>
      </c>
      <c r="L27" s="38">
        <v>-221.27221609</v>
      </c>
      <c r="M27" s="38">
        <v>-220.26254465</v>
      </c>
      <c r="N27" s="38">
        <v>-228.82849939000002</v>
      </c>
      <c r="O27" s="38">
        <f t="shared" ref="O27:U27" si="10">O8</f>
        <v>-222.66323468999997</v>
      </c>
      <c r="P27" s="38">
        <f t="shared" si="10"/>
        <v>-231.48130695000003</v>
      </c>
      <c r="Q27" s="38">
        <f t="shared" si="10"/>
        <v>-244.02799999999999</v>
      </c>
      <c r="R27" s="38">
        <f t="shared" si="10"/>
        <v>-271.02100000000002</v>
      </c>
      <c r="S27" s="38">
        <f t="shared" si="10"/>
        <v>-257.01900000000001</v>
      </c>
      <c r="T27" s="38">
        <f t="shared" si="10"/>
        <v>-274.29562568</v>
      </c>
      <c r="U27" s="38">
        <f t="shared" si="10"/>
        <v>-285.59582093</v>
      </c>
      <c r="V27" s="38">
        <v>-288.60000000000002</v>
      </c>
      <c r="W27" s="38">
        <v>-250.28882979000002</v>
      </c>
      <c r="X27" s="38">
        <v>-282.19857908000006</v>
      </c>
      <c r="Y27" s="24"/>
      <c r="Z27" s="38">
        <v>-437.39921628000002</v>
      </c>
      <c r="AA27" s="38">
        <v>-652.73904327999992</v>
      </c>
      <c r="AB27" s="38">
        <v>-882.09100000000001</v>
      </c>
      <c r="AC27" s="38">
        <v>-969.19299999999998</v>
      </c>
      <c r="AD27" s="38">
        <v>-1105.432</v>
      </c>
      <c r="AE27" s="86"/>
    </row>
    <row r="28" spans="1:31" s="2" customFormat="1" ht="14.25" customHeight="1" outlineLevel="1" x14ac:dyDescent="0.35">
      <c r="A28" s="1"/>
      <c r="B28" s="32" t="s">
        <v>98</v>
      </c>
      <c r="C28" s="38">
        <v>-335.92405381307003</v>
      </c>
      <c r="D28" s="38">
        <v>-373.97632528987373</v>
      </c>
      <c r="E28" s="38">
        <v>-459.55075102374337</v>
      </c>
      <c r="F28" s="38">
        <v>-484.95908479107641</v>
      </c>
      <c r="G28" s="38">
        <v>-440.39392584402401</v>
      </c>
      <c r="H28" s="38">
        <v>-466.91232985944248</v>
      </c>
      <c r="I28" s="38">
        <v>-516.81144952080024</v>
      </c>
      <c r="J28" s="38">
        <v>-654.82427773884854</v>
      </c>
      <c r="K28" s="38">
        <v>-508.97274435542846</v>
      </c>
      <c r="L28" s="38">
        <v>-535.28205345789991</v>
      </c>
      <c r="M28" s="38">
        <v>-482.64742489666907</v>
      </c>
      <c r="N28" s="38">
        <v>-557.34278287718723</v>
      </c>
      <c r="O28" s="38">
        <f>O25-SUM(O26:O27)</f>
        <v>-591.11976639124305</v>
      </c>
      <c r="P28" s="38">
        <f t="shared" ref="P28:T28" si="11">P25-SUM(P26:P27)</f>
        <v>-569.05348935999996</v>
      </c>
      <c r="Q28" s="38">
        <f t="shared" si="11"/>
        <v>-583.3334382326143</v>
      </c>
      <c r="R28" s="38">
        <f t="shared" si="11"/>
        <v>-614.40568942320078</v>
      </c>
      <c r="S28" s="38">
        <f t="shared" si="11"/>
        <v>-579.45199999999977</v>
      </c>
      <c r="T28" s="38">
        <f t="shared" si="11"/>
        <v>-603.8690188600001</v>
      </c>
      <c r="U28" s="38">
        <f t="shared" ref="U28" si="12">U25-SUM(U26:U27)</f>
        <v>-627.96830002282627</v>
      </c>
      <c r="V28" s="38">
        <v>-681.79999999999973</v>
      </c>
      <c r="W28" s="38">
        <v>-664.14493380999966</v>
      </c>
      <c r="X28" s="38">
        <v>-691.76342091999959</v>
      </c>
      <c r="Y28" s="24"/>
      <c r="Z28" s="38">
        <v>-1654.4102149177634</v>
      </c>
      <c r="AA28" s="38">
        <v>-2078.9419829631152</v>
      </c>
      <c r="AB28" s="38">
        <v>-2084.2450055871859</v>
      </c>
      <c r="AC28" s="38">
        <v>-2357.9129999999996</v>
      </c>
      <c r="AD28" s="38">
        <v>-2493.1990000000005</v>
      </c>
      <c r="AE28" s="86"/>
    </row>
    <row r="29" spans="1:31" s="2" customFormat="1" ht="14.25" customHeight="1" x14ac:dyDescent="0.35">
      <c r="A29" s="1"/>
      <c r="B29" s="88" t="s">
        <v>63</v>
      </c>
      <c r="C29" s="89">
        <v>-189.02063229000001</v>
      </c>
      <c r="D29" s="89">
        <v>-111.2019534792518</v>
      </c>
      <c r="E29" s="89">
        <v>-151.6260807507482</v>
      </c>
      <c r="F29" s="89">
        <v>-165.60906335999999</v>
      </c>
      <c r="G29" s="89">
        <v>-368.05042713</v>
      </c>
      <c r="H29" s="89">
        <v>-363.82495455000003</v>
      </c>
      <c r="I29" s="89">
        <v>-367.88184708000011</v>
      </c>
      <c r="J29" s="89">
        <v>-424.10075968000001</v>
      </c>
      <c r="K29" s="89">
        <v>-480.61242762000001</v>
      </c>
      <c r="L29" s="89">
        <v>-499.07865183791995</v>
      </c>
      <c r="M29" s="89">
        <v>-530.83918260207997</v>
      </c>
      <c r="N29" s="89">
        <v>-434.96300701000001</v>
      </c>
      <c r="O29" s="89">
        <v>-317.90821757999998</v>
      </c>
      <c r="P29" s="89">
        <v>-321.44225120999999</v>
      </c>
      <c r="Q29" s="89">
        <v>-378.24</v>
      </c>
      <c r="R29" s="89">
        <v>-412.22443202130097</v>
      </c>
      <c r="S29" s="89">
        <v>-437.4</v>
      </c>
      <c r="T29" s="89">
        <v>-467.31900000000002</v>
      </c>
      <c r="U29" s="89">
        <v>-486.99246819329613</v>
      </c>
      <c r="V29" s="89">
        <v>-467.9</v>
      </c>
      <c r="W29" s="89">
        <v>-423.1</v>
      </c>
      <c r="X29" s="89">
        <v>-452.37900000000002</v>
      </c>
      <c r="Y29" s="24"/>
      <c r="Z29" s="89">
        <v>-617.45772987999999</v>
      </c>
      <c r="AA29" s="89">
        <v>-1523.8579884400001</v>
      </c>
      <c r="AB29" s="89">
        <v>-1946.075</v>
      </c>
      <c r="AC29" s="89">
        <v>-1429.816</v>
      </c>
      <c r="AD29" s="89">
        <v>-1859.59</v>
      </c>
      <c r="AE29" s="86"/>
    </row>
    <row r="30" spans="1:31" s="2" customFormat="1" ht="14.25" customHeight="1" x14ac:dyDescent="0.35">
      <c r="A30" s="1"/>
      <c r="B30" s="88" t="s">
        <v>64</v>
      </c>
      <c r="C30" s="89">
        <v>-85.787050579371396</v>
      </c>
      <c r="D30" s="89">
        <v>-94.267011249221298</v>
      </c>
      <c r="E30" s="89">
        <v>-197.07958084661951</v>
      </c>
      <c r="F30" s="89">
        <v>-186.64730532002412</v>
      </c>
      <c r="G30" s="89">
        <v>-189.0810646904946</v>
      </c>
      <c r="H30" s="89">
        <v>-225.81735133964131</v>
      </c>
      <c r="I30" s="89">
        <v>-273.02296578699804</v>
      </c>
      <c r="J30" s="89">
        <v>-8.4757784699999981</v>
      </c>
      <c r="K30" s="89">
        <v>-165.30236529563177</v>
      </c>
      <c r="L30" s="89">
        <v>-203.9372888201525</v>
      </c>
      <c r="M30" s="89">
        <v>-185.34390030045023</v>
      </c>
      <c r="N30" s="89">
        <v>-113.7014843034475</v>
      </c>
      <c r="O30" s="89">
        <v>-171.35415829385198</v>
      </c>
      <c r="P30" s="89">
        <v>-203.4</v>
      </c>
      <c r="Q30" s="89">
        <v>-206.333</v>
      </c>
      <c r="R30" s="89">
        <v>-151.61090858274432</v>
      </c>
      <c r="S30" s="89">
        <v>-230.6</v>
      </c>
      <c r="T30" s="89">
        <v>-216.23599999999999</v>
      </c>
      <c r="U30" s="89">
        <v>-268.54266571705972</v>
      </c>
      <c r="V30" s="89">
        <v>-257</v>
      </c>
      <c r="W30" s="89">
        <v>-242.83</v>
      </c>
      <c r="X30" s="89">
        <v>-226.65</v>
      </c>
      <c r="Y30" s="24"/>
      <c r="Z30" s="89">
        <v>-563.78094799523626</v>
      </c>
      <c r="AA30" s="89">
        <v>-696.39716028713394</v>
      </c>
      <c r="AB30" s="89">
        <v>-668.67899999999997</v>
      </c>
      <c r="AC30" s="89">
        <v>-732.68899999999996</v>
      </c>
      <c r="AD30" s="89">
        <v>-972.25099999999998</v>
      </c>
      <c r="AE30" s="86"/>
    </row>
    <row r="31" spans="1:31" s="2" customFormat="1" ht="14.25" customHeight="1" x14ac:dyDescent="0.35">
      <c r="A31" s="1"/>
      <c r="B31" s="88" t="s">
        <v>65</v>
      </c>
      <c r="C31" s="89">
        <v>-45.561989969999999</v>
      </c>
      <c r="D31" s="89">
        <v>-17.872514700000004</v>
      </c>
      <c r="E31" s="89">
        <v>-16.255824969999999</v>
      </c>
      <c r="F31" s="89">
        <v>-29.542062089999991</v>
      </c>
      <c r="G31" s="89">
        <v>-44.387658880000004</v>
      </c>
      <c r="H31" s="89">
        <v>-133.78472766000002</v>
      </c>
      <c r="I31" s="89">
        <v>-209.82270676999997</v>
      </c>
      <c r="J31" s="89">
        <v>-71.085175592558002</v>
      </c>
      <c r="K31" s="89">
        <v>-620.62783420999995</v>
      </c>
      <c r="L31" s="89">
        <v>-755.55951044419521</v>
      </c>
      <c r="M31" s="89">
        <v>-920.65559389805776</v>
      </c>
      <c r="N31" s="89">
        <v>-854.70929850153198</v>
      </c>
      <c r="O31" s="89">
        <v>-812.97072455971465</v>
      </c>
      <c r="P31" s="89">
        <v>-795.59708287411797</v>
      </c>
      <c r="Q31" s="89">
        <v>-819.93723811776601</v>
      </c>
      <c r="R31" s="89">
        <v>-841.02085084668261</v>
      </c>
      <c r="S31" s="89">
        <v>-827.1</v>
      </c>
      <c r="T31" s="89">
        <v>-863.42093072595935</v>
      </c>
      <c r="U31" s="89">
        <v>-964.33487348606718</v>
      </c>
      <c r="V31" s="89">
        <v>-1091.8</v>
      </c>
      <c r="W31" s="89">
        <v>-1177.82</v>
      </c>
      <c r="X31" s="89">
        <v>-1279.5229999999999</v>
      </c>
      <c r="Y31" s="24"/>
      <c r="Z31" s="89">
        <v>-109.23239172999999</v>
      </c>
      <c r="AA31" s="89">
        <v>-459.08026890255803</v>
      </c>
      <c r="AB31" s="89">
        <v>-3151.5520000000001</v>
      </c>
      <c r="AC31" s="89">
        <v>-3269.556</v>
      </c>
      <c r="AD31" s="89">
        <v>-3746.6880000000001</v>
      </c>
      <c r="AE31" s="86"/>
    </row>
    <row r="32" spans="1:31" s="2" customFormat="1" ht="14.25" customHeight="1" x14ac:dyDescent="0.35">
      <c r="A32" s="1"/>
      <c r="B32" s="88" t="s">
        <v>66</v>
      </c>
      <c r="C32" s="89">
        <v>-2.1362158828139002</v>
      </c>
      <c r="D32" s="89">
        <v>71.608880341475484</v>
      </c>
      <c r="E32" s="89">
        <v>-7.0594669231116995</v>
      </c>
      <c r="F32" s="89">
        <v>-39.510960715997896</v>
      </c>
      <c r="G32" s="89">
        <v>40.805913145522908</v>
      </c>
      <c r="H32" s="89">
        <v>-12.952402426302898</v>
      </c>
      <c r="I32" s="89">
        <v>-1.8207161852889986</v>
      </c>
      <c r="J32" s="89">
        <v>5.1028957270351609E-3</v>
      </c>
      <c r="K32" s="89">
        <v>-4.6909407399715999</v>
      </c>
      <c r="L32" s="89">
        <v>-108.95051018351148</v>
      </c>
      <c r="M32" s="89">
        <v>-111.12296389306329</v>
      </c>
      <c r="N32" s="89">
        <v>-113.83269263345359</v>
      </c>
      <c r="O32" s="89">
        <v>-82.162866403490014</v>
      </c>
      <c r="P32" s="89">
        <v>-94.116981228968001</v>
      </c>
      <c r="Q32" s="89">
        <v>-76.262404160883506</v>
      </c>
      <c r="R32" s="89">
        <v>-114.1110271727285</v>
      </c>
      <c r="S32" s="89">
        <v>-68.2</v>
      </c>
      <c r="T32" s="89">
        <v>-99.850999999999999</v>
      </c>
      <c r="U32" s="89">
        <v>-62.756033844889991</v>
      </c>
      <c r="V32" s="89">
        <v>-77.099999999999994</v>
      </c>
      <c r="W32" s="89">
        <v>-66.209999999999994</v>
      </c>
      <c r="X32" s="89">
        <v>-72.605000000000004</v>
      </c>
      <c r="Y32" s="24"/>
      <c r="Z32" s="89">
        <v>22.902236819551987</v>
      </c>
      <c r="AA32" s="89">
        <v>26.037897429657999</v>
      </c>
      <c r="AB32" s="89">
        <v>-338.39699999999999</v>
      </c>
      <c r="AC32" s="89">
        <v>-366.65300000000002</v>
      </c>
      <c r="AD32" s="89">
        <v>-307.85899999999998</v>
      </c>
      <c r="AE32" s="86"/>
    </row>
    <row r="33" spans="1:31" s="2" customFormat="1" ht="14.25" customHeight="1" x14ac:dyDescent="0.35">
      <c r="A33" s="1"/>
      <c r="B33" s="39" t="s">
        <v>67</v>
      </c>
      <c r="C33" s="40">
        <v>-1091.0990811752554</v>
      </c>
      <c r="D33" s="40">
        <v>-945.01799488687141</v>
      </c>
      <c r="E33" s="40">
        <v>-1429.2527221542227</v>
      </c>
      <c r="F33" s="40">
        <v>-1574.4495007370983</v>
      </c>
      <c r="G33" s="40">
        <v>-1706.8325007589956</v>
      </c>
      <c r="H33" s="40">
        <v>-2031.4415490553868</v>
      </c>
      <c r="I33" s="40">
        <v>-2354.5539688230874</v>
      </c>
      <c r="J33" s="40">
        <v>-2867.8599538419758</v>
      </c>
      <c r="K33" s="40">
        <v>-3010.6063122210317</v>
      </c>
      <c r="L33" s="40">
        <v>-3467.872637113679</v>
      </c>
      <c r="M33" s="40">
        <v>-3610.1345796303208</v>
      </c>
      <c r="N33" s="40">
        <v>-3487.0740301456203</v>
      </c>
      <c r="O33" s="40">
        <f>SUM(O25,O29,O30,O31,O32)</f>
        <v>-3313.6942300482997</v>
      </c>
      <c r="P33" s="40">
        <f t="shared" ref="P33:U33" si="13">SUM(P25,P29,P30,P31,P32)</f>
        <v>-3340.6283153130862</v>
      </c>
      <c r="Q33" s="40">
        <f t="shared" si="13"/>
        <v>-3514.0820805112635</v>
      </c>
      <c r="R33" s="40">
        <f t="shared" si="13"/>
        <v>-3762.8674122866569</v>
      </c>
      <c r="S33" s="40">
        <f t="shared" si="13"/>
        <v>-3733.9999999999995</v>
      </c>
      <c r="T33" s="40">
        <f t="shared" si="13"/>
        <v>-3978.9819307259595</v>
      </c>
      <c r="U33" s="40">
        <f t="shared" si="13"/>
        <v>-4237.9526210841395</v>
      </c>
      <c r="V33" s="40">
        <v>-4478.9000000000005</v>
      </c>
      <c r="W33" s="40">
        <v>-4270.25</v>
      </c>
      <c r="X33" s="40">
        <v>-4441.9239999999991</v>
      </c>
      <c r="Y33" s="24"/>
      <c r="Z33" s="40">
        <v>-5039.8192989534473</v>
      </c>
      <c r="AA33" s="40">
        <v>-8429.2547261331492</v>
      </c>
      <c r="AB33" s="40">
        <v>-13575.598</v>
      </c>
      <c r="AC33" s="40">
        <v>-13931.294</v>
      </c>
      <c r="AD33" s="40">
        <v>-16429.703000000001</v>
      </c>
      <c r="AE33" s="86"/>
    </row>
    <row r="34" spans="1:31" s="2" customFormat="1" ht="14.25" customHeight="1" thickBot="1" x14ac:dyDescent="0.4">
      <c r="A34" s="1"/>
      <c r="B34" s="91" t="s">
        <v>68</v>
      </c>
      <c r="C34" s="92">
        <v>-658.42994253525535</v>
      </c>
      <c r="D34" s="92">
        <v>-525.70892437687144</v>
      </c>
      <c r="E34" s="92">
        <v>-831.57170451422269</v>
      </c>
      <c r="F34" s="92">
        <v>-906.26847627709833</v>
      </c>
      <c r="G34" s="92">
        <v>-1001.1071633989957</v>
      </c>
      <c r="H34" s="92">
        <v>-1203.2917658353867</v>
      </c>
      <c r="I34" s="92">
        <v>-1369.3596853430872</v>
      </c>
      <c r="J34" s="92">
        <v>-1689.9141349319757</v>
      </c>
      <c r="K34" s="92">
        <v>-1780.2063122210316</v>
      </c>
      <c r="L34" s="92">
        <v>-2102.808014743679</v>
      </c>
      <c r="M34" s="92">
        <v>-2230.6090655903204</v>
      </c>
      <c r="N34" s="92">
        <v>-2074.5492653256206</v>
      </c>
      <c r="O34" s="92">
        <f>O33-SUM(O26:O27)</f>
        <v>-1975.5157332282997</v>
      </c>
      <c r="P34" s="92">
        <f t="shared" ref="P34:T34" si="14">P33-SUM(P26:P27)</f>
        <v>-1983.6098046730863</v>
      </c>
      <c r="Q34" s="92">
        <f t="shared" si="14"/>
        <v>-2064.1060805112634</v>
      </c>
      <c r="R34" s="92">
        <f t="shared" si="14"/>
        <v>-2133.3729080466569</v>
      </c>
      <c r="S34" s="92">
        <f t="shared" si="14"/>
        <v>-2142.7519999999995</v>
      </c>
      <c r="T34" s="92">
        <f t="shared" si="14"/>
        <v>-2250.6959495859592</v>
      </c>
      <c r="U34" s="92">
        <f t="shared" ref="U34" si="15">U33-SUM(U26:U27)</f>
        <v>-2410.59434126414</v>
      </c>
      <c r="V34" s="92">
        <v>-2575.6000000000004</v>
      </c>
      <c r="W34" s="92">
        <v>-2574.1049338099997</v>
      </c>
      <c r="X34" s="92">
        <v>-2722.9204209199988</v>
      </c>
      <c r="Y34" s="24"/>
      <c r="Z34" s="92">
        <v>-2921.9790477034471</v>
      </c>
      <c r="AA34" s="92">
        <v>-4732.2395031631495</v>
      </c>
      <c r="AB34" s="92">
        <v>-8188.3065591106542</v>
      </c>
      <c r="AC34" s="92">
        <v>-8156.5743133894894</v>
      </c>
      <c r="AD34" s="92">
        <v>-9379.5870000000014</v>
      </c>
      <c r="AE34" s="86"/>
    </row>
    <row r="35" spans="1:31" s="2" customFormat="1" ht="14.25" customHeight="1" x14ac:dyDescent="0.35">
      <c r="A35" s="1"/>
      <c r="B35" s="55"/>
      <c r="C35" s="38"/>
      <c r="D35" s="38"/>
      <c r="E35" s="38"/>
      <c r="F35" s="38"/>
      <c r="G35" s="38"/>
      <c r="H35" s="38"/>
      <c r="I35" s="38"/>
      <c r="J35" s="38"/>
      <c r="K35" s="38"/>
      <c r="L35" s="38"/>
      <c r="M35" s="38"/>
      <c r="N35" s="38"/>
      <c r="O35" s="38"/>
      <c r="P35" s="103"/>
      <c r="Q35" s="103"/>
      <c r="R35" s="103"/>
      <c r="S35" s="103"/>
      <c r="T35" s="103"/>
      <c r="U35" s="103"/>
      <c r="V35" s="103"/>
      <c r="W35" s="103"/>
      <c r="X35" s="103"/>
      <c r="Y35" s="24"/>
      <c r="Z35" s="86"/>
      <c r="AA35" s="86"/>
      <c r="AB35" s="86"/>
      <c r="AC35" s="86"/>
      <c r="AD35" s="86"/>
      <c r="AE35" s="86"/>
    </row>
    <row r="36" spans="1:31" s="2" customFormat="1" ht="14.25" customHeight="1" thickBot="1" x14ac:dyDescent="0.4">
      <c r="A36" s="1"/>
      <c r="B36" s="192" t="s">
        <v>494</v>
      </c>
      <c r="C36" s="189" t="s">
        <v>3</v>
      </c>
      <c r="D36" s="189" t="s">
        <v>4</v>
      </c>
      <c r="E36" s="189" t="s">
        <v>5</v>
      </c>
      <c r="F36" s="189" t="s">
        <v>6</v>
      </c>
      <c r="G36" s="189" t="s">
        <v>7</v>
      </c>
      <c r="H36" s="189" t="s">
        <v>8</v>
      </c>
      <c r="I36" s="189" t="s">
        <v>9</v>
      </c>
      <c r="J36" s="189" t="s">
        <v>10</v>
      </c>
      <c r="K36" s="189" t="s">
        <v>11</v>
      </c>
      <c r="L36" s="189" t="s">
        <v>12</v>
      </c>
      <c r="M36" s="189" t="s">
        <v>13</v>
      </c>
      <c r="N36" s="189" t="s">
        <v>14</v>
      </c>
      <c r="O36" s="189" t="s">
        <v>15</v>
      </c>
      <c r="P36" s="189" t="s">
        <v>16</v>
      </c>
      <c r="Q36" s="189" t="s">
        <v>17</v>
      </c>
      <c r="R36" s="189" t="s">
        <v>18</v>
      </c>
      <c r="S36" s="189" t="s">
        <v>19</v>
      </c>
      <c r="T36" s="189" t="s">
        <v>20</v>
      </c>
      <c r="U36" s="189" t="s">
        <v>21</v>
      </c>
      <c r="V36" s="189" t="s">
        <v>22</v>
      </c>
      <c r="W36" s="189" t="s">
        <v>457</v>
      </c>
      <c r="X36" s="189" t="s">
        <v>493</v>
      </c>
      <c r="Y36" s="24"/>
      <c r="Z36" s="189">
        <v>2020</v>
      </c>
      <c r="AA36" s="189">
        <v>2021</v>
      </c>
      <c r="AB36" s="189">
        <v>2022</v>
      </c>
      <c r="AC36" s="189">
        <v>2023</v>
      </c>
      <c r="AD36" s="189">
        <v>2024</v>
      </c>
      <c r="AE36" s="86"/>
    </row>
    <row r="37" spans="1:31" s="2" customFormat="1" ht="14.25" customHeight="1" x14ac:dyDescent="0.35">
      <c r="A37" s="1"/>
      <c r="B37" s="88" t="s">
        <v>86</v>
      </c>
      <c r="C37" s="89"/>
      <c r="D37" s="89"/>
      <c r="E37" s="89"/>
      <c r="F37" s="89"/>
      <c r="G37" s="89"/>
      <c r="H37" s="89"/>
      <c r="I37" s="89"/>
      <c r="J37" s="89"/>
      <c r="K37" s="89">
        <v>-1302.9783022702734</v>
      </c>
      <c r="L37" s="89">
        <v>-1414.2046547948696</v>
      </c>
      <c r="M37" s="89">
        <v>-1371.616829647784</v>
      </c>
      <c r="N37" s="89">
        <v>-1478.260653589706</v>
      </c>
      <c r="O37" s="89">
        <v>-1388.7597120333323</v>
      </c>
      <c r="P37" s="89">
        <v>-1414.2290838637653</v>
      </c>
      <c r="Q37" s="89">
        <v>-1508.4410267865851</v>
      </c>
      <c r="R37" s="89">
        <v>-1644.688380414216</v>
      </c>
      <c r="S37" s="89">
        <v>-1626.5758664319394</v>
      </c>
      <c r="T37" s="89">
        <v>-1760.9301595813702</v>
      </c>
      <c r="U37" s="89">
        <v>-1850.924001886691</v>
      </c>
      <c r="V37" s="89">
        <v>-1959.6999999999998</v>
      </c>
      <c r="W37" s="89">
        <v>-1715.4242674060924</v>
      </c>
      <c r="X37" s="89">
        <v>-1735.87</v>
      </c>
      <c r="Y37" s="24"/>
      <c r="Z37" s="89"/>
      <c r="AA37" s="89"/>
      <c r="AB37" s="89">
        <f>SUM(K37:N37)</f>
        <v>-5567.0604403026327</v>
      </c>
      <c r="AC37" s="89">
        <f>SUM(O37:R37)</f>
        <v>-5956.1182030978989</v>
      </c>
      <c r="AD37" s="89">
        <f>SUM(S37:V37)</f>
        <v>-7198.1300279000006</v>
      </c>
      <c r="AE37" s="86"/>
    </row>
    <row r="38" spans="1:31" s="2" customFormat="1" ht="14.25" customHeight="1" x14ac:dyDescent="0.35">
      <c r="A38" s="1"/>
      <c r="B38" s="32" t="s">
        <v>96</v>
      </c>
      <c r="C38" s="38"/>
      <c r="D38" s="38"/>
      <c r="E38" s="38"/>
      <c r="F38" s="38"/>
      <c r="G38" s="38"/>
      <c r="H38" s="38"/>
      <c r="I38" s="38"/>
      <c r="J38" s="38"/>
      <c r="K38" s="38">
        <v>-1436.8050000000001</v>
      </c>
      <c r="L38" s="38">
        <v>-1436.8050000000001</v>
      </c>
      <c r="M38" s="38">
        <v>-1436.8050000000001</v>
      </c>
      <c r="N38" s="38">
        <v>-1436.8050000000001</v>
      </c>
      <c r="O38" s="38">
        <f t="shared" ref="O38:W39" si="16">O7</f>
        <v>-1115.5152621299999</v>
      </c>
      <c r="P38" s="38">
        <f t="shared" si="16"/>
        <v>-1125.5372036899998</v>
      </c>
      <c r="Q38" s="38">
        <f t="shared" si="16"/>
        <v>-1205.9480000000001</v>
      </c>
      <c r="R38" s="38">
        <f t="shared" si="16"/>
        <v>-1358.47350424</v>
      </c>
      <c r="S38" s="38">
        <f t="shared" si="16"/>
        <v>-1334.229</v>
      </c>
      <c r="T38" s="38">
        <f t="shared" si="16"/>
        <v>-1453.99035546</v>
      </c>
      <c r="U38" s="38">
        <f t="shared" si="16"/>
        <v>-1541.7624588899998</v>
      </c>
      <c r="V38" s="38">
        <f t="shared" si="16"/>
        <v>-1614.7</v>
      </c>
      <c r="W38" s="38">
        <f t="shared" si="16"/>
        <v>-1445.8562364000002</v>
      </c>
      <c r="X38" s="38">
        <v>-1436.8050000000001</v>
      </c>
      <c r="Y38" s="24"/>
      <c r="Z38" s="38"/>
      <c r="AA38" s="38"/>
      <c r="AB38" s="38">
        <f t="shared" ref="AB38:AB53" si="17">SUM(K38:N38)</f>
        <v>-5747.22</v>
      </c>
      <c r="AC38" s="38">
        <f t="shared" ref="AC38:AC53" si="18">SUM(O38:R38)</f>
        <v>-4805.4739700599994</v>
      </c>
      <c r="AD38" s="38">
        <f t="shared" ref="AD38:AD53" si="19">SUM(S38:V38)</f>
        <v>-5944.6818143499995</v>
      </c>
      <c r="AE38" s="86"/>
    </row>
    <row r="39" spans="1:31" s="2" customFormat="1" ht="14.25" customHeight="1" x14ac:dyDescent="0.35">
      <c r="A39" s="1"/>
      <c r="B39" s="32" t="s">
        <v>97</v>
      </c>
      <c r="C39" s="38"/>
      <c r="D39" s="38"/>
      <c r="E39" s="38"/>
      <c r="F39" s="38"/>
      <c r="G39" s="38"/>
      <c r="H39" s="38"/>
      <c r="I39" s="38"/>
      <c r="J39" s="38"/>
      <c r="K39" s="38">
        <v>-211.8</v>
      </c>
      <c r="L39" s="38">
        <v>-221.27221609</v>
      </c>
      <c r="M39" s="38">
        <v>-220.26254465</v>
      </c>
      <c r="N39" s="38">
        <v>-228.82849939000002</v>
      </c>
      <c r="O39" s="38">
        <f t="shared" si="16"/>
        <v>-222.66323468999997</v>
      </c>
      <c r="P39" s="38">
        <f t="shared" si="16"/>
        <v>-231.48130695000003</v>
      </c>
      <c r="Q39" s="38">
        <f t="shared" si="16"/>
        <v>-244.02799999999999</v>
      </c>
      <c r="R39" s="38">
        <f t="shared" si="16"/>
        <v>-271.02100000000002</v>
      </c>
      <c r="S39" s="38">
        <f t="shared" si="16"/>
        <v>-257.01900000000001</v>
      </c>
      <c r="T39" s="38">
        <f t="shared" si="16"/>
        <v>-274.29562568</v>
      </c>
      <c r="U39" s="38">
        <f t="shared" si="16"/>
        <v>-285.59582093</v>
      </c>
      <c r="V39" s="38">
        <f t="shared" si="16"/>
        <v>-288.60000000000002</v>
      </c>
      <c r="W39" s="38">
        <f t="shared" si="16"/>
        <v>-250.28882979000002</v>
      </c>
      <c r="X39" s="38">
        <v>-282.19857908000006</v>
      </c>
      <c r="Y39" s="24"/>
      <c r="Z39" s="38"/>
      <c r="AA39" s="38"/>
      <c r="AB39" s="38">
        <f t="shared" si="17"/>
        <v>-882.16326013000003</v>
      </c>
      <c r="AC39" s="38">
        <f t="shared" si="18"/>
        <v>-969.19354163999992</v>
      </c>
      <c r="AD39" s="38">
        <f t="shared" si="19"/>
        <v>-1105.5104466100001</v>
      </c>
      <c r="AE39" s="86"/>
    </row>
    <row r="40" spans="1:31" s="2" customFormat="1" ht="14.25" customHeight="1" x14ac:dyDescent="0.35">
      <c r="A40" s="1"/>
      <c r="B40" s="32" t="s">
        <v>98</v>
      </c>
      <c r="C40" s="38"/>
      <c r="D40" s="38"/>
      <c r="E40" s="38"/>
      <c r="F40" s="38"/>
      <c r="G40" s="38"/>
      <c r="H40" s="38"/>
      <c r="I40" s="38"/>
      <c r="J40" s="38"/>
      <c r="K40" s="38">
        <f t="shared" ref="K40:W40" si="20">K37-SUM(K38:K39)</f>
        <v>345.62669772972663</v>
      </c>
      <c r="L40" s="38">
        <f t="shared" si="20"/>
        <v>243.87256129513048</v>
      </c>
      <c r="M40" s="38">
        <f t="shared" si="20"/>
        <v>285.45071500221593</v>
      </c>
      <c r="N40" s="38">
        <f t="shared" si="20"/>
        <v>187.37284580029404</v>
      </c>
      <c r="O40" s="38">
        <f t="shared" si="20"/>
        <v>-50.581215213332371</v>
      </c>
      <c r="P40" s="38">
        <f t="shared" si="20"/>
        <v>-57.210573223765323</v>
      </c>
      <c r="Q40" s="38">
        <f t="shared" si="20"/>
        <v>-58.465026786584986</v>
      </c>
      <c r="R40" s="38">
        <f t="shared" si="20"/>
        <v>-15.19387617421603</v>
      </c>
      <c r="S40" s="38">
        <f t="shared" si="20"/>
        <v>-35.327866431939356</v>
      </c>
      <c r="T40" s="38">
        <f t="shared" si="20"/>
        <v>-32.644178441370059</v>
      </c>
      <c r="U40" s="38">
        <f t="shared" si="20"/>
        <v>-23.565722066691251</v>
      </c>
      <c r="V40" s="38">
        <f t="shared" si="20"/>
        <v>-56.399999999999636</v>
      </c>
      <c r="W40" s="38">
        <f t="shared" si="20"/>
        <v>-19.279201216092133</v>
      </c>
      <c r="X40" s="38">
        <v>-16.866420919999655</v>
      </c>
      <c r="Y40" s="24"/>
      <c r="Z40" s="38"/>
      <c r="AA40" s="38"/>
      <c r="AB40" s="38">
        <f t="shared" si="17"/>
        <v>1062.3228198273671</v>
      </c>
      <c r="AC40" s="38">
        <f t="shared" si="18"/>
        <v>-181.45069139789871</v>
      </c>
      <c r="AD40" s="38">
        <f t="shared" si="19"/>
        <v>-147.9377669400003</v>
      </c>
      <c r="AE40" s="86"/>
    </row>
    <row r="41" spans="1:31" s="2" customFormat="1" ht="14.25" customHeight="1" x14ac:dyDescent="0.35">
      <c r="A41" s="1"/>
      <c r="B41" s="88" t="s">
        <v>65</v>
      </c>
      <c r="C41" s="89"/>
      <c r="D41" s="89"/>
      <c r="E41" s="89"/>
      <c r="F41" s="89"/>
      <c r="G41" s="89"/>
      <c r="H41" s="89"/>
      <c r="I41" s="89"/>
      <c r="J41" s="89"/>
      <c r="K41" s="89">
        <v>-620.62783420999995</v>
      </c>
      <c r="L41" s="89">
        <v>-755.55951044419521</v>
      </c>
      <c r="M41" s="89">
        <v>-920.65559389805776</v>
      </c>
      <c r="N41" s="89">
        <v>-854.70929850153209</v>
      </c>
      <c r="O41" s="89">
        <v>-812.97072458971468</v>
      </c>
      <c r="P41" s="89">
        <v>-795.62738407411825</v>
      </c>
      <c r="Q41" s="89">
        <v>-819.93723811680593</v>
      </c>
      <c r="R41" s="89">
        <v>-841.12085084668172</v>
      </c>
      <c r="S41" s="89">
        <v>-827.13272112797358</v>
      </c>
      <c r="T41" s="89">
        <v>-863.42093072596026</v>
      </c>
      <c r="U41" s="89">
        <v>-964.29900973928704</v>
      </c>
      <c r="V41" s="89">
        <v>-1091.8000000000002</v>
      </c>
      <c r="W41" s="89">
        <v>-1177.7638463346641</v>
      </c>
      <c r="X41" s="89">
        <v>-1279.567</v>
      </c>
      <c r="Y41" s="24"/>
      <c r="Z41" s="89"/>
      <c r="AA41" s="89"/>
      <c r="AB41" s="89">
        <f t="shared" si="17"/>
        <v>-3151.5522370537851</v>
      </c>
      <c r="AC41" s="89">
        <f t="shared" si="18"/>
        <v>-3269.6561976273206</v>
      </c>
      <c r="AD41" s="89">
        <f t="shared" si="19"/>
        <v>-3746.6526615932212</v>
      </c>
      <c r="AE41" s="86"/>
    </row>
    <row r="42" spans="1:31" s="2" customFormat="1" ht="14.25" customHeight="1" x14ac:dyDescent="0.35">
      <c r="A42" s="1"/>
      <c r="B42" s="88" t="s">
        <v>99</v>
      </c>
      <c r="C42" s="89"/>
      <c r="D42" s="89"/>
      <c r="E42" s="89"/>
      <c r="F42" s="89"/>
      <c r="G42" s="89"/>
      <c r="H42" s="89"/>
      <c r="I42" s="89"/>
      <c r="J42" s="89"/>
      <c r="K42" s="89">
        <f t="shared" ref="K42:W42" si="21">SUM(K43:K46)</f>
        <v>-560.36697595143403</v>
      </c>
      <c r="L42" s="89">
        <f t="shared" si="21"/>
        <v>-603.32235177186408</v>
      </c>
      <c r="M42" s="89">
        <f t="shared" si="21"/>
        <v>-666.49720365663302</v>
      </c>
      <c r="N42" s="89">
        <f t="shared" si="21"/>
        <v>-632.27633355427076</v>
      </c>
      <c r="O42" s="89">
        <f t="shared" si="21"/>
        <v>-587.03310536598042</v>
      </c>
      <c r="P42" s="89">
        <f t="shared" si="21"/>
        <v>-589.09131505512789</v>
      </c>
      <c r="Q42" s="89">
        <f t="shared" si="21"/>
        <v>-583.1209850971303</v>
      </c>
      <c r="R42" s="89">
        <f t="shared" si="21"/>
        <v>-700.00496866397521</v>
      </c>
      <c r="S42" s="89">
        <f t="shared" si="21"/>
        <v>-708.49285006552941</v>
      </c>
      <c r="T42" s="89">
        <f t="shared" si="21"/>
        <v>-772.48329556275144</v>
      </c>
      <c r="U42" s="89">
        <f t="shared" si="21"/>
        <v>-811.96513134093982</v>
      </c>
      <c r="V42" s="89">
        <f t="shared" si="21"/>
        <v>-821.64415706457123</v>
      </c>
      <c r="W42" s="89">
        <f t="shared" si="21"/>
        <v>-794.20859158443886</v>
      </c>
      <c r="X42" s="89">
        <v>-820.4451881266416</v>
      </c>
      <c r="Y42" s="24"/>
      <c r="Z42" s="89"/>
      <c r="AA42" s="89"/>
      <c r="AB42" s="89">
        <f t="shared" si="17"/>
        <v>-2462.4628649342017</v>
      </c>
      <c r="AC42" s="89">
        <f t="shared" si="18"/>
        <v>-2459.2503741822138</v>
      </c>
      <c r="AD42" s="89">
        <f t="shared" si="19"/>
        <v>-3114.5854340337919</v>
      </c>
      <c r="AE42" s="86"/>
    </row>
    <row r="43" spans="1:31" s="2" customFormat="1" ht="14.25" customHeight="1" x14ac:dyDescent="0.35">
      <c r="A43" s="1"/>
      <c r="B43" s="32" t="s">
        <v>100</v>
      </c>
      <c r="C43" s="38"/>
      <c r="D43" s="38"/>
      <c r="E43" s="38"/>
      <c r="F43" s="38"/>
      <c r="G43" s="38"/>
      <c r="H43" s="38"/>
      <c r="I43" s="38"/>
      <c r="J43" s="38"/>
      <c r="K43" s="38">
        <v>0</v>
      </c>
      <c r="L43" s="38">
        <v>0</v>
      </c>
      <c r="M43" s="38">
        <v>0</v>
      </c>
      <c r="N43" s="38">
        <v>0</v>
      </c>
      <c r="O43" s="38">
        <v>0</v>
      </c>
      <c r="P43" s="38">
        <v>0</v>
      </c>
      <c r="Q43" s="38">
        <v>0</v>
      </c>
      <c r="R43" s="38">
        <v>0</v>
      </c>
      <c r="S43" s="38">
        <v>0</v>
      </c>
      <c r="T43" s="38">
        <v>0</v>
      </c>
      <c r="U43" s="38">
        <v>0</v>
      </c>
      <c r="V43" s="38">
        <v>0</v>
      </c>
      <c r="W43" s="38">
        <v>0</v>
      </c>
      <c r="X43" s="38">
        <v>0</v>
      </c>
      <c r="Y43" s="24"/>
      <c r="Z43" s="38"/>
      <c r="AA43" s="38"/>
      <c r="AB43" s="38">
        <f t="shared" si="17"/>
        <v>0</v>
      </c>
      <c r="AC43" s="38">
        <f t="shared" si="18"/>
        <v>0</v>
      </c>
      <c r="AD43" s="38">
        <f t="shared" si="19"/>
        <v>0</v>
      </c>
      <c r="AE43" s="86"/>
    </row>
    <row r="44" spans="1:31" s="2" customFormat="1" ht="14.25" customHeight="1" x14ac:dyDescent="0.35">
      <c r="A44" s="1"/>
      <c r="B44" s="32" t="s">
        <v>101</v>
      </c>
      <c r="C44" s="38"/>
      <c r="D44" s="38"/>
      <c r="E44" s="38"/>
      <c r="F44" s="38"/>
      <c r="G44" s="38"/>
      <c r="H44" s="38"/>
      <c r="I44" s="38"/>
      <c r="J44" s="38"/>
      <c r="K44" s="38">
        <v>-172.36477647000004</v>
      </c>
      <c r="L44" s="38">
        <v>-167.44069830000001</v>
      </c>
      <c r="M44" s="38">
        <v>-199.94698796999998</v>
      </c>
      <c r="N44" s="38">
        <v>-177.95762171000001</v>
      </c>
      <c r="O44" s="38">
        <v>-117.74879928</v>
      </c>
      <c r="P44" s="38">
        <v>-129.32659444000001</v>
      </c>
      <c r="Q44" s="38">
        <v>-139.84235159216797</v>
      </c>
      <c r="R44" s="38">
        <v>-193.74936925000003</v>
      </c>
      <c r="S44" s="38">
        <v>-209.30307026999998</v>
      </c>
      <c r="T44" s="38">
        <v>-220.27597414280001</v>
      </c>
      <c r="U44" s="38">
        <v>-223.46348987720009</v>
      </c>
      <c r="V44" s="38">
        <v>-205.27853712999999</v>
      </c>
      <c r="W44" s="38">
        <v>-210.27383632000002</v>
      </c>
      <c r="X44" s="38">
        <v>-225.51034315646001</v>
      </c>
      <c r="Y44" s="24"/>
      <c r="Z44" s="38"/>
      <c r="AA44" s="38"/>
      <c r="AB44" s="38">
        <f t="shared" si="17"/>
        <v>-717.71008445000007</v>
      </c>
      <c r="AC44" s="38">
        <f t="shared" si="18"/>
        <v>-580.66711456216808</v>
      </c>
      <c r="AD44" s="38">
        <f t="shared" si="19"/>
        <v>-858.32107142000007</v>
      </c>
      <c r="AE44" s="86"/>
    </row>
    <row r="45" spans="1:31" s="2" customFormat="1" ht="14.25" customHeight="1" x14ac:dyDescent="0.35">
      <c r="A45" s="1"/>
      <c r="B45" s="32" t="s">
        <v>102</v>
      </c>
      <c r="C45" s="38"/>
      <c r="D45" s="38"/>
      <c r="E45" s="38"/>
      <c r="F45" s="38"/>
      <c r="G45" s="38"/>
      <c r="H45" s="38"/>
      <c r="I45" s="38"/>
      <c r="J45" s="38"/>
      <c r="K45" s="38">
        <v>-227.67239080646004</v>
      </c>
      <c r="L45" s="38">
        <v>-241.27502374239921</v>
      </c>
      <c r="M45" s="38">
        <v>-234.76471574166914</v>
      </c>
      <c r="N45" s="38">
        <v>-249.38206767866072</v>
      </c>
      <c r="O45" s="38">
        <v>-253.16467922500254</v>
      </c>
      <c r="P45" s="38">
        <v>-245.96668411489469</v>
      </c>
      <c r="Q45" s="38">
        <v>-244.60697356333023</v>
      </c>
      <c r="R45" s="38">
        <v>-268.50939790621317</v>
      </c>
      <c r="S45" s="38">
        <v>-293.2487073342777</v>
      </c>
      <c r="T45" s="38">
        <v>-312.90587558402643</v>
      </c>
      <c r="U45" s="38">
        <v>-331.40335580091846</v>
      </c>
      <c r="V45" s="38">
        <v>-335.39631778417373</v>
      </c>
      <c r="W45" s="38">
        <v>-325.1783753447952</v>
      </c>
      <c r="X45" s="38">
        <v>-326.76418680412553</v>
      </c>
      <c r="Y45" s="24"/>
      <c r="Z45" s="38"/>
      <c r="AA45" s="38"/>
      <c r="AB45" s="38">
        <f t="shared" si="17"/>
        <v>-953.09419796918917</v>
      </c>
      <c r="AC45" s="38">
        <f t="shared" si="18"/>
        <v>-1012.2477348094407</v>
      </c>
      <c r="AD45" s="38">
        <f t="shared" si="19"/>
        <v>-1272.9542565033964</v>
      </c>
      <c r="AE45" s="86"/>
    </row>
    <row r="46" spans="1:31" s="2" customFormat="1" ht="14.25" customHeight="1" x14ac:dyDescent="0.35">
      <c r="A46" s="1"/>
      <c r="B46" s="32" t="s">
        <v>103</v>
      </c>
      <c r="C46" s="38"/>
      <c r="D46" s="38"/>
      <c r="E46" s="38"/>
      <c r="F46" s="38"/>
      <c r="G46" s="38"/>
      <c r="H46" s="38"/>
      <c r="I46" s="38"/>
      <c r="J46" s="38"/>
      <c r="K46" s="38">
        <v>-160.32980867497398</v>
      </c>
      <c r="L46" s="38">
        <v>-194.60662972946494</v>
      </c>
      <c r="M46" s="38">
        <v>-231.78549994496387</v>
      </c>
      <c r="N46" s="38">
        <v>-204.93664416561003</v>
      </c>
      <c r="O46" s="38">
        <v>-216.11962686097789</v>
      </c>
      <c r="P46" s="38">
        <v>-213.7980365002332</v>
      </c>
      <c r="Q46" s="38">
        <v>-198.67165994163213</v>
      </c>
      <c r="R46" s="38">
        <v>-237.74620150776207</v>
      </c>
      <c r="S46" s="38">
        <v>-205.94107246125174</v>
      </c>
      <c r="T46" s="38">
        <v>-239.30144583592511</v>
      </c>
      <c r="U46" s="38">
        <v>-257.09828566282124</v>
      </c>
      <c r="V46" s="38">
        <v>-280.96930215039754</v>
      </c>
      <c r="W46" s="38">
        <v>-258.75637991964362</v>
      </c>
      <c r="X46" s="38">
        <v>-268.17065816605606</v>
      </c>
      <c r="Y46" s="24"/>
      <c r="Z46" s="38"/>
      <c r="AA46" s="38"/>
      <c r="AB46" s="38">
        <f t="shared" si="17"/>
        <v>-791.65858251501277</v>
      </c>
      <c r="AC46" s="38">
        <f t="shared" si="18"/>
        <v>-866.33552481060531</v>
      </c>
      <c r="AD46" s="38">
        <f t="shared" si="19"/>
        <v>-983.31010611039562</v>
      </c>
      <c r="AE46" s="86"/>
    </row>
    <row r="47" spans="1:31" s="2" customFormat="1" ht="14.25" customHeight="1" x14ac:dyDescent="0.35">
      <c r="A47" s="1"/>
      <c r="B47" s="88" t="s">
        <v>76</v>
      </c>
      <c r="C47" s="89"/>
      <c r="D47" s="89"/>
      <c r="E47" s="89"/>
      <c r="F47" s="89"/>
      <c r="G47" s="89"/>
      <c r="H47" s="89"/>
      <c r="I47" s="89"/>
      <c r="J47" s="89"/>
      <c r="K47" s="89">
        <f t="shared" ref="K47:W47" si="22">K16</f>
        <v>-249.71464083999999</v>
      </c>
      <c r="L47" s="89">
        <f t="shared" si="22"/>
        <v>-270.48382595791998</v>
      </c>
      <c r="M47" s="89">
        <f t="shared" si="22"/>
        <v>-272.75183490207996</v>
      </c>
      <c r="N47" s="89">
        <f t="shared" si="22"/>
        <v>-191.53634024999999</v>
      </c>
      <c r="O47" s="89">
        <f t="shared" si="22"/>
        <v>-126.54382303</v>
      </c>
      <c r="P47" s="89">
        <f t="shared" si="22"/>
        <v>-121.65799247</v>
      </c>
      <c r="Q47" s="89">
        <f t="shared" si="22"/>
        <v>-165.02500000000001</v>
      </c>
      <c r="R47" s="89">
        <f t="shared" si="22"/>
        <v>-122.5847101013008</v>
      </c>
      <c r="S47" s="89">
        <f t="shared" si="22"/>
        <v>-102.73741299845999</v>
      </c>
      <c r="T47" s="89">
        <f t="shared" si="22"/>
        <v>-112.956</v>
      </c>
      <c r="U47" s="89">
        <f t="shared" si="22"/>
        <v>-119.64396086609599</v>
      </c>
      <c r="V47" s="89">
        <f t="shared" si="22"/>
        <v>-120.69999999999999</v>
      </c>
      <c r="W47" s="89">
        <f t="shared" si="22"/>
        <v>-83.451065724638994</v>
      </c>
      <c r="X47" s="89">
        <v>-97.548286782290987</v>
      </c>
      <c r="Y47" s="24"/>
      <c r="Z47" s="89"/>
      <c r="AA47" s="89"/>
      <c r="AB47" s="89">
        <f t="shared" si="17"/>
        <v>-984.48664194999992</v>
      </c>
      <c r="AC47" s="89">
        <f t="shared" si="18"/>
        <v>-535.8115256013009</v>
      </c>
      <c r="AD47" s="89">
        <f t="shared" si="19"/>
        <v>-456.03737386455595</v>
      </c>
      <c r="AE47" s="86"/>
    </row>
    <row r="48" spans="1:31" s="2" customFormat="1" ht="14.25" customHeight="1" x14ac:dyDescent="0.35">
      <c r="A48" s="1"/>
      <c r="B48" s="32" t="s">
        <v>104</v>
      </c>
      <c r="C48" s="52"/>
      <c r="D48" s="52"/>
      <c r="E48" s="52"/>
      <c r="F48" s="52"/>
      <c r="G48" s="52"/>
      <c r="H48" s="52"/>
      <c r="I48" s="52"/>
      <c r="J48" s="52"/>
      <c r="K48" s="52">
        <f t="shared" ref="K48:W49" si="23">K17</f>
        <v>-88.948152429999993</v>
      </c>
      <c r="L48" s="52">
        <f t="shared" si="23"/>
        <v>-115.01603417792001</v>
      </c>
      <c r="M48" s="52">
        <f t="shared" si="23"/>
        <v>-126.29378593208</v>
      </c>
      <c r="N48" s="52">
        <f t="shared" si="23"/>
        <v>-111.98769313</v>
      </c>
      <c r="O48" s="52">
        <f t="shared" si="23"/>
        <v>-86.3</v>
      </c>
      <c r="P48" s="52">
        <f t="shared" si="23"/>
        <v>-115.3</v>
      </c>
      <c r="Q48" s="52">
        <f t="shared" si="23"/>
        <v>-136</v>
      </c>
      <c r="R48" s="52">
        <f t="shared" si="23"/>
        <v>-93.823620421300802</v>
      </c>
      <c r="S48" s="52">
        <f t="shared" si="23"/>
        <v>-72.11698171245223</v>
      </c>
      <c r="T48" s="52">
        <f t="shared" si="23"/>
        <v>-75.665997900000008</v>
      </c>
      <c r="U48" s="52">
        <f t="shared" si="23"/>
        <v>-91.794587596095994</v>
      </c>
      <c r="V48" s="52">
        <f t="shared" si="23"/>
        <v>-106.1</v>
      </c>
      <c r="W48" s="52">
        <f t="shared" si="23"/>
        <v>-62.213092194639003</v>
      </c>
      <c r="X48" s="52">
        <v>-69.789000000000001</v>
      </c>
      <c r="Y48" s="24"/>
      <c r="Z48" s="52"/>
      <c r="AA48" s="52"/>
      <c r="AB48" s="52">
        <f t="shared" si="17"/>
        <v>-442.24566566999999</v>
      </c>
      <c r="AC48" s="52">
        <f t="shared" si="18"/>
        <v>-431.42362042130083</v>
      </c>
      <c r="AD48" s="52">
        <f t="shared" si="19"/>
        <v>-345.67756720854823</v>
      </c>
      <c r="AE48" s="86"/>
    </row>
    <row r="49" spans="1:31" s="2" customFormat="1" ht="14.25" customHeight="1" x14ac:dyDescent="0.35">
      <c r="A49" s="1"/>
      <c r="B49" s="32" t="s">
        <v>495</v>
      </c>
      <c r="C49" s="52"/>
      <c r="D49" s="52"/>
      <c r="E49" s="52"/>
      <c r="F49" s="52"/>
      <c r="G49" s="52"/>
      <c r="H49" s="52"/>
      <c r="I49" s="52"/>
      <c r="J49" s="52"/>
      <c r="K49" s="52">
        <f t="shared" si="23"/>
        <v>-160.76648840999999</v>
      </c>
      <c r="L49" s="52">
        <f t="shared" si="23"/>
        <v>-155.46779178</v>
      </c>
      <c r="M49" s="52">
        <f t="shared" si="23"/>
        <v>-146.45804896999999</v>
      </c>
      <c r="N49" s="52">
        <f t="shared" si="23"/>
        <v>-79.548647119999998</v>
      </c>
      <c r="O49" s="52">
        <f t="shared" si="23"/>
        <v>-40.243823030000001</v>
      </c>
      <c r="P49" s="52">
        <f t="shared" si="23"/>
        <v>-6.3579924700000001</v>
      </c>
      <c r="Q49" s="52">
        <f t="shared" si="23"/>
        <v>-29.024999999999999</v>
      </c>
      <c r="R49" s="52">
        <f t="shared" si="23"/>
        <v>-28.761089680000005</v>
      </c>
      <c r="S49" s="52">
        <f t="shared" si="23"/>
        <v>-30.620431286007758</v>
      </c>
      <c r="T49" s="52">
        <f t="shared" si="23"/>
        <v>-37.290002099999995</v>
      </c>
      <c r="U49" s="52">
        <f t="shared" si="23"/>
        <v>-27.849373270000001</v>
      </c>
      <c r="V49" s="52">
        <f t="shared" si="23"/>
        <v>-14.599999999999998</v>
      </c>
      <c r="W49" s="52">
        <f t="shared" si="23"/>
        <v>-21.237973529999998</v>
      </c>
      <c r="X49" s="52">
        <v>-27.759286782290985</v>
      </c>
      <c r="Y49" s="24"/>
      <c r="Z49" s="52"/>
      <c r="AA49" s="52"/>
      <c r="AB49" s="52">
        <f t="shared" si="17"/>
        <v>-542.24097628000004</v>
      </c>
      <c r="AC49" s="52">
        <f t="shared" si="18"/>
        <v>-104.38790517999999</v>
      </c>
      <c r="AD49" s="52">
        <f t="shared" si="19"/>
        <v>-110.35980665600775</v>
      </c>
      <c r="AE49" s="86"/>
    </row>
    <row r="50" spans="1:31" s="2" customFormat="1" ht="14.25" customHeight="1" x14ac:dyDescent="0.35">
      <c r="A50" s="1"/>
      <c r="B50" s="88" t="s">
        <v>69</v>
      </c>
      <c r="C50" s="89"/>
      <c r="D50" s="89"/>
      <c r="E50" s="89"/>
      <c r="F50" s="89"/>
      <c r="G50" s="89"/>
      <c r="H50" s="89"/>
      <c r="I50" s="89"/>
      <c r="J50" s="89"/>
      <c r="K50" s="89">
        <v>-244.44451568182447</v>
      </c>
      <c r="L50" s="89">
        <v>-275.94960032732956</v>
      </c>
      <c r="M50" s="89">
        <v>-289.83843660615406</v>
      </c>
      <c r="N50" s="89">
        <v>-270.16619773336492</v>
      </c>
      <c r="O50" s="89">
        <v>-302.60447465451784</v>
      </c>
      <c r="P50" s="89">
        <v>-309.56429751683811</v>
      </c>
      <c r="Q50" s="89">
        <v>-328.91466443103997</v>
      </c>
      <c r="R50" s="89">
        <v>-348.54911450637934</v>
      </c>
      <c r="S50" s="89">
        <v>-352.93785671739562</v>
      </c>
      <c r="T50" s="89">
        <v>-371.35922077677913</v>
      </c>
      <c r="U50" s="89">
        <v>-392.30224352028711</v>
      </c>
      <c r="V50" s="89">
        <v>-404.88766565582642</v>
      </c>
      <c r="W50" s="89">
        <v>-418.01002198498878</v>
      </c>
      <c r="X50" s="89">
        <v>-429.58501179650034</v>
      </c>
      <c r="Y50" s="24"/>
      <c r="Z50" s="89"/>
      <c r="AA50" s="89"/>
      <c r="AB50" s="89">
        <f t="shared" si="17"/>
        <v>-1080.398750348673</v>
      </c>
      <c r="AC50" s="89">
        <f t="shared" si="18"/>
        <v>-1289.6325511087753</v>
      </c>
      <c r="AD50" s="89">
        <f t="shared" si="19"/>
        <v>-1521.4869866702884</v>
      </c>
      <c r="AE50" s="86"/>
    </row>
    <row r="51" spans="1:31" s="2" customFormat="1" ht="14.25" customHeight="1" x14ac:dyDescent="0.35">
      <c r="A51" s="1"/>
      <c r="B51" s="88" t="s">
        <v>106</v>
      </c>
      <c r="C51" s="89"/>
      <c r="D51" s="89"/>
      <c r="E51" s="89"/>
      <c r="F51" s="89"/>
      <c r="G51" s="89"/>
      <c r="H51" s="89"/>
      <c r="I51" s="89"/>
      <c r="J51" s="89"/>
      <c r="K51" s="89">
        <f t="shared" ref="K51:W51" si="24">K20</f>
        <v>0</v>
      </c>
      <c r="L51" s="89">
        <f t="shared" si="24"/>
        <v>-93.141000000000005</v>
      </c>
      <c r="M51" s="89">
        <f t="shared" si="24"/>
        <v>-41.164966999999997</v>
      </c>
      <c r="N51" s="89">
        <f t="shared" si="24"/>
        <v>-65.599999999999994</v>
      </c>
      <c r="O51" s="89">
        <f t="shared" si="24"/>
        <v>-62.256</v>
      </c>
      <c r="P51" s="89">
        <f t="shared" si="24"/>
        <v>-64.7</v>
      </c>
      <c r="Q51" s="89">
        <f t="shared" si="24"/>
        <v>-63.747</v>
      </c>
      <c r="R51" s="89">
        <f t="shared" si="24"/>
        <v>-56.822000000000003</v>
      </c>
      <c r="S51" s="89">
        <f t="shared" si="24"/>
        <v>-56.195</v>
      </c>
      <c r="T51" s="89">
        <f t="shared" si="24"/>
        <v>-39.699236929999998</v>
      </c>
      <c r="U51" s="89">
        <f t="shared" si="24"/>
        <v>-36.724938750001797</v>
      </c>
      <c r="V51" s="89">
        <f t="shared" si="24"/>
        <v>-31.29</v>
      </c>
      <c r="W51" s="89">
        <f t="shared" si="24"/>
        <v>-37.708999999999996</v>
      </c>
      <c r="X51" s="89">
        <v>-36.042999999999999</v>
      </c>
      <c r="Y51" s="24"/>
      <c r="Z51" s="89"/>
      <c r="AA51" s="89"/>
      <c r="AB51" s="89">
        <f t="shared" si="17"/>
        <v>-199.905967</v>
      </c>
      <c r="AC51" s="89">
        <f t="shared" si="18"/>
        <v>-247.52500000000001</v>
      </c>
      <c r="AD51" s="89">
        <f t="shared" si="19"/>
        <v>-163.90917568000179</v>
      </c>
      <c r="AE51" s="86"/>
    </row>
    <row r="52" spans="1:31" s="2" customFormat="1" ht="14.25" customHeight="1" x14ac:dyDescent="0.35">
      <c r="A52" s="1"/>
      <c r="B52" s="39" t="s">
        <v>67</v>
      </c>
      <c r="C52" s="40"/>
      <c r="D52" s="40"/>
      <c r="E52" s="40"/>
      <c r="F52" s="40"/>
      <c r="G52" s="40"/>
      <c r="H52" s="40"/>
      <c r="I52" s="40"/>
      <c r="J52" s="40"/>
      <c r="K52" s="40">
        <f t="shared" ref="K52:W52" si="25">SUM(K50,K51,K42,K47,K41,K37)</f>
        <v>-2978.1322689535318</v>
      </c>
      <c r="L52" s="40">
        <f t="shared" si="25"/>
        <v>-3412.6609432961786</v>
      </c>
      <c r="M52" s="40">
        <f t="shared" si="25"/>
        <v>-3562.524865710709</v>
      </c>
      <c r="N52" s="40">
        <f t="shared" si="25"/>
        <v>-3492.5488236288738</v>
      </c>
      <c r="O52" s="40">
        <f t="shared" si="25"/>
        <v>-3280.1678396735451</v>
      </c>
      <c r="P52" s="40">
        <f t="shared" si="25"/>
        <v>-3294.8700729798493</v>
      </c>
      <c r="Q52" s="40">
        <f t="shared" si="25"/>
        <v>-3469.1859144315613</v>
      </c>
      <c r="R52" s="40">
        <f t="shared" si="25"/>
        <v>-3713.7700245325532</v>
      </c>
      <c r="S52" s="40">
        <f t="shared" si="25"/>
        <v>-3674.071707341298</v>
      </c>
      <c r="T52" s="40">
        <f t="shared" si="25"/>
        <v>-3920.8488435768613</v>
      </c>
      <c r="U52" s="40">
        <f t="shared" si="25"/>
        <v>-4175.859286103303</v>
      </c>
      <c r="V52" s="40">
        <f t="shared" si="25"/>
        <v>-4430.0218227203977</v>
      </c>
      <c r="W52" s="40">
        <f t="shared" si="25"/>
        <v>-4226.5667930348227</v>
      </c>
      <c r="X52" s="40">
        <v>-4399.0584867054331</v>
      </c>
      <c r="Y52" s="24"/>
      <c r="Z52" s="40"/>
      <c r="AA52" s="40"/>
      <c r="AB52" s="40">
        <f t="shared" si="17"/>
        <v>-13445.866901589292</v>
      </c>
      <c r="AC52" s="40">
        <f t="shared" si="18"/>
        <v>-13757.99385161751</v>
      </c>
      <c r="AD52" s="40">
        <f t="shared" si="19"/>
        <v>-16200.801659741861</v>
      </c>
      <c r="AE52" s="86"/>
    </row>
    <row r="53" spans="1:31" s="2" customFormat="1" ht="14.25" customHeight="1" thickBot="1" x14ac:dyDescent="0.4">
      <c r="A53" s="1"/>
      <c r="B53" s="91" t="s">
        <v>68</v>
      </c>
      <c r="C53" s="92"/>
      <c r="D53" s="92"/>
      <c r="E53" s="92"/>
      <c r="F53" s="92"/>
      <c r="G53" s="92"/>
      <c r="H53" s="92"/>
      <c r="I53" s="92"/>
      <c r="J53" s="92"/>
      <c r="K53" s="92">
        <f t="shared" ref="K53:W53" si="26">K52-K38-K39</f>
        <v>-1329.5272689535318</v>
      </c>
      <c r="L53" s="92">
        <f t="shared" si="26"/>
        <v>-1754.5837272061785</v>
      </c>
      <c r="M53" s="92">
        <f t="shared" si="26"/>
        <v>-1905.4573210607091</v>
      </c>
      <c r="N53" s="92">
        <f t="shared" si="26"/>
        <v>-1826.9153242388736</v>
      </c>
      <c r="O53" s="92">
        <f t="shared" si="26"/>
        <v>-1941.9893428535452</v>
      </c>
      <c r="P53" s="92">
        <f t="shared" si="26"/>
        <v>-1937.8515623398494</v>
      </c>
      <c r="Q53" s="92">
        <f t="shared" si="26"/>
        <v>-2019.2099144315609</v>
      </c>
      <c r="R53" s="92">
        <f t="shared" si="26"/>
        <v>-2084.2755202925532</v>
      </c>
      <c r="S53" s="92">
        <f t="shared" si="26"/>
        <v>-2082.8237073412974</v>
      </c>
      <c r="T53" s="92">
        <f t="shared" si="26"/>
        <v>-2192.5628624368615</v>
      </c>
      <c r="U53" s="92">
        <f t="shared" si="26"/>
        <v>-2348.501006283303</v>
      </c>
      <c r="V53" s="92">
        <f t="shared" si="26"/>
        <v>-2526.721822720398</v>
      </c>
      <c r="W53" s="92">
        <f t="shared" si="26"/>
        <v>-2530.4217268448228</v>
      </c>
      <c r="X53" s="92">
        <v>-2680.0549076254329</v>
      </c>
      <c r="Y53" s="24"/>
      <c r="Z53" s="92"/>
      <c r="AA53" s="92"/>
      <c r="AB53" s="92">
        <f t="shared" si="17"/>
        <v>-6816.4836414592928</v>
      </c>
      <c r="AC53" s="92">
        <f t="shared" si="18"/>
        <v>-7983.3263399175084</v>
      </c>
      <c r="AD53" s="92">
        <f t="shared" si="19"/>
        <v>-9150.6093987818585</v>
      </c>
      <c r="AE53" s="86"/>
    </row>
    <row r="54" spans="1:31" s="2" customFormat="1" ht="14.25" customHeight="1" x14ac:dyDescent="0.35">
      <c r="A54" s="1"/>
      <c r="B54" s="196"/>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86"/>
    </row>
    <row r="55" spans="1:31" s="2" customFormat="1" ht="14.25" customHeight="1" thickBot="1" x14ac:dyDescent="0.4">
      <c r="A55" s="1"/>
      <c r="B55" s="192" t="s">
        <v>54</v>
      </c>
      <c r="C55" s="189" t="s">
        <v>3</v>
      </c>
      <c r="D55" s="189" t="s">
        <v>4</v>
      </c>
      <c r="E55" s="189" t="s">
        <v>5</v>
      </c>
      <c r="F55" s="189" t="s">
        <v>6</v>
      </c>
      <c r="G55" s="189" t="s">
        <v>7</v>
      </c>
      <c r="H55" s="189" t="s">
        <v>8</v>
      </c>
      <c r="I55" s="189" t="s">
        <v>9</v>
      </c>
      <c r="J55" s="189" t="s">
        <v>10</v>
      </c>
      <c r="K55" s="189" t="s">
        <v>11</v>
      </c>
      <c r="L55" s="189" t="s">
        <v>12</v>
      </c>
      <c r="M55" s="189" t="s">
        <v>13</v>
      </c>
      <c r="N55" s="189" t="s">
        <v>14</v>
      </c>
      <c r="O55" s="189" t="s">
        <v>15</v>
      </c>
      <c r="P55" s="189" t="s">
        <v>16</v>
      </c>
      <c r="Q55" s="189" t="s">
        <v>17</v>
      </c>
      <c r="R55" s="189" t="s">
        <v>18</v>
      </c>
      <c r="S55" s="189" t="s">
        <v>19</v>
      </c>
      <c r="T55" s="189" t="s">
        <v>20</v>
      </c>
      <c r="U55" s="189" t="s">
        <v>21</v>
      </c>
      <c r="V55" s="189" t="s">
        <v>22</v>
      </c>
      <c r="W55" s="189" t="s">
        <v>457</v>
      </c>
      <c r="X55" s="189" t="s">
        <v>493</v>
      </c>
      <c r="Y55" s="24"/>
      <c r="Z55" s="189">
        <v>2020</v>
      </c>
      <c r="AA55" s="189">
        <v>2021</v>
      </c>
      <c r="AB55" s="189">
        <v>2022</v>
      </c>
      <c r="AC55" s="189">
        <v>2023</v>
      </c>
      <c r="AD55" s="189">
        <v>2024</v>
      </c>
      <c r="AE55" s="86"/>
    </row>
    <row r="56" spans="1:31" s="2" customFormat="1" ht="14.25" customHeight="1" x14ac:dyDescent="0.35">
      <c r="A56" s="1"/>
      <c r="B56" s="88" t="s">
        <v>62</v>
      </c>
      <c r="C56" s="89"/>
      <c r="D56" s="89"/>
      <c r="E56" s="89"/>
      <c r="F56" s="89"/>
      <c r="G56" s="89"/>
      <c r="H56" s="89"/>
      <c r="I56" s="89"/>
      <c r="J56" s="89"/>
      <c r="K56" s="89">
        <f t="shared" ref="K56:W58" si="27">K6</f>
        <v>-1302.9783022702736</v>
      </c>
      <c r="L56" s="89">
        <f t="shared" si="27"/>
        <v>-1414.2046547948698</v>
      </c>
      <c r="M56" s="89">
        <f t="shared" si="27"/>
        <v>-1371.616829647784</v>
      </c>
      <c r="N56" s="89">
        <f t="shared" si="27"/>
        <v>-1478.260653589706</v>
      </c>
      <c r="O56" s="89">
        <f t="shared" si="27"/>
        <v>-1388.7597120333323</v>
      </c>
      <c r="P56" s="89">
        <f t="shared" si="27"/>
        <v>-1414.2290838637653</v>
      </c>
      <c r="Q56" s="89">
        <f t="shared" si="27"/>
        <v>-1508.4410267865851</v>
      </c>
      <c r="R56" s="89">
        <f t="shared" si="27"/>
        <v>-1644.688380414216</v>
      </c>
      <c r="S56" s="89">
        <f t="shared" si="27"/>
        <v>-1626.5758664319394</v>
      </c>
      <c r="T56" s="89">
        <f t="shared" si="27"/>
        <v>-1760.9301595813702</v>
      </c>
      <c r="U56" s="89">
        <f t="shared" si="27"/>
        <v>-1850.924001886691</v>
      </c>
      <c r="V56" s="89">
        <f t="shared" si="27"/>
        <v>-1959.6999999999998</v>
      </c>
      <c r="W56" s="89">
        <f t="shared" si="27"/>
        <v>-1715.4242674060924</v>
      </c>
      <c r="X56" s="89">
        <v>-1735.87</v>
      </c>
      <c r="Y56" s="24"/>
      <c r="Z56" s="89"/>
      <c r="AA56" s="89"/>
      <c r="AB56" s="89">
        <f>SUM(K56:N56)</f>
        <v>-5567.0604403026337</v>
      </c>
      <c r="AC56" s="89">
        <f>SUM(O56:R56)</f>
        <v>-5956.1182030978989</v>
      </c>
      <c r="AD56" s="89">
        <f>SUM(S56:V56)</f>
        <v>-7198.1300279000006</v>
      </c>
      <c r="AE56" s="86"/>
    </row>
    <row r="57" spans="1:31" s="2" customFormat="1" ht="14.25" customHeight="1" x14ac:dyDescent="0.35">
      <c r="A57" s="1"/>
      <c r="B57" s="32" t="s">
        <v>96</v>
      </c>
      <c r="C57" s="24"/>
      <c r="D57" s="24"/>
      <c r="E57" s="24"/>
      <c r="F57" s="24"/>
      <c r="G57" s="24"/>
      <c r="H57" s="24"/>
      <c r="I57" s="24"/>
      <c r="J57" s="24"/>
      <c r="K57" s="47">
        <f t="shared" si="27"/>
        <v>-1018.6</v>
      </c>
      <c r="L57" s="47">
        <f t="shared" si="27"/>
        <v>-1143.79240628</v>
      </c>
      <c r="M57" s="47">
        <f t="shared" si="27"/>
        <v>-1159.2629693900005</v>
      </c>
      <c r="N57" s="47">
        <f t="shared" si="27"/>
        <v>-1183.69626543</v>
      </c>
      <c r="O57" s="47">
        <f t="shared" si="27"/>
        <v>-1115.5152621299999</v>
      </c>
      <c r="P57" s="47">
        <f t="shared" si="27"/>
        <v>-1125.5372036899998</v>
      </c>
      <c r="Q57" s="47">
        <f t="shared" si="27"/>
        <v>-1205.9480000000001</v>
      </c>
      <c r="R57" s="47">
        <f t="shared" si="27"/>
        <v>-1358.47350424</v>
      </c>
      <c r="S57" s="47">
        <f t="shared" si="27"/>
        <v>-1334.229</v>
      </c>
      <c r="T57" s="47">
        <f t="shared" si="27"/>
        <v>-1453.99035546</v>
      </c>
      <c r="U57" s="47">
        <f t="shared" si="27"/>
        <v>-1541.7624588899998</v>
      </c>
      <c r="V57" s="47">
        <f t="shared" si="27"/>
        <v>-1614.7</v>
      </c>
      <c r="W57" s="47">
        <f t="shared" si="27"/>
        <v>-1445.8562364000002</v>
      </c>
      <c r="X57" s="47">
        <v>-1436.8050000000001</v>
      </c>
      <c r="Y57" s="24"/>
      <c r="Z57" s="24"/>
      <c r="AA57" s="24"/>
      <c r="AB57" s="38">
        <f t="shared" ref="AB57:AB59" si="28">SUM(K57:N57)</f>
        <v>-4505.3516411000001</v>
      </c>
      <c r="AC57" s="38">
        <f t="shared" ref="AC57:AC59" si="29">SUM(O57:R57)</f>
        <v>-4805.4739700599994</v>
      </c>
      <c r="AD57" s="38">
        <f t="shared" ref="AD57:AD59" si="30">SUM(S57:V57)</f>
        <v>-5944.6818143499995</v>
      </c>
      <c r="AE57" s="86"/>
    </row>
    <row r="58" spans="1:31" s="2" customFormat="1" ht="14.25" customHeight="1" x14ac:dyDescent="0.35">
      <c r="A58" s="1"/>
      <c r="B58" s="32" t="s">
        <v>107</v>
      </c>
      <c r="C58" s="24"/>
      <c r="D58" s="24"/>
      <c r="E58" s="24"/>
      <c r="F58" s="24"/>
      <c r="G58" s="24"/>
      <c r="H58" s="24"/>
      <c r="I58" s="24"/>
      <c r="J58" s="24"/>
      <c r="K58" s="47">
        <f t="shared" si="27"/>
        <v>-211.8</v>
      </c>
      <c r="L58" s="47">
        <f t="shared" si="27"/>
        <v>-221.27221609</v>
      </c>
      <c r="M58" s="47">
        <f t="shared" si="27"/>
        <v>-220.26254465</v>
      </c>
      <c r="N58" s="47">
        <f t="shared" si="27"/>
        <v>-228.82849939000002</v>
      </c>
      <c r="O58" s="47">
        <f t="shared" si="27"/>
        <v>-222.66323468999997</v>
      </c>
      <c r="P58" s="47">
        <f t="shared" si="27"/>
        <v>-231.48130695000003</v>
      </c>
      <c r="Q58" s="47">
        <f t="shared" si="27"/>
        <v>-244.02799999999999</v>
      </c>
      <c r="R58" s="47">
        <f t="shared" si="27"/>
        <v>-271.02100000000002</v>
      </c>
      <c r="S58" s="47">
        <f t="shared" si="27"/>
        <v>-257.01900000000001</v>
      </c>
      <c r="T58" s="47">
        <f t="shared" si="27"/>
        <v>-274.29562568</v>
      </c>
      <c r="U58" s="47">
        <f t="shared" si="27"/>
        <v>-285.59582093</v>
      </c>
      <c r="V58" s="47">
        <f t="shared" si="27"/>
        <v>-288.60000000000002</v>
      </c>
      <c r="W58" s="47">
        <f t="shared" si="27"/>
        <v>-250.28882979000002</v>
      </c>
      <c r="X58" s="47">
        <v>-282.19857908000006</v>
      </c>
      <c r="Y58" s="24"/>
      <c r="Z58" s="24"/>
      <c r="AA58" s="24"/>
      <c r="AB58" s="38">
        <f t="shared" si="28"/>
        <v>-882.16326013000003</v>
      </c>
      <c r="AC58" s="38">
        <f t="shared" si="29"/>
        <v>-969.19354163999992</v>
      </c>
      <c r="AD58" s="38">
        <f t="shared" si="30"/>
        <v>-1105.5104466100001</v>
      </c>
      <c r="AE58" s="86"/>
    </row>
    <row r="59" spans="1:31" s="2" customFormat="1" ht="14.25" customHeight="1" x14ac:dyDescent="0.35">
      <c r="A59" s="1"/>
      <c r="B59" s="32" t="s">
        <v>98</v>
      </c>
      <c r="C59" s="24"/>
      <c r="D59" s="24"/>
      <c r="E59" s="24"/>
      <c r="F59" s="24"/>
      <c r="G59" s="24"/>
      <c r="H59" s="24"/>
      <c r="I59" s="24"/>
      <c r="J59" s="24"/>
      <c r="K59" s="47">
        <f t="shared" ref="K59:W59" si="31">K9</f>
        <v>-72.578302270273582</v>
      </c>
      <c r="L59" s="47">
        <f t="shared" si="31"/>
        <v>-49.140032424869673</v>
      </c>
      <c r="M59" s="47">
        <f t="shared" si="31"/>
        <v>7.9086843922163155</v>
      </c>
      <c r="N59" s="47">
        <f t="shared" si="31"/>
        <v>-65.73588876970598</v>
      </c>
      <c r="O59" s="47">
        <f t="shared" si="31"/>
        <v>-50.581215213332371</v>
      </c>
      <c r="P59" s="47">
        <f t="shared" si="31"/>
        <v>-57.210573223765323</v>
      </c>
      <c r="Q59" s="47">
        <f t="shared" si="31"/>
        <v>-58.465026786584986</v>
      </c>
      <c r="R59" s="47">
        <f t="shared" si="31"/>
        <v>-15.19387617421603</v>
      </c>
      <c r="S59" s="47">
        <f t="shared" si="31"/>
        <v>-35.327866431939356</v>
      </c>
      <c r="T59" s="47">
        <f t="shared" si="31"/>
        <v>-32.644178441370059</v>
      </c>
      <c r="U59" s="47">
        <f t="shared" si="31"/>
        <v>-23.565722066691251</v>
      </c>
      <c r="V59" s="47">
        <f t="shared" si="31"/>
        <v>-56.399999999999636</v>
      </c>
      <c r="W59" s="47">
        <f t="shared" si="31"/>
        <v>-19.279201216092133</v>
      </c>
      <c r="X59" s="47">
        <v>-16.866420919999655</v>
      </c>
      <c r="Y59" s="24"/>
      <c r="Z59" s="24"/>
      <c r="AA59" s="24"/>
      <c r="AB59" s="38">
        <f t="shared" si="28"/>
        <v>-179.54553907263292</v>
      </c>
      <c r="AC59" s="38">
        <f t="shared" si="29"/>
        <v>-181.45069139789871</v>
      </c>
      <c r="AD59" s="38">
        <f t="shared" si="30"/>
        <v>-147.9377669400003</v>
      </c>
      <c r="AE59" s="86"/>
    </row>
    <row r="60" spans="1:31" s="2" customFormat="1" ht="14.25" customHeight="1" x14ac:dyDescent="0.35">
      <c r="A60" s="1"/>
      <c r="B60" s="88" t="s">
        <v>63</v>
      </c>
      <c r="C60" s="89"/>
      <c r="D60" s="89"/>
      <c r="E60" s="89"/>
      <c r="F60" s="89"/>
      <c r="G60" s="89"/>
      <c r="H60" s="89"/>
      <c r="I60" s="89"/>
      <c r="J60" s="89"/>
      <c r="K60" s="89">
        <v>-480.36881487000016</v>
      </c>
      <c r="L60" s="89">
        <v>-499.05672714792001</v>
      </c>
      <c r="M60" s="89">
        <v>-530.83918260208009</v>
      </c>
      <c r="N60" s="89">
        <v>-435.4844150400001</v>
      </c>
      <c r="O60" s="89">
        <v>-316.15812327999998</v>
      </c>
      <c r="P60" s="89">
        <v>-319.91763907999996</v>
      </c>
      <c r="Q60" s="89">
        <v>-376.70320676291124</v>
      </c>
      <c r="R60" s="89">
        <v>-410.62133911130098</v>
      </c>
      <c r="S60" s="89">
        <v>-435.3</v>
      </c>
      <c r="T60" s="89">
        <v>-466.03814073824435</v>
      </c>
      <c r="U60" s="89">
        <v>-485.18091451999999</v>
      </c>
      <c r="V60" s="89">
        <v>-444.08330634018699</v>
      </c>
      <c r="W60" s="89">
        <v>-419.65708988775685</v>
      </c>
      <c r="X60" s="89">
        <v>-455.5990428673615</v>
      </c>
      <c r="Y60" s="24"/>
      <c r="Z60" s="89"/>
      <c r="AA60" s="89"/>
      <c r="AB60" s="89">
        <f t="shared" ref="AB60:AB61" si="32">SUM(K60:N60)</f>
        <v>-1945.7491396600005</v>
      </c>
      <c r="AC60" s="89">
        <f t="shared" ref="AC60:AC61" si="33">SUM(O60:R60)</f>
        <v>-1423.4003082342122</v>
      </c>
      <c r="AD60" s="89">
        <f t="shared" ref="AD60:AD61" si="34">SUM(S60:V60)</f>
        <v>-1830.6023615984313</v>
      </c>
      <c r="AE60" s="86"/>
    </row>
    <row r="61" spans="1:31" s="2" customFormat="1" ht="14.25" customHeight="1" x14ac:dyDescent="0.35">
      <c r="A61" s="1"/>
      <c r="B61" s="88" t="s">
        <v>64</v>
      </c>
      <c r="C61" s="89"/>
      <c r="D61" s="89"/>
      <c r="E61" s="89"/>
      <c r="F61" s="89"/>
      <c r="G61" s="89"/>
      <c r="H61" s="89"/>
      <c r="I61" s="89"/>
      <c r="J61" s="89"/>
      <c r="K61" s="89">
        <v>-135.38997127813172</v>
      </c>
      <c r="L61" s="89">
        <v>-152.79090438265254</v>
      </c>
      <c r="M61" s="89">
        <v>-141.14743776762393</v>
      </c>
      <c r="N61" s="89">
        <v>-114.9364707432895</v>
      </c>
      <c r="O61" s="89">
        <v>-145.45903309159758</v>
      </c>
      <c r="P61" s="89">
        <v>-161.7510103771329</v>
      </c>
      <c r="Q61" s="89">
        <v>-165.68399187284109</v>
      </c>
      <c r="R61" s="89">
        <v>-107.48520664839468</v>
      </c>
      <c r="S61" s="89">
        <v>-178.93429329828396</v>
      </c>
      <c r="T61" s="89">
        <v>-165.43767310884576</v>
      </c>
      <c r="U61" s="89">
        <v>-214.94680808187516</v>
      </c>
      <c r="V61" s="89">
        <v>-237.24596005528636</v>
      </c>
      <c r="W61" s="89">
        <v>-211.17458395210915</v>
      </c>
      <c r="X61" s="89">
        <v>-192.80229840838203</v>
      </c>
      <c r="Y61" s="24"/>
      <c r="Z61" s="89"/>
      <c r="AA61" s="89"/>
      <c r="AB61" s="89">
        <f t="shared" si="32"/>
        <v>-544.26478417169778</v>
      </c>
      <c r="AC61" s="89">
        <f t="shared" si="33"/>
        <v>-580.3792419899662</v>
      </c>
      <c r="AD61" s="89">
        <f t="shared" si="34"/>
        <v>-796.56473454429124</v>
      </c>
      <c r="AE61" s="86"/>
    </row>
    <row r="62" spans="1:31" s="2" customFormat="1" ht="14.25" customHeight="1" x14ac:dyDescent="0.35">
      <c r="A62" s="1"/>
      <c r="B62" s="88" t="s">
        <v>65</v>
      </c>
      <c r="C62" s="89"/>
      <c r="D62" s="89"/>
      <c r="E62" s="89"/>
      <c r="F62" s="89"/>
      <c r="G62" s="89"/>
      <c r="H62" s="89"/>
      <c r="I62" s="89"/>
      <c r="J62" s="89"/>
      <c r="K62" s="89">
        <f t="shared" ref="K62:W62" si="35">K41</f>
        <v>-620.62783420999995</v>
      </c>
      <c r="L62" s="89">
        <f t="shared" si="35"/>
        <v>-755.55951044419521</v>
      </c>
      <c r="M62" s="89">
        <f t="shared" si="35"/>
        <v>-920.65559389805776</v>
      </c>
      <c r="N62" s="89">
        <f t="shared" si="35"/>
        <v>-854.70929850153209</v>
      </c>
      <c r="O62" s="89">
        <f t="shared" si="35"/>
        <v>-812.97072458971468</v>
      </c>
      <c r="P62" s="89">
        <f t="shared" si="35"/>
        <v>-795.62738407411825</v>
      </c>
      <c r="Q62" s="89">
        <f t="shared" si="35"/>
        <v>-819.93723811680593</v>
      </c>
      <c r="R62" s="89">
        <f t="shared" si="35"/>
        <v>-841.12085084668172</v>
      </c>
      <c r="S62" s="89">
        <f t="shared" si="35"/>
        <v>-827.13272112797358</v>
      </c>
      <c r="T62" s="89">
        <f t="shared" si="35"/>
        <v>-863.42093072596026</v>
      </c>
      <c r="U62" s="89">
        <f t="shared" si="35"/>
        <v>-964.29900973928704</v>
      </c>
      <c r="V62" s="89">
        <f t="shared" si="35"/>
        <v>-1091.8000000000002</v>
      </c>
      <c r="W62" s="89">
        <f t="shared" si="35"/>
        <v>-1177.7638463346641</v>
      </c>
      <c r="X62" s="89">
        <v>-1279.567</v>
      </c>
      <c r="Y62" s="24"/>
      <c r="Z62" s="89"/>
      <c r="AA62" s="89"/>
      <c r="AB62" s="89">
        <f t="shared" ref="AB62:AB65" si="36">SUM(K62:N62)</f>
        <v>-3151.5522370537851</v>
      </c>
      <c r="AC62" s="89">
        <f t="shared" ref="AC62:AC65" si="37">SUM(O62:R62)</f>
        <v>-3269.6561976273206</v>
      </c>
      <c r="AD62" s="89">
        <f t="shared" ref="AD62:AD65" si="38">SUM(S62:V62)</f>
        <v>-3746.6526615932212</v>
      </c>
      <c r="AE62" s="86"/>
    </row>
    <row r="63" spans="1:31" s="2" customFormat="1" ht="14.25" customHeight="1" x14ac:dyDescent="0.35">
      <c r="A63" s="1"/>
      <c r="B63" s="88" t="s">
        <v>66</v>
      </c>
      <c r="C63" s="89"/>
      <c r="D63" s="89"/>
      <c r="E63" s="89"/>
      <c r="F63" s="89"/>
      <c r="G63" s="89"/>
      <c r="H63" s="89"/>
      <c r="I63" s="89"/>
      <c r="J63" s="89"/>
      <c r="K63" s="89">
        <f t="shared" ref="K63:W63" si="39">K64-SUM(K60:K62,K56)</f>
        <v>-438.76734632512625</v>
      </c>
      <c r="L63" s="89">
        <f t="shared" si="39"/>
        <v>-591.04914652654088</v>
      </c>
      <c r="M63" s="89">
        <f t="shared" si="39"/>
        <v>-598.26582179516345</v>
      </c>
      <c r="N63" s="89">
        <f t="shared" si="39"/>
        <v>-609.15798575434656</v>
      </c>
      <c r="O63" s="89">
        <f t="shared" si="39"/>
        <v>-616.82024667890073</v>
      </c>
      <c r="P63" s="89">
        <f t="shared" si="39"/>
        <v>-603.34495558483286</v>
      </c>
      <c r="Q63" s="89">
        <f t="shared" si="39"/>
        <v>-598.42045089241765</v>
      </c>
      <c r="R63" s="89">
        <f t="shared" si="39"/>
        <v>-709.85424751195978</v>
      </c>
      <c r="S63" s="89">
        <f t="shared" si="39"/>
        <v>-606.12882648310097</v>
      </c>
      <c r="T63" s="89">
        <f t="shared" si="39"/>
        <v>-665.02193942244048</v>
      </c>
      <c r="U63" s="89">
        <f t="shared" si="39"/>
        <v>-660.50855187544948</v>
      </c>
      <c r="V63" s="89">
        <f t="shared" si="39"/>
        <v>-697.19255632492423</v>
      </c>
      <c r="W63" s="89">
        <f t="shared" si="39"/>
        <v>-702.54700545420019</v>
      </c>
      <c r="X63" s="89">
        <v>-735.22014542968964</v>
      </c>
      <c r="Y63" s="24"/>
      <c r="Z63" s="89"/>
      <c r="AA63" s="89"/>
      <c r="AB63" s="89">
        <f t="shared" si="36"/>
        <v>-2237.2403004011771</v>
      </c>
      <c r="AC63" s="89">
        <f t="shared" si="37"/>
        <v>-2528.439900668111</v>
      </c>
      <c r="AD63" s="89">
        <f t="shared" si="38"/>
        <v>-2628.8518741059152</v>
      </c>
      <c r="AE63" s="86"/>
    </row>
    <row r="64" spans="1:31" s="2" customFormat="1" ht="14.25" customHeight="1" x14ac:dyDescent="0.35">
      <c r="A64" s="1"/>
      <c r="B64" s="39" t="s">
        <v>67</v>
      </c>
      <c r="C64" s="40"/>
      <c r="D64" s="40"/>
      <c r="E64" s="40"/>
      <c r="F64" s="40"/>
      <c r="G64" s="40"/>
      <c r="H64" s="40"/>
      <c r="I64" s="40"/>
      <c r="J64" s="40"/>
      <c r="K64" s="40">
        <f t="shared" ref="K64:W64" si="40">K52</f>
        <v>-2978.1322689535318</v>
      </c>
      <c r="L64" s="40">
        <f t="shared" si="40"/>
        <v>-3412.6609432961786</v>
      </c>
      <c r="M64" s="40">
        <f t="shared" si="40"/>
        <v>-3562.524865710709</v>
      </c>
      <c r="N64" s="40">
        <f t="shared" si="40"/>
        <v>-3492.5488236288738</v>
      </c>
      <c r="O64" s="40">
        <f t="shared" si="40"/>
        <v>-3280.1678396735451</v>
      </c>
      <c r="P64" s="40">
        <f t="shared" si="40"/>
        <v>-3294.8700729798493</v>
      </c>
      <c r="Q64" s="40">
        <f t="shared" si="40"/>
        <v>-3469.1859144315613</v>
      </c>
      <c r="R64" s="40">
        <f t="shared" si="40"/>
        <v>-3713.7700245325532</v>
      </c>
      <c r="S64" s="40">
        <f t="shared" si="40"/>
        <v>-3674.071707341298</v>
      </c>
      <c r="T64" s="40">
        <f t="shared" si="40"/>
        <v>-3920.8488435768613</v>
      </c>
      <c r="U64" s="40">
        <f t="shared" si="40"/>
        <v>-4175.859286103303</v>
      </c>
      <c r="V64" s="40">
        <f t="shared" si="40"/>
        <v>-4430.0218227203977</v>
      </c>
      <c r="W64" s="40">
        <f t="shared" si="40"/>
        <v>-4226.5667930348227</v>
      </c>
      <c r="X64" s="40">
        <v>-4399.0584867054331</v>
      </c>
      <c r="Y64" s="24"/>
      <c r="Z64" s="40"/>
      <c r="AA64" s="40"/>
      <c r="AB64" s="40">
        <f t="shared" si="36"/>
        <v>-13445.866901589292</v>
      </c>
      <c r="AC64" s="40">
        <f t="shared" si="37"/>
        <v>-13757.99385161751</v>
      </c>
      <c r="AD64" s="40">
        <f t="shared" si="38"/>
        <v>-16200.801659741861</v>
      </c>
      <c r="AE64" s="86"/>
    </row>
    <row r="65" spans="1:31" s="2" customFormat="1" ht="14.25" customHeight="1" thickBot="1" x14ac:dyDescent="0.4">
      <c r="A65" s="1"/>
      <c r="B65" s="91" t="s">
        <v>68</v>
      </c>
      <c r="C65" s="92"/>
      <c r="D65" s="92"/>
      <c r="E65" s="92"/>
      <c r="F65" s="92"/>
      <c r="G65" s="92"/>
      <c r="H65" s="92"/>
      <c r="I65" s="92"/>
      <c r="J65" s="92"/>
      <c r="K65" s="92">
        <f t="shared" ref="K65:W65" si="41">K53</f>
        <v>-1329.5272689535318</v>
      </c>
      <c r="L65" s="92">
        <f t="shared" si="41"/>
        <v>-1754.5837272061785</v>
      </c>
      <c r="M65" s="92">
        <f t="shared" si="41"/>
        <v>-1905.4573210607091</v>
      </c>
      <c r="N65" s="92">
        <f t="shared" si="41"/>
        <v>-1826.9153242388736</v>
      </c>
      <c r="O65" s="92">
        <f t="shared" si="41"/>
        <v>-1941.9893428535452</v>
      </c>
      <c r="P65" s="92">
        <f t="shared" si="41"/>
        <v>-1937.8515623398494</v>
      </c>
      <c r="Q65" s="92">
        <f t="shared" si="41"/>
        <v>-2019.2099144315609</v>
      </c>
      <c r="R65" s="92">
        <f t="shared" si="41"/>
        <v>-2084.2755202925532</v>
      </c>
      <c r="S65" s="92">
        <f t="shared" si="41"/>
        <v>-2082.8237073412974</v>
      </c>
      <c r="T65" s="92">
        <f t="shared" si="41"/>
        <v>-2192.5628624368615</v>
      </c>
      <c r="U65" s="92">
        <f t="shared" si="41"/>
        <v>-2348.501006283303</v>
      </c>
      <c r="V65" s="92">
        <f t="shared" si="41"/>
        <v>-2526.721822720398</v>
      </c>
      <c r="W65" s="92">
        <f t="shared" si="41"/>
        <v>-2530.4217268448228</v>
      </c>
      <c r="X65" s="92">
        <v>-2680.0549076254329</v>
      </c>
      <c r="Y65" s="24"/>
      <c r="Z65" s="92"/>
      <c r="AA65" s="92"/>
      <c r="AB65" s="92">
        <f t="shared" si="36"/>
        <v>-6816.4836414592928</v>
      </c>
      <c r="AC65" s="92">
        <f t="shared" si="37"/>
        <v>-7983.3263399175084</v>
      </c>
      <c r="AD65" s="92">
        <f t="shared" si="38"/>
        <v>-9150.6093987818585</v>
      </c>
      <c r="AE65" s="86"/>
    </row>
    <row r="66" spans="1:31" customFormat="1" ht="14.25" customHeight="1" x14ac:dyDescent="0.35"/>
    <row r="67" spans="1:31" ht="14.25" customHeight="1" x14ac:dyDescent="0.3">
      <c r="A67" s="2"/>
      <c r="B67" s="13" t="s">
        <v>108</v>
      </c>
      <c r="C67" s="19"/>
      <c r="D67" s="19"/>
      <c r="E67" s="19"/>
      <c r="F67" s="19"/>
      <c r="G67" s="19"/>
      <c r="H67" s="19"/>
      <c r="I67" s="19"/>
      <c r="J67" s="19"/>
      <c r="K67" s="19"/>
      <c r="L67" s="19"/>
      <c r="M67" s="19"/>
      <c r="N67" s="19"/>
      <c r="O67" s="19"/>
      <c r="P67" s="19"/>
      <c r="Q67" s="19"/>
      <c r="R67" s="19"/>
      <c r="S67" s="19"/>
      <c r="T67" s="19"/>
      <c r="U67" s="19"/>
      <c r="V67" s="19"/>
      <c r="W67" s="19"/>
      <c r="X67" s="19"/>
      <c r="Y67" s="25"/>
      <c r="AD67" s="19"/>
    </row>
    <row r="68" spans="1:31" ht="14.25" customHeight="1" x14ac:dyDescent="0.3">
      <c r="A68" s="2"/>
      <c r="B68" s="15" t="s">
        <v>1</v>
      </c>
      <c r="C68" s="19"/>
      <c r="D68" s="19"/>
      <c r="E68" s="19"/>
      <c r="F68" s="19"/>
      <c r="G68" s="19"/>
      <c r="H68" s="19"/>
      <c r="I68" s="19"/>
      <c r="J68" s="19"/>
      <c r="K68" s="19"/>
      <c r="L68" s="19"/>
      <c r="M68" s="19"/>
      <c r="N68" s="19"/>
      <c r="O68" s="19"/>
      <c r="P68" s="19"/>
      <c r="Q68" s="19"/>
      <c r="R68" s="19"/>
      <c r="S68" s="19"/>
      <c r="T68" s="19"/>
      <c r="U68" s="19"/>
      <c r="V68" s="19"/>
      <c r="W68" s="19"/>
      <c r="X68" s="19"/>
      <c r="Y68" s="25"/>
      <c r="AD68" s="19"/>
    </row>
    <row r="69" spans="1:31" ht="14.25" customHeight="1" x14ac:dyDescent="0.3">
      <c r="A69" s="2"/>
      <c r="C69" s="19"/>
      <c r="D69" s="19"/>
      <c r="E69" s="19"/>
      <c r="F69" s="19"/>
      <c r="G69" s="19"/>
      <c r="H69" s="19"/>
      <c r="I69" s="19"/>
      <c r="J69" s="19"/>
      <c r="K69" s="19"/>
      <c r="L69" s="19"/>
      <c r="M69" s="19"/>
      <c r="N69" s="19"/>
      <c r="O69" s="19"/>
      <c r="P69" s="19"/>
      <c r="Q69" s="19"/>
      <c r="R69" s="19"/>
      <c r="S69" s="19"/>
      <c r="T69" s="19"/>
      <c r="U69" s="19"/>
      <c r="V69" s="37"/>
      <c r="W69" s="37"/>
      <c r="X69" s="37"/>
      <c r="Y69" s="25"/>
      <c r="AD69" s="19"/>
    </row>
    <row r="70" spans="1:31" ht="14.25" customHeight="1" thickBot="1" x14ac:dyDescent="0.35">
      <c r="A70" s="2"/>
      <c r="B70" s="192" t="s">
        <v>109</v>
      </c>
      <c r="C70" s="189" t="s">
        <v>3</v>
      </c>
      <c r="D70" s="189" t="s">
        <v>4</v>
      </c>
      <c r="E70" s="189" t="s">
        <v>5</v>
      </c>
      <c r="F70" s="189" t="s">
        <v>6</v>
      </c>
      <c r="G70" s="189" t="s">
        <v>7</v>
      </c>
      <c r="H70" s="189" t="s">
        <v>8</v>
      </c>
      <c r="I70" s="189" t="s">
        <v>9</v>
      </c>
      <c r="J70" s="189" t="s">
        <v>10</v>
      </c>
      <c r="K70" s="189" t="s">
        <v>11</v>
      </c>
      <c r="L70" s="189" t="s">
        <v>12</v>
      </c>
      <c r="M70" s="189" t="s">
        <v>13</v>
      </c>
      <c r="N70" s="189" t="s">
        <v>14</v>
      </c>
      <c r="O70" s="189" t="s">
        <v>15</v>
      </c>
      <c r="P70" s="189" t="s">
        <v>16</v>
      </c>
      <c r="Q70" s="189" t="s">
        <v>17</v>
      </c>
      <c r="R70" s="189" t="s">
        <v>18</v>
      </c>
      <c r="S70" s="189" t="s">
        <v>19</v>
      </c>
      <c r="T70" s="189" t="str">
        <f>'Operating Metrics - Old_View'!$T$5</f>
        <v>2Q24</v>
      </c>
      <c r="U70" s="189" t="str">
        <f>'Operating Metrics - Old_View'!U5</f>
        <v>3Q24</v>
      </c>
      <c r="V70" s="189" t="s">
        <v>22</v>
      </c>
      <c r="W70" s="189" t="s">
        <v>457</v>
      </c>
      <c r="X70" s="189" t="s">
        <v>493</v>
      </c>
      <c r="Y70" s="25"/>
      <c r="Z70" s="189">
        <v>2020</v>
      </c>
      <c r="AA70" s="189">
        <v>2021</v>
      </c>
      <c r="AB70" s="189">
        <v>2022</v>
      </c>
      <c r="AC70" s="189">
        <v>2023</v>
      </c>
      <c r="AD70" s="189">
        <v>2024</v>
      </c>
    </row>
    <row r="71" spans="1:31" ht="14.25" customHeight="1" x14ac:dyDescent="0.3">
      <c r="A71" s="2"/>
      <c r="B71" s="39" t="s">
        <v>59</v>
      </c>
      <c r="C71" s="40">
        <v>1587.2950000000001</v>
      </c>
      <c r="D71" s="40">
        <v>1357.4440749999999</v>
      </c>
      <c r="E71" s="40">
        <v>1781.4732348099999</v>
      </c>
      <c r="F71" s="40">
        <v>2088.4612430900002</v>
      </c>
      <c r="G71" s="40">
        <v>2067.2006798399998</v>
      </c>
      <c r="H71" s="40">
        <v>2369.5986161600003</v>
      </c>
      <c r="I71" s="40">
        <v>2775.7653725200003</v>
      </c>
      <c r="J71" s="40">
        <v>3236.1570348999999</v>
      </c>
      <c r="K71" s="40">
        <v>3426.9516367130236</v>
      </c>
      <c r="L71" s="40">
        <v>3910.5576167523677</v>
      </c>
      <c r="M71" s="40">
        <v>4035.4261785002154</v>
      </c>
      <c r="N71" s="40">
        <v>3961.9781857257763</v>
      </c>
      <c r="O71" s="40">
        <v>3749.6693190674519</v>
      </c>
      <c r="P71" s="40">
        <v>3825.9127723188635</v>
      </c>
      <c r="Q71" s="40">
        <v>4026.1463157526237</v>
      </c>
      <c r="R71" s="40">
        <v>4346.6113611698474</v>
      </c>
      <c r="S71" s="40">
        <v>4306.4000000000005</v>
      </c>
      <c r="T71" s="40">
        <v>4556.7068366544299</v>
      </c>
      <c r="U71" s="40">
        <v>4831.4914511986444</v>
      </c>
      <c r="V71" s="40">
        <v>5115.0999999999995</v>
      </c>
      <c r="W71" s="40">
        <v>4850.1600000000008</v>
      </c>
      <c r="X71" s="40">
        <v>5058.17</v>
      </c>
      <c r="Y71" s="25"/>
      <c r="Z71" s="40">
        <v>6814.6735528999998</v>
      </c>
      <c r="AA71" s="40">
        <v>10448.72170342</v>
      </c>
      <c r="AB71" s="40">
        <v>15334.914000000001</v>
      </c>
      <c r="AC71" s="40">
        <v>15948.401</v>
      </c>
      <c r="AD71" s="40">
        <v>18809.632000000001</v>
      </c>
    </row>
    <row r="72" spans="1:31" ht="14.25" customHeight="1" x14ac:dyDescent="0.3">
      <c r="A72" s="2"/>
      <c r="B72" s="39" t="s">
        <v>110</v>
      </c>
      <c r="C72" s="40">
        <v>350.93144047999999</v>
      </c>
      <c r="D72" s="40">
        <v>342.60955952000006</v>
      </c>
      <c r="E72" s="40">
        <v>597.31890806210833</v>
      </c>
      <c r="F72" s="40">
        <v>755.69358349304844</v>
      </c>
      <c r="G72" s="40">
        <v>398.834</v>
      </c>
      <c r="H72" s="40">
        <v>401.892</v>
      </c>
      <c r="I72" s="40">
        <v>428.16699999999992</v>
      </c>
      <c r="J72" s="40">
        <v>522.93550585000003</v>
      </c>
      <c r="K72" s="40">
        <v>681.37300000000005</v>
      </c>
      <c r="L72" s="40">
        <v>574.84100000000001</v>
      </c>
      <c r="M72" s="40">
        <v>502.17200000000008</v>
      </c>
      <c r="N72" s="40">
        <v>378.00999999999988</v>
      </c>
      <c r="O72" s="40">
        <v>408.40999999999997</v>
      </c>
      <c r="P72" s="40">
        <v>530.101</v>
      </c>
      <c r="Q72" s="40">
        <v>528.77499999999998</v>
      </c>
      <c r="R72" s="40">
        <v>521.07800000000009</v>
      </c>
      <c r="S72" s="40">
        <v>558.33100000000002</v>
      </c>
      <c r="T72" s="40">
        <v>636.74099999999999</v>
      </c>
      <c r="U72" s="40">
        <v>585.51299999999992</v>
      </c>
      <c r="V72" s="40">
        <v>540.05599999999993</v>
      </c>
      <c r="W72" s="40">
        <v>648.59199999999998</v>
      </c>
      <c r="X72" s="40">
        <v>529.04399999999998</v>
      </c>
      <c r="Y72" s="25"/>
      <c r="Z72" s="40">
        <v>2046.5534915551566</v>
      </c>
      <c r="AA72" s="40">
        <v>1751.8285058500001</v>
      </c>
      <c r="AB72" s="40">
        <v>2136.3959999999997</v>
      </c>
      <c r="AC72" s="40">
        <v>1988.364</v>
      </c>
      <c r="AD72" s="40">
        <v>2320.6410000000001</v>
      </c>
    </row>
    <row r="73" spans="1:31" ht="14.25" customHeight="1" x14ac:dyDescent="0.3">
      <c r="A73" s="2"/>
      <c r="B73" s="35" t="s">
        <v>111</v>
      </c>
      <c r="C73" s="93">
        <v>0.22108772501645879</v>
      </c>
      <c r="D73" s="93">
        <v>0.25239313046469342</v>
      </c>
      <c r="E73" s="93">
        <v>0.33529491007245721</v>
      </c>
      <c r="F73" s="93">
        <v>0.36184228268222768</v>
      </c>
      <c r="G73" s="93">
        <v>0.19293434057445721</v>
      </c>
      <c r="H73" s="93">
        <v>0.1696034076232189</v>
      </c>
      <c r="I73" s="93">
        <v>0.15425187021887415</v>
      </c>
      <c r="J73" s="93">
        <v>0.16159151123090021</v>
      </c>
      <c r="K73" s="93">
        <v>0.19882772569663168</v>
      </c>
      <c r="L73" s="93">
        <v>0.146997194859743</v>
      </c>
      <c r="M73" s="93">
        <v>0.12444088375980021</v>
      </c>
      <c r="N73" s="93">
        <v>9.5409409714040105E-2</v>
      </c>
      <c r="O73" s="93">
        <f t="shared" ref="O73:U73" si="42">O72/O71</f>
        <v>0.10891893797759535</v>
      </c>
      <c r="P73" s="93">
        <f t="shared" si="42"/>
        <v>0.13855543279380853</v>
      </c>
      <c r="Q73" s="93">
        <f t="shared" si="42"/>
        <v>0.13133526666209944</v>
      </c>
      <c r="R73" s="93">
        <f t="shared" si="42"/>
        <v>0.11988143330572741</v>
      </c>
      <c r="S73" s="93">
        <f t="shared" si="42"/>
        <v>0.1296514490061304</v>
      </c>
      <c r="T73" s="93">
        <f t="shared" si="42"/>
        <v>0.13973710024046671</v>
      </c>
      <c r="U73" s="93">
        <f t="shared" si="42"/>
        <v>0.12118680244269915</v>
      </c>
      <c r="V73" s="93">
        <v>0.1055807315595003</v>
      </c>
      <c r="W73" s="93">
        <v>0.1337258977023438</v>
      </c>
      <c r="X73" s="93">
        <v>0.10459197694027682</v>
      </c>
      <c r="Y73" s="25"/>
      <c r="Z73" s="93">
        <v>0.30031570487837106</v>
      </c>
      <c r="AA73" s="93">
        <v>0.16765960043481723</v>
      </c>
      <c r="AB73" s="93">
        <v>0.13931581574318816</v>
      </c>
      <c r="AC73" s="93">
        <v>0.12467481849747822</v>
      </c>
      <c r="AD73" s="93">
        <v>0.12337514099159409</v>
      </c>
    </row>
    <row r="74" spans="1:31" ht="14.25" customHeight="1" x14ac:dyDescent="0.3">
      <c r="A74" s="2"/>
      <c r="B74" s="23" t="s">
        <v>112</v>
      </c>
      <c r="C74" s="38">
        <v>231.93844048</v>
      </c>
      <c r="D74" s="38">
        <v>244.30855952000002</v>
      </c>
      <c r="E74" s="38">
        <v>441.0083081121083</v>
      </c>
      <c r="F74" s="38">
        <v>605.51357457804863</v>
      </c>
      <c r="G74" s="38">
        <v>249.84700000000001</v>
      </c>
      <c r="H74" s="38">
        <v>225.715</v>
      </c>
      <c r="I74" s="38">
        <v>225.77599999999995</v>
      </c>
      <c r="J74" s="38">
        <v>270.93600000000004</v>
      </c>
      <c r="K74" s="38">
        <v>439.55900000000003</v>
      </c>
      <c r="L74" s="38">
        <v>340.89699999999999</v>
      </c>
      <c r="M74" s="38">
        <v>246.56900000000007</v>
      </c>
      <c r="N74" s="38">
        <v>69.033999999999878</v>
      </c>
      <c r="O74" s="38">
        <v>148.54400000000001</v>
      </c>
      <c r="P74" s="38">
        <v>277.23099999999999</v>
      </c>
      <c r="Q74" s="38">
        <v>266.45699999999999</v>
      </c>
      <c r="R74" s="38">
        <v>259.32600000000002</v>
      </c>
      <c r="S74" s="38">
        <v>294.81900000000002</v>
      </c>
      <c r="T74" s="38">
        <v>344.94800000000004</v>
      </c>
      <c r="U74" s="38">
        <v>276.32599999999991</v>
      </c>
      <c r="V74" s="38">
        <v>215.78499999999997</v>
      </c>
      <c r="W74" s="38">
        <v>342.17099999999999</v>
      </c>
      <c r="X74" s="38">
        <v>230.00799999999998</v>
      </c>
      <c r="Y74" s="25"/>
      <c r="Z74" s="38">
        <v>1522.7688826901569</v>
      </c>
      <c r="AA74" s="38">
        <v>972.274</v>
      </c>
      <c r="AB74" s="38">
        <v>1096.059</v>
      </c>
      <c r="AC74" s="38">
        <v>951.55799999999999</v>
      </c>
      <c r="AD74" s="38">
        <v>1131.8779999999999</v>
      </c>
    </row>
    <row r="75" spans="1:31" ht="14.25" customHeight="1" x14ac:dyDescent="0.3">
      <c r="A75" s="2"/>
      <c r="B75" s="23" t="s">
        <v>113</v>
      </c>
      <c r="C75" s="38">
        <v>118.99299999999999</v>
      </c>
      <c r="D75" s="38">
        <v>98.301000000000016</v>
      </c>
      <c r="E75" s="38">
        <v>156.31059995000001</v>
      </c>
      <c r="F75" s="38">
        <v>150.18000891499975</v>
      </c>
      <c r="G75" s="38">
        <v>148.98699999999999</v>
      </c>
      <c r="H75" s="38">
        <v>176.17699999999999</v>
      </c>
      <c r="I75" s="38">
        <v>202.39099999999996</v>
      </c>
      <c r="J75" s="38">
        <v>251.99950584999999</v>
      </c>
      <c r="K75" s="38">
        <v>241.81399999999999</v>
      </c>
      <c r="L75" s="38">
        <v>233.94399999999999</v>
      </c>
      <c r="M75" s="38">
        <v>255.60300000000001</v>
      </c>
      <c r="N75" s="38">
        <v>308.976</v>
      </c>
      <c r="O75" s="38">
        <v>259.86599999999999</v>
      </c>
      <c r="P75" s="38">
        <v>252.87</v>
      </c>
      <c r="Q75" s="38">
        <v>262.31799999999998</v>
      </c>
      <c r="R75" s="38">
        <v>261.75200000000007</v>
      </c>
      <c r="S75" s="38">
        <v>263.512</v>
      </c>
      <c r="T75" s="38">
        <v>291.79299999999995</v>
      </c>
      <c r="U75" s="38">
        <v>309.18700000000001</v>
      </c>
      <c r="V75" s="38">
        <v>324.27099999999996</v>
      </c>
      <c r="W75" s="38">
        <v>306.42099999999999</v>
      </c>
      <c r="X75" s="38">
        <v>299.036</v>
      </c>
      <c r="Y75" s="25"/>
      <c r="Z75" s="38">
        <v>523.78460886499977</v>
      </c>
      <c r="AA75" s="38">
        <v>779.55450584999994</v>
      </c>
      <c r="AB75" s="38">
        <v>1040.337</v>
      </c>
      <c r="AC75" s="38">
        <v>1036.806</v>
      </c>
      <c r="AD75" s="38">
        <v>1188.7629999999999</v>
      </c>
    </row>
    <row r="76" spans="1:31" ht="14.25" customHeight="1" x14ac:dyDescent="0.3">
      <c r="A76" s="2"/>
      <c r="B76" s="39" t="s">
        <v>114</v>
      </c>
      <c r="C76" s="40">
        <v>-59.6</v>
      </c>
      <c r="D76" s="40">
        <v>-81.400000000000006</v>
      </c>
      <c r="E76" s="40">
        <v>-101.52798060813829</v>
      </c>
      <c r="F76" s="40">
        <v>-133.82178216510505</v>
      </c>
      <c r="G76" s="40">
        <v>-153.43453725299457</v>
      </c>
      <c r="H76" s="40">
        <v>-178.60382157334539</v>
      </c>
      <c r="I76" s="40">
        <v>-200.380069245794</v>
      </c>
      <c r="J76" s="40">
        <v>-219.71990795649998</v>
      </c>
      <c r="K76" s="40">
        <v>-244.44451568182447</v>
      </c>
      <c r="L76" s="40">
        <v>-369.09060032732958</v>
      </c>
      <c r="M76" s="40">
        <v>-331.00340360615405</v>
      </c>
      <c r="N76" s="40">
        <v>-335.76619773336495</v>
      </c>
      <c r="O76" s="40">
        <f t="shared" ref="O76:U76" si="43">SUM(O78:O79)</f>
        <v>-364.86047465451782</v>
      </c>
      <c r="P76" s="40">
        <f t="shared" si="43"/>
        <v>-374.2642975168381</v>
      </c>
      <c r="Q76" s="40">
        <f t="shared" si="43"/>
        <v>-392.66166443103998</v>
      </c>
      <c r="R76" s="40">
        <f t="shared" si="43"/>
        <v>-405.37111450637934</v>
      </c>
      <c r="S76" s="40">
        <f t="shared" si="43"/>
        <v>-409.13285671739561</v>
      </c>
      <c r="T76" s="40">
        <f t="shared" si="43"/>
        <v>-411.05845770677911</v>
      </c>
      <c r="U76" s="40">
        <f t="shared" si="43"/>
        <v>-429.0271822702889</v>
      </c>
      <c r="V76" s="40">
        <v>-436.17766565582644</v>
      </c>
      <c r="W76" s="40">
        <v>-455.71902198498879</v>
      </c>
      <c r="X76" s="40">
        <v>-393.54201179650033</v>
      </c>
      <c r="Y76" s="25"/>
      <c r="Z76" s="40">
        <v>-376.34976277324336</v>
      </c>
      <c r="AA76" s="40">
        <v>-752.13833602863406</v>
      </c>
      <c r="AB76" s="40">
        <v>-1280.304717348673</v>
      </c>
      <c r="AC76" s="40">
        <v>-1537.1905511087753</v>
      </c>
      <c r="AD76" s="40">
        <v>-1685.3779866702885</v>
      </c>
    </row>
    <row r="77" spans="1:31" ht="14.25" customHeight="1" x14ac:dyDescent="0.3">
      <c r="A77" s="2"/>
      <c r="B77" s="35" t="s">
        <v>111</v>
      </c>
      <c r="C77" s="94">
        <v>3.754815582484667E-2</v>
      </c>
      <c r="D77" s="94">
        <v>5.9965637995068058E-2</v>
      </c>
      <c r="E77" s="94">
        <v>5.6991022163162944E-2</v>
      </c>
      <c r="F77" s="94">
        <v>6.4076737170907672E-2</v>
      </c>
      <c r="G77" s="94">
        <v>7.4223339199399996E-2</v>
      </c>
      <c r="H77" s="94">
        <v>7.5373027463519454E-2</v>
      </c>
      <c r="I77" s="94">
        <v>7.2189123486282772E-2</v>
      </c>
      <c r="J77" s="94">
        <v>6.7895317064948765E-2</v>
      </c>
      <c r="K77" s="94">
        <v>7.1330016176208585E-2</v>
      </c>
      <c r="L77" s="94">
        <v>9.4383112716761669E-2</v>
      </c>
      <c r="M77" s="94">
        <v>8.2024398158901016E-2</v>
      </c>
      <c r="N77" s="94">
        <v>8.4747109144382507E-2</v>
      </c>
      <c r="O77" s="94">
        <f t="shared" ref="O77:U77" si="44">-O76/O71</f>
        <v>9.730470705754371E-2</v>
      </c>
      <c r="P77" s="94">
        <f t="shared" si="44"/>
        <v>9.7823531217100565E-2</v>
      </c>
      <c r="Q77" s="94">
        <f t="shared" si="44"/>
        <v>9.7527917178449136E-2</v>
      </c>
      <c r="R77" s="94">
        <f t="shared" si="44"/>
        <v>9.3261412356240136E-2</v>
      </c>
      <c r="S77" s="94">
        <f t="shared" si="44"/>
        <v>9.5005772041007699E-2</v>
      </c>
      <c r="T77" s="94">
        <f t="shared" si="44"/>
        <v>9.0209546596282997E-2</v>
      </c>
      <c r="U77" s="94">
        <f t="shared" si="44"/>
        <v>8.8798083698120089E-2</v>
      </c>
      <c r="V77" s="94">
        <v>8.5272558826968478E-2</v>
      </c>
      <c r="W77" s="94">
        <v>9.3959585247700844E-2</v>
      </c>
      <c r="X77" s="94">
        <v>7.7803239471291072E-2</v>
      </c>
      <c r="Y77" s="25"/>
      <c r="Z77" s="94">
        <v>5.522638169704943E-2</v>
      </c>
      <c r="AA77" s="94">
        <v>7.1983765801940117E-2</v>
      </c>
      <c r="AB77" s="94">
        <v>8.3489529140329019E-2</v>
      </c>
      <c r="AC77" s="94">
        <v>9.8033277111848852E-2</v>
      </c>
      <c r="AD77" s="93">
        <v>8.9601858594059058E-2</v>
      </c>
    </row>
    <row r="78" spans="1:31" ht="14.25" customHeight="1" x14ac:dyDescent="0.3">
      <c r="A78" s="2"/>
      <c r="B78" s="23" t="s">
        <v>69</v>
      </c>
      <c r="C78" s="38">
        <v>-59.6</v>
      </c>
      <c r="D78" s="38">
        <v>-81.400000000000006</v>
      </c>
      <c r="E78" s="38">
        <v>-101.52798060813829</v>
      </c>
      <c r="F78" s="38">
        <v>-133.82178216510505</v>
      </c>
      <c r="G78" s="38">
        <v>-153.43453725299457</v>
      </c>
      <c r="H78" s="38">
        <v>-178.60382157334539</v>
      </c>
      <c r="I78" s="38">
        <v>-200.380069245794</v>
      </c>
      <c r="J78" s="38">
        <v>-219.71990795649998</v>
      </c>
      <c r="K78" s="38">
        <v>-244.44451568182447</v>
      </c>
      <c r="L78" s="38">
        <v>-275.94960032732956</v>
      </c>
      <c r="M78" s="38">
        <v>-289.83843660615406</v>
      </c>
      <c r="N78" s="38">
        <v>-270.16619773336492</v>
      </c>
      <c r="O78" s="38">
        <v>-302.60447465451784</v>
      </c>
      <c r="P78" s="38">
        <v>-309.56429751683811</v>
      </c>
      <c r="Q78" s="38">
        <v>-328.91466443103997</v>
      </c>
      <c r="R78" s="38">
        <v>-348.54911450637934</v>
      </c>
      <c r="S78" s="38">
        <v>-352.93785671739562</v>
      </c>
      <c r="T78" s="38">
        <v>-371.35922077677913</v>
      </c>
      <c r="U78" s="38">
        <v>-392.30224352028711</v>
      </c>
      <c r="V78" s="38">
        <v>-404.88766565582642</v>
      </c>
      <c r="W78" s="38">
        <v>-418.01002198498878</v>
      </c>
      <c r="X78" s="38">
        <v>-429.58501179650034</v>
      </c>
      <c r="Y78" s="25"/>
      <c r="Z78" s="38">
        <v>-376.34976277324336</v>
      </c>
      <c r="AA78" s="38">
        <v>-768.59492812543385</v>
      </c>
      <c r="AB78" s="38">
        <v>-1080.398750348673</v>
      </c>
      <c r="AC78" s="38">
        <v>-1289.6325511087753</v>
      </c>
      <c r="AD78" s="38">
        <v>-1521.4869866702884</v>
      </c>
    </row>
    <row r="79" spans="1:31" ht="15" customHeight="1" thickBot="1" x14ac:dyDescent="0.35">
      <c r="A79" s="2"/>
      <c r="B79" s="58" t="s">
        <v>106</v>
      </c>
      <c r="C79" s="60" t="s">
        <v>28</v>
      </c>
      <c r="D79" s="60" t="s">
        <v>28</v>
      </c>
      <c r="E79" s="60" t="s">
        <v>28</v>
      </c>
      <c r="F79" s="60" t="s">
        <v>28</v>
      </c>
      <c r="G79" s="60" t="s">
        <v>28</v>
      </c>
      <c r="H79" s="60" t="s">
        <v>28</v>
      </c>
      <c r="I79" s="60" t="s">
        <v>28</v>
      </c>
      <c r="J79" s="60" t="s">
        <v>28</v>
      </c>
      <c r="K79" s="60" t="s">
        <v>28</v>
      </c>
      <c r="L79" s="60">
        <v>-93.141000000000005</v>
      </c>
      <c r="M79" s="60">
        <v>-41.164966999999997</v>
      </c>
      <c r="N79" s="60">
        <v>-65.599999999999994</v>
      </c>
      <c r="O79" s="60">
        <v>-62.256</v>
      </c>
      <c r="P79" s="60">
        <v>-64.7</v>
      </c>
      <c r="Q79" s="60">
        <v>-63.747</v>
      </c>
      <c r="R79" s="60">
        <v>-56.822000000000003</v>
      </c>
      <c r="S79" s="60">
        <v>-56.195</v>
      </c>
      <c r="T79" s="60">
        <v>-39.699236929999998</v>
      </c>
      <c r="U79" s="60">
        <v>-36.724938750001797</v>
      </c>
      <c r="V79" s="60">
        <v>-31.29</v>
      </c>
      <c r="W79" s="60">
        <v>-37.708999999999996</v>
      </c>
      <c r="X79" s="60">
        <v>36.042999999999999</v>
      </c>
      <c r="Y79" s="25"/>
      <c r="Z79" s="60">
        <v>0</v>
      </c>
      <c r="AA79" s="60">
        <v>0</v>
      </c>
      <c r="AB79" s="60">
        <v>-199.905967</v>
      </c>
      <c r="AC79" s="60">
        <v>-246.77099999999999</v>
      </c>
      <c r="AD79" s="60">
        <v>-163.89099999999999</v>
      </c>
    </row>
    <row r="80" spans="1:31" ht="14.25" customHeight="1" x14ac:dyDescent="0.35">
      <c r="A80" s="2"/>
      <c r="B80" s="86"/>
      <c r="C80" s="86"/>
      <c r="D80" s="86"/>
      <c r="E80" s="86"/>
      <c r="F80" s="86"/>
      <c r="G80" s="86"/>
      <c r="H80" s="86"/>
      <c r="I80" s="86"/>
      <c r="J80" s="86"/>
      <c r="K80" s="86"/>
      <c r="L80" s="86"/>
      <c r="M80" s="86"/>
      <c r="N80" s="86"/>
      <c r="O80" s="86"/>
      <c r="P80" s="86"/>
      <c r="Q80" s="86"/>
      <c r="R80" s="86"/>
      <c r="S80" s="86"/>
      <c r="T80" s="86"/>
      <c r="U80" s="86"/>
      <c r="V80" s="86"/>
      <c r="W80" s="86"/>
      <c r="X80" s="86"/>
    </row>
    <row r="81" spans="1:24" ht="14.25" customHeight="1" x14ac:dyDescent="0.35">
      <c r="A81" s="2"/>
      <c r="B81" s="86"/>
      <c r="C81" s="86"/>
      <c r="D81" s="86"/>
      <c r="E81" s="86"/>
      <c r="F81" s="86"/>
      <c r="G81" s="86"/>
      <c r="H81" s="86"/>
      <c r="I81" s="86"/>
      <c r="J81" s="86"/>
      <c r="K81" s="86"/>
      <c r="L81" s="86"/>
      <c r="M81" s="86"/>
      <c r="N81" s="86"/>
      <c r="O81" s="86"/>
      <c r="P81" s="86"/>
      <c r="Q81" s="86"/>
      <c r="R81" s="86"/>
      <c r="S81" s="86"/>
      <c r="T81" s="86"/>
      <c r="U81" s="86"/>
      <c r="V81" s="86"/>
      <c r="W81" s="86"/>
      <c r="X81" s="86"/>
    </row>
    <row r="82" spans="1:24" ht="14.25" customHeight="1" x14ac:dyDescent="0.35">
      <c r="A82" s="2"/>
      <c r="B82" s="86"/>
      <c r="C82" s="86"/>
      <c r="D82" s="86"/>
      <c r="E82" s="86"/>
      <c r="F82" s="86"/>
      <c r="G82" s="86"/>
      <c r="H82" s="86"/>
      <c r="I82" s="86"/>
      <c r="J82" s="86"/>
      <c r="K82" s="86"/>
      <c r="L82" s="86"/>
      <c r="M82" s="86"/>
      <c r="N82" s="86"/>
      <c r="O82" s="86"/>
      <c r="P82" s="86"/>
      <c r="Q82" s="86"/>
      <c r="R82" s="86"/>
      <c r="S82" s="86"/>
      <c r="T82" s="86"/>
      <c r="U82" s="86"/>
      <c r="V82" s="86"/>
      <c r="W82" s="86"/>
      <c r="X82" s="86"/>
    </row>
    <row r="83" spans="1:24" ht="14.25" customHeight="1" x14ac:dyDescent="0.35">
      <c r="A83" s="2"/>
      <c r="B83" s="86"/>
      <c r="C83" s="86"/>
      <c r="D83" s="86"/>
      <c r="E83" s="86"/>
      <c r="F83" s="86"/>
      <c r="G83" s="86"/>
      <c r="H83" s="86"/>
      <c r="I83" s="86"/>
      <c r="J83" s="86"/>
      <c r="K83" s="86"/>
      <c r="L83" s="86"/>
      <c r="M83" s="86"/>
      <c r="N83" s="86"/>
      <c r="O83" s="86"/>
      <c r="P83" s="86"/>
      <c r="Q83" s="86"/>
      <c r="R83" s="86"/>
      <c r="S83" s="86"/>
      <c r="T83" s="86"/>
      <c r="U83" s="86"/>
      <c r="V83" s="86"/>
      <c r="W83" s="86"/>
      <c r="X83" s="86"/>
    </row>
    <row r="84" spans="1:24" ht="14.25" customHeight="1" x14ac:dyDescent="0.35">
      <c r="A84" s="2"/>
      <c r="B84" s="86"/>
      <c r="C84" s="86"/>
      <c r="D84" s="86"/>
      <c r="E84" s="86"/>
      <c r="F84" s="86"/>
      <c r="G84" s="86"/>
      <c r="H84" s="86"/>
      <c r="I84" s="86"/>
      <c r="J84" s="86"/>
      <c r="K84" s="86"/>
      <c r="L84" s="86"/>
      <c r="M84" s="86"/>
      <c r="N84" s="86"/>
      <c r="O84" s="86"/>
      <c r="P84" s="86"/>
      <c r="Q84" s="86"/>
      <c r="R84" s="86"/>
      <c r="S84" s="86"/>
      <c r="T84" s="86"/>
      <c r="U84" s="86"/>
      <c r="V84" s="86"/>
      <c r="W84" s="86"/>
      <c r="X84" s="86"/>
    </row>
    <row r="85" spans="1:24" ht="14.25" customHeight="1" x14ac:dyDescent="0.35">
      <c r="A85" s="2"/>
      <c r="B85" s="86"/>
      <c r="C85" s="86"/>
      <c r="D85" s="86"/>
      <c r="E85" s="86"/>
      <c r="F85" s="86"/>
      <c r="G85" s="86"/>
      <c r="H85" s="86"/>
      <c r="I85" s="86"/>
      <c r="J85" s="86"/>
      <c r="K85" s="86"/>
      <c r="L85" s="86"/>
      <c r="M85" s="86"/>
      <c r="N85" s="86"/>
      <c r="O85" s="86"/>
      <c r="P85" s="86"/>
      <c r="Q85" s="86"/>
      <c r="R85" s="86"/>
      <c r="S85" s="86"/>
      <c r="T85" s="86"/>
      <c r="U85" s="86"/>
      <c r="V85" s="86"/>
      <c r="W85" s="86"/>
      <c r="X85" s="86"/>
    </row>
    <row r="86" spans="1:24" ht="14.25" customHeight="1" x14ac:dyDescent="0.35">
      <c r="A86" s="2"/>
      <c r="B86" s="86"/>
      <c r="C86" s="86"/>
      <c r="D86" s="86"/>
      <c r="E86" s="86"/>
      <c r="F86" s="86"/>
      <c r="G86" s="86"/>
      <c r="H86" s="86"/>
      <c r="I86" s="86"/>
      <c r="J86" s="86"/>
      <c r="K86" s="86"/>
      <c r="L86" s="86"/>
      <c r="M86" s="86"/>
      <c r="N86" s="86"/>
      <c r="O86" s="86"/>
      <c r="P86" s="86"/>
      <c r="Q86" s="86"/>
      <c r="R86" s="86"/>
      <c r="S86" s="86"/>
      <c r="T86" s="86"/>
      <c r="U86" s="86"/>
      <c r="V86" s="86"/>
      <c r="W86" s="86"/>
      <c r="X86" s="86"/>
    </row>
    <row r="87" spans="1:24" ht="14.25" customHeight="1" x14ac:dyDescent="0.35">
      <c r="A87" s="2"/>
      <c r="B87" s="86"/>
      <c r="C87" s="86"/>
      <c r="D87" s="86"/>
      <c r="E87" s="86"/>
      <c r="F87" s="86"/>
      <c r="G87" s="86"/>
      <c r="H87" s="86"/>
      <c r="I87" s="86"/>
      <c r="J87" s="86"/>
      <c r="K87" s="86"/>
      <c r="L87" s="86"/>
      <c r="M87" s="86"/>
      <c r="N87" s="86"/>
      <c r="O87" s="86"/>
      <c r="P87" s="86"/>
      <c r="Q87" s="86"/>
      <c r="R87" s="86"/>
      <c r="S87" s="86"/>
      <c r="T87" s="86"/>
      <c r="U87" s="86"/>
      <c r="V87" s="86"/>
      <c r="W87" s="86"/>
      <c r="X87" s="86"/>
    </row>
    <row r="88" spans="1:24" ht="14.25" customHeight="1" x14ac:dyDescent="0.35">
      <c r="A88" s="2"/>
      <c r="B88" s="86"/>
      <c r="C88" s="86"/>
      <c r="D88" s="86"/>
      <c r="E88" s="86"/>
      <c r="F88" s="86"/>
      <c r="G88" s="86"/>
      <c r="H88" s="86"/>
      <c r="I88" s="86"/>
      <c r="J88" s="86"/>
      <c r="K88" s="86"/>
      <c r="L88" s="86"/>
      <c r="M88" s="86"/>
      <c r="N88" s="86"/>
      <c r="O88" s="86"/>
      <c r="P88" s="86"/>
      <c r="Q88" s="86"/>
      <c r="R88" s="86"/>
      <c r="S88" s="86"/>
      <c r="T88" s="86"/>
      <c r="U88" s="86"/>
      <c r="V88" s="86"/>
      <c r="W88" s="86"/>
      <c r="X88" s="86"/>
    </row>
    <row r="89" spans="1:24" ht="14.25" customHeight="1" x14ac:dyDescent="0.35">
      <c r="A89" s="2"/>
      <c r="B89" s="86"/>
      <c r="C89" s="86"/>
      <c r="D89" s="86"/>
      <c r="E89" s="86"/>
      <c r="F89" s="86"/>
      <c r="G89" s="86"/>
      <c r="H89" s="86"/>
      <c r="I89" s="86"/>
      <c r="J89" s="86"/>
      <c r="K89" s="86"/>
      <c r="L89" s="86"/>
      <c r="M89" s="86"/>
      <c r="N89" s="86"/>
      <c r="O89" s="86"/>
      <c r="P89" s="86"/>
      <c r="Q89" s="86"/>
      <c r="R89" s="86"/>
      <c r="S89" s="86"/>
      <c r="T89" s="86"/>
      <c r="U89" s="86"/>
      <c r="V89" s="86"/>
      <c r="W89" s="86"/>
      <c r="X89" s="86"/>
    </row>
    <row r="90" spans="1:24" ht="14.25" customHeight="1" x14ac:dyDescent="0.35">
      <c r="A90" s="2"/>
      <c r="B90" s="86"/>
      <c r="C90" s="86"/>
      <c r="D90" s="86"/>
      <c r="E90" s="86"/>
      <c r="F90" s="86"/>
      <c r="G90" s="86"/>
      <c r="H90" s="86"/>
      <c r="I90" s="86"/>
      <c r="J90" s="86"/>
      <c r="K90" s="86"/>
      <c r="L90" s="86"/>
      <c r="M90" s="86"/>
      <c r="N90" s="86"/>
      <c r="O90" s="86"/>
      <c r="P90" s="86"/>
      <c r="Q90" s="86"/>
      <c r="R90" s="86"/>
      <c r="S90" s="86"/>
      <c r="T90" s="86"/>
      <c r="U90" s="86"/>
      <c r="V90" s="86"/>
      <c r="W90" s="86"/>
      <c r="X90" s="86"/>
    </row>
    <row r="108" spans="27:30" ht="14.25" customHeight="1" x14ac:dyDescent="0.35">
      <c r="AA108" s="48"/>
      <c r="AB108" s="48"/>
      <c r="AC108" s="48"/>
      <c r="AD108" s="48"/>
    </row>
  </sheetData>
  <phoneticPr fontId="9" type="noConversion"/>
  <hyperlinks>
    <hyperlink ref="B3" r:id="rId1" xr:uid="{FA5DF9D4-328A-4465-82C6-884D4D4EBCC0}"/>
    <hyperlink ref="B68" r:id="rId2" xr:uid="{38069A5B-92A1-486F-ACC6-671FC80784A9}"/>
  </hyperlinks>
  <pageMargins left="0.511811024" right="0.511811024" top="0.78740157499999996" bottom="0.78740157499999996" header="0.31496062000000002" footer="0.31496062000000002"/>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3F76-D60F-4217-BEA4-D688F147D7A8}">
  <sheetPr>
    <tabColor rgb="FFFFE72D"/>
  </sheetPr>
  <dimension ref="A1:AI153"/>
  <sheetViews>
    <sheetView showGridLines="0" tabSelected="1" zoomScaleNormal="100" workbookViewId="0">
      <pane xSplit="2" ySplit="5" topLeftCell="M115" activePane="bottomRight" state="frozen"/>
      <selection pane="topRight" activeCell="AO6" sqref="AO6"/>
      <selection pane="bottomLeft" activeCell="AO6" sqref="AO6"/>
      <selection pane="bottomRight" activeCell="V119" sqref="V119"/>
    </sheetView>
  </sheetViews>
  <sheetFormatPr defaultColWidth="0" defaultRowHeight="14.25" customHeight="1" outlineLevelRow="1" outlineLevelCol="1" x14ac:dyDescent="0.35"/>
  <cols>
    <col min="1" max="1" width="2.54296875" style="1" customWidth="1"/>
    <col min="2" max="2" width="60.54296875" style="24" customWidth="1"/>
    <col min="3" max="3" width="10.54296875" style="24" hidden="1" customWidth="1" outlineLevel="1" collapsed="1"/>
    <col min="4" max="6" width="10.54296875" style="24" hidden="1" customWidth="1" outlineLevel="1"/>
    <col min="7" max="7" width="10.54296875" style="24" hidden="1" customWidth="1" outlineLevel="1" collapsed="1"/>
    <col min="8" max="14" width="10.54296875" style="24" hidden="1" customWidth="1" outlineLevel="1"/>
    <col min="15" max="15" width="10.54296875" style="24" customWidth="1" collapsed="1"/>
    <col min="16" max="24" width="10.54296875" style="24" customWidth="1"/>
    <col min="25" max="25" width="2.54296875" style="24" customWidth="1"/>
    <col min="26" max="26" width="10.7265625" style="24" customWidth="1" collapsed="1"/>
    <col min="27" max="30" width="10.7265625" style="24" customWidth="1"/>
    <col min="31" max="31" width="2.54296875" style="1" customWidth="1"/>
    <col min="32" max="16384" width="10.54296875" style="1" hidden="1"/>
  </cols>
  <sheetData>
    <row r="1" spans="1:35" ht="14.25" customHeight="1" x14ac:dyDescent="0.35">
      <c r="C1" s="19"/>
      <c r="D1" s="19"/>
      <c r="E1" s="19"/>
      <c r="F1" s="19"/>
      <c r="G1" s="19"/>
      <c r="H1" s="19"/>
      <c r="I1" s="19"/>
      <c r="J1" s="19"/>
      <c r="K1" s="19"/>
      <c r="L1" s="19"/>
      <c r="M1" s="19"/>
      <c r="N1" s="19"/>
      <c r="O1" s="19"/>
      <c r="P1" s="19"/>
      <c r="Q1" s="19"/>
      <c r="R1" s="19"/>
      <c r="S1" s="19"/>
      <c r="T1" s="19"/>
      <c r="U1" s="19"/>
      <c r="V1" s="19"/>
      <c r="W1" s="19"/>
      <c r="X1" s="19"/>
    </row>
    <row r="2" spans="1:35" ht="14.25" customHeight="1" x14ac:dyDescent="0.35">
      <c r="B2" s="13" t="s">
        <v>471</v>
      </c>
      <c r="C2" s="19"/>
      <c r="D2" s="19"/>
      <c r="E2" s="19"/>
      <c r="F2" s="19"/>
      <c r="G2" s="19"/>
      <c r="H2" s="19"/>
      <c r="I2" s="19"/>
      <c r="J2" s="19"/>
      <c r="K2" s="19"/>
      <c r="L2" s="19"/>
      <c r="M2" s="37"/>
      <c r="N2" s="37"/>
      <c r="O2" s="37"/>
      <c r="P2" s="37"/>
      <c r="Q2" s="37"/>
      <c r="R2" s="37"/>
      <c r="S2" s="48"/>
      <c r="T2" s="48"/>
      <c r="U2" s="48"/>
      <c r="V2" s="48"/>
      <c r="W2" s="48"/>
      <c r="X2" s="48"/>
      <c r="AE2" s="24"/>
    </row>
    <row r="3" spans="1:35" ht="14.25" customHeight="1" x14ac:dyDescent="0.35">
      <c r="B3" s="15" t="s">
        <v>1</v>
      </c>
      <c r="C3" s="19"/>
      <c r="D3" s="19"/>
      <c r="E3" s="19"/>
      <c r="F3" s="19"/>
      <c r="G3" s="19"/>
      <c r="H3" s="19"/>
      <c r="I3" s="19"/>
      <c r="J3" s="19"/>
      <c r="K3" s="19"/>
      <c r="L3" s="19"/>
      <c r="M3" s="37"/>
      <c r="N3" s="37"/>
      <c r="O3" s="37"/>
      <c r="P3" s="104"/>
      <c r="Q3" s="37"/>
      <c r="R3" s="37"/>
      <c r="S3" s="37"/>
      <c r="T3" s="104"/>
      <c r="U3" s="104"/>
      <c r="V3" s="104"/>
      <c r="W3" s="104"/>
      <c r="X3" s="104"/>
      <c r="AE3" s="24"/>
    </row>
    <row r="4" spans="1:35" ht="14.25" customHeight="1" x14ac:dyDescent="0.35">
      <c r="C4" s="37"/>
      <c r="D4" s="37"/>
      <c r="E4" s="37"/>
      <c r="F4" s="37"/>
      <c r="G4" s="37"/>
      <c r="H4" s="37"/>
      <c r="I4" s="37"/>
      <c r="J4" s="37"/>
      <c r="K4" s="37"/>
      <c r="L4" s="37"/>
      <c r="M4" s="37"/>
      <c r="N4" s="37"/>
      <c r="O4" s="37"/>
      <c r="P4" s="37"/>
      <c r="Q4" s="109"/>
      <c r="R4" s="109"/>
      <c r="S4" s="109"/>
      <c r="T4" s="109"/>
      <c r="U4" s="109"/>
      <c r="V4" s="109"/>
      <c r="W4" s="109"/>
      <c r="X4" s="109"/>
      <c r="Z4" s="37"/>
      <c r="AA4" s="37"/>
      <c r="AB4" s="37"/>
      <c r="AC4" s="37"/>
      <c r="AD4" s="37"/>
      <c r="AE4" s="24"/>
    </row>
    <row r="5" spans="1:35" ht="14.25" customHeight="1" collapsed="1" thickBot="1" x14ac:dyDescent="0.4">
      <c r="B5" s="192" t="s">
        <v>54</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tr">
        <f>'Operating Metrics - Old_View'!$T$5</f>
        <v>2Q24</v>
      </c>
      <c r="U5" s="189" t="s">
        <v>21</v>
      </c>
      <c r="V5" s="189" t="s">
        <v>22</v>
      </c>
      <c r="W5" s="189" t="s">
        <v>457</v>
      </c>
      <c r="X5" s="189" t="s">
        <v>493</v>
      </c>
      <c r="Z5" s="189">
        <v>2020</v>
      </c>
      <c r="AA5" s="189">
        <v>2021</v>
      </c>
      <c r="AB5" s="189">
        <v>2022</v>
      </c>
      <c r="AC5" s="189">
        <v>2023</v>
      </c>
      <c r="AD5" s="189">
        <v>2024</v>
      </c>
      <c r="AE5" s="24"/>
    </row>
    <row r="6" spans="1:35" ht="14.25" hidden="1" customHeight="1" outlineLevel="1" x14ac:dyDescent="0.35">
      <c r="A6" s="3"/>
      <c r="B6" s="23" t="s">
        <v>55</v>
      </c>
      <c r="C6" s="38">
        <v>966.80399999999997</v>
      </c>
      <c r="D6" s="38">
        <v>856.46195540999997</v>
      </c>
      <c r="E6" s="38">
        <v>1211.9705374</v>
      </c>
      <c r="F6" s="38">
        <v>1473.4825925</v>
      </c>
      <c r="G6" s="38">
        <v>1384.9701471299998</v>
      </c>
      <c r="H6" s="38">
        <v>1548.1279999999999</v>
      </c>
      <c r="I6" s="38">
        <v>1792.1644711700003</v>
      </c>
      <c r="J6" s="38">
        <v>2059.54919642</v>
      </c>
      <c r="K6" s="38">
        <v>2054.5835353347502</v>
      </c>
      <c r="L6" s="38">
        <v>2255.6887042754479</v>
      </c>
      <c r="M6" s="38">
        <v>2292.0781641628746</v>
      </c>
      <c r="N6" s="38">
        <v>2304.0569918470851</v>
      </c>
      <c r="O6" s="38">
        <v>2150.9540410960394</v>
      </c>
      <c r="P6" s="38">
        <v>2166.0107382582109</v>
      </c>
      <c r="Q6" s="38">
        <v>2269.2923264974997</v>
      </c>
      <c r="R6" s="38">
        <v>2440.9286334512267</v>
      </c>
      <c r="S6" s="38">
        <v>2369.3000000000002</v>
      </c>
      <c r="T6" s="38">
        <v>2311.9651108013331</v>
      </c>
      <c r="U6" s="38">
        <v>2259.8755594682116</v>
      </c>
      <c r="V6" s="38">
        <v>2242.1</v>
      </c>
      <c r="W6" s="38">
        <v>2013.9700000000003</v>
      </c>
      <c r="X6" s="38">
        <v>1988.7070000000001</v>
      </c>
      <c r="Z6" s="38">
        <v>4508.7190853100001</v>
      </c>
      <c r="AA6" s="38">
        <v>6784.8118147200003</v>
      </c>
      <c r="AB6" s="38">
        <v>8906.4060000000009</v>
      </c>
      <c r="AC6" s="38">
        <v>9027.2420000000002</v>
      </c>
      <c r="AD6" s="38">
        <v>9183.2819999999992</v>
      </c>
      <c r="AE6" s="24"/>
      <c r="AG6" s="197"/>
      <c r="AH6" s="197"/>
      <c r="AI6" s="197"/>
    </row>
    <row r="7" spans="1:35" ht="14.25" hidden="1" customHeight="1" outlineLevel="1" x14ac:dyDescent="0.35">
      <c r="A7" s="3"/>
      <c r="B7" s="23" t="s">
        <v>56</v>
      </c>
      <c r="C7" s="38">
        <v>0</v>
      </c>
      <c r="D7" s="38">
        <v>0</v>
      </c>
      <c r="E7" s="38">
        <v>0</v>
      </c>
      <c r="F7" s="38">
        <v>0</v>
      </c>
      <c r="G7" s="38">
        <v>0</v>
      </c>
      <c r="H7" s="38">
        <v>0</v>
      </c>
      <c r="I7" s="38">
        <v>0</v>
      </c>
      <c r="J7" s="38">
        <v>0</v>
      </c>
      <c r="K7" s="38">
        <v>0</v>
      </c>
      <c r="L7" s="38">
        <v>0</v>
      </c>
      <c r="M7" s="38">
        <v>0</v>
      </c>
      <c r="N7" s="38">
        <v>0</v>
      </c>
      <c r="O7" s="38">
        <v>0</v>
      </c>
      <c r="P7" s="38">
        <v>0</v>
      </c>
      <c r="Q7" s="38">
        <v>0</v>
      </c>
      <c r="R7" s="38">
        <v>0</v>
      </c>
      <c r="S7" s="38">
        <v>0</v>
      </c>
      <c r="T7" s="38">
        <v>0</v>
      </c>
      <c r="U7" s="38">
        <v>0</v>
      </c>
      <c r="V7" s="38">
        <v>0</v>
      </c>
      <c r="W7" s="38">
        <v>0</v>
      </c>
      <c r="X7" s="38">
        <v>0</v>
      </c>
      <c r="Z7" s="38">
        <v>0</v>
      </c>
      <c r="AA7" s="38">
        <v>0</v>
      </c>
      <c r="AB7" s="38">
        <v>0</v>
      </c>
      <c r="AC7" s="38">
        <v>0</v>
      </c>
      <c r="AD7" s="38">
        <v>0</v>
      </c>
      <c r="AE7" s="24"/>
      <c r="AG7" s="197"/>
      <c r="AH7" s="197"/>
      <c r="AI7" s="197"/>
    </row>
    <row r="8" spans="1:35" ht="14.25" hidden="1" customHeight="1" outlineLevel="1" x14ac:dyDescent="0.35">
      <c r="A8" s="3"/>
      <c r="B8" s="23" t="s">
        <v>57</v>
      </c>
      <c r="C8" s="38">
        <v>562.26800000000003</v>
      </c>
      <c r="D8" s="38">
        <v>459.24682897999998</v>
      </c>
      <c r="E8" s="38">
        <v>544.75552987000003</v>
      </c>
      <c r="F8" s="38">
        <v>611.08949536</v>
      </c>
      <c r="G8" s="38">
        <v>656.98271183999998</v>
      </c>
      <c r="H8" s="38">
        <v>786.61</v>
      </c>
      <c r="I8" s="38">
        <v>937.74035872000002</v>
      </c>
      <c r="J8" s="38">
        <v>1133.08032026</v>
      </c>
      <c r="K8" s="38">
        <v>1330.7924400299999</v>
      </c>
      <c r="L8" s="38">
        <v>1610.1014512699999</v>
      </c>
      <c r="M8" s="38">
        <v>1697.2224831200001</v>
      </c>
      <c r="N8" s="38">
        <v>1614.6167977600005</v>
      </c>
      <c r="O8" s="38">
        <v>1534.20182112</v>
      </c>
      <c r="P8" s="38">
        <v>1594.9740162400001</v>
      </c>
      <c r="Q8" s="38">
        <v>1691.27318769</v>
      </c>
      <c r="R8" s="38">
        <v>1832.59720629</v>
      </c>
      <c r="S8" s="38">
        <v>1832</v>
      </c>
      <c r="T8" s="38">
        <v>2113.0845738100002</v>
      </c>
      <c r="U8" s="38">
        <v>2444.7775322000002</v>
      </c>
      <c r="V8" s="38">
        <v>2760.6</v>
      </c>
      <c r="W8" s="38">
        <v>2697.2999999999997</v>
      </c>
      <c r="X8" s="38">
        <v>2902.268</v>
      </c>
      <c r="Z8" s="38">
        <v>2177.3598542099999</v>
      </c>
      <c r="AA8" s="38">
        <v>3514.4133908200001</v>
      </c>
      <c r="AB8" s="38">
        <v>6252.7349999999997</v>
      </c>
      <c r="AC8" s="38">
        <v>6653.0460000000003</v>
      </c>
      <c r="AD8" s="38">
        <v>9150.4269999999997</v>
      </c>
      <c r="AE8" s="24"/>
      <c r="AG8" s="197"/>
      <c r="AH8" s="197"/>
      <c r="AI8" s="197"/>
    </row>
    <row r="9" spans="1:35" ht="14.25" hidden="1" customHeight="1" outlineLevel="1" x14ac:dyDescent="0.35">
      <c r="A9" s="3"/>
      <c r="B9" s="23" t="s">
        <v>58</v>
      </c>
      <c r="C9" s="38">
        <v>58.222999999999999</v>
      </c>
      <c r="D9" s="38">
        <v>41.73529061</v>
      </c>
      <c r="E9" s="38">
        <v>24.747167540000003</v>
      </c>
      <c r="F9" s="38">
        <v>3.8891552300000019</v>
      </c>
      <c r="G9" s="38">
        <v>25.247820869999998</v>
      </c>
      <c r="H9" s="38">
        <v>34.831000000000003</v>
      </c>
      <c r="I9" s="38">
        <v>45.860542630000005</v>
      </c>
      <c r="J9" s="38">
        <v>43.527518220000005</v>
      </c>
      <c r="K9" s="38">
        <v>41.575661348273591</v>
      </c>
      <c r="L9" s="38">
        <v>44.767461206920004</v>
      </c>
      <c r="M9" s="38">
        <v>46.125531217340701</v>
      </c>
      <c r="N9" s="38">
        <v>43.304396118690697</v>
      </c>
      <c r="O9" s="38">
        <v>64.514456851412689</v>
      </c>
      <c r="P9" s="38">
        <v>64.928017820652315</v>
      </c>
      <c r="Q9" s="38">
        <v>65.580801565124005</v>
      </c>
      <c r="R9" s="38">
        <v>73.085521428619998</v>
      </c>
      <c r="S9" s="38">
        <v>105.1</v>
      </c>
      <c r="T9" s="38">
        <v>131.65715204309703</v>
      </c>
      <c r="U9" s="38">
        <v>126.83835953043304</v>
      </c>
      <c r="V9" s="38">
        <v>112.4</v>
      </c>
      <c r="W9" s="38">
        <v>138.89000000000001</v>
      </c>
      <c r="X9" s="38">
        <v>167.2</v>
      </c>
      <c r="Z9" s="38">
        <v>128.59461338000003</v>
      </c>
      <c r="AA9" s="38">
        <v>149.46688172</v>
      </c>
      <c r="AB9" s="38">
        <v>175.773</v>
      </c>
      <c r="AC9" s="38">
        <v>268.113</v>
      </c>
      <c r="AD9" s="38">
        <v>475.923</v>
      </c>
      <c r="AE9" s="24"/>
    </row>
    <row r="10" spans="1:35" ht="14.25" customHeight="1" collapsed="1" x14ac:dyDescent="0.35">
      <c r="A10" s="3"/>
      <c r="B10" s="39" t="s">
        <v>59</v>
      </c>
      <c r="C10" s="40">
        <v>1587.2950000000001</v>
      </c>
      <c r="D10" s="40">
        <v>1357.4440749999999</v>
      </c>
      <c r="E10" s="40">
        <v>1781.4732348099999</v>
      </c>
      <c r="F10" s="40">
        <v>2088.4612430900002</v>
      </c>
      <c r="G10" s="40">
        <v>2067.2006798399998</v>
      </c>
      <c r="H10" s="40">
        <v>2369.569</v>
      </c>
      <c r="I10" s="40">
        <v>2775.7653725200003</v>
      </c>
      <c r="J10" s="40">
        <v>3236.1570348999999</v>
      </c>
      <c r="K10" s="40">
        <v>3426.9516367130236</v>
      </c>
      <c r="L10" s="40">
        <v>3910.5576167523677</v>
      </c>
      <c r="M10" s="40">
        <v>4035.4261785002154</v>
      </c>
      <c r="N10" s="40">
        <v>3961.9781857257763</v>
      </c>
      <c r="O10" s="40">
        <f t="shared" ref="O10:T10" si="0">SUM(O6:O9)</f>
        <v>3749.6703190674521</v>
      </c>
      <c r="P10" s="40">
        <f t="shared" si="0"/>
        <v>3825.9127723188635</v>
      </c>
      <c r="Q10" s="40">
        <f t="shared" si="0"/>
        <v>4026.1463157526237</v>
      </c>
      <c r="R10" s="40">
        <v>4346.6313611698479</v>
      </c>
      <c r="S10" s="40">
        <f t="shared" si="0"/>
        <v>4306.4000000000005</v>
      </c>
      <c r="T10" s="40">
        <f t="shared" si="0"/>
        <v>4556.7068366544299</v>
      </c>
      <c r="U10" s="40">
        <v>4831.4914511986444</v>
      </c>
      <c r="V10" s="40">
        <v>5115.0999999999995</v>
      </c>
      <c r="W10" s="40">
        <v>4850.1600000000008</v>
      </c>
      <c r="X10" s="40">
        <v>5058.17</v>
      </c>
      <c r="Z10" s="40">
        <v>6814.6735528999998</v>
      </c>
      <c r="AA10" s="40">
        <v>10448.692087259999</v>
      </c>
      <c r="AB10" s="40">
        <v>15334.914000000001</v>
      </c>
      <c r="AC10" s="40">
        <v>15948.401</v>
      </c>
      <c r="AD10" s="40">
        <v>18809.632000000001</v>
      </c>
      <c r="AE10" s="24"/>
      <c r="AG10" s="197"/>
      <c r="AH10" s="197"/>
      <c r="AI10" s="197"/>
    </row>
    <row r="11" spans="1:35" ht="14.25" hidden="1" customHeight="1" outlineLevel="1" x14ac:dyDescent="0.35">
      <c r="A11" s="3"/>
      <c r="B11" s="23" t="s">
        <v>60</v>
      </c>
      <c r="C11" s="38">
        <v>-432.66913864000003</v>
      </c>
      <c r="D11" s="38">
        <v>-419.30907051000003</v>
      </c>
      <c r="E11" s="38">
        <v>-597.68101764000005</v>
      </c>
      <c r="F11" s="38">
        <v>-668.18102446</v>
      </c>
      <c r="G11" s="38">
        <v>-705.72533735999991</v>
      </c>
      <c r="H11" s="38">
        <v>-828.1497832199999</v>
      </c>
      <c r="I11" s="38">
        <v>-985.19428348000008</v>
      </c>
      <c r="J11" s="38">
        <v>-1177.9458189100001</v>
      </c>
      <c r="K11" s="38">
        <v>-1230.4000000000001</v>
      </c>
      <c r="L11" s="38">
        <v>-1365.0646223700001</v>
      </c>
      <c r="M11" s="38">
        <v>-1379.5255140400004</v>
      </c>
      <c r="N11" s="38">
        <v>-1412.52476482</v>
      </c>
      <c r="O11" s="38">
        <v>-1338.17849682</v>
      </c>
      <c r="P11" s="38">
        <v>-1357.0185106399999</v>
      </c>
      <c r="Q11" s="38">
        <v>-1449.9760000000001</v>
      </c>
      <c r="R11" s="38">
        <v>-1629.49450424</v>
      </c>
      <c r="S11" s="38">
        <v>-1591.248</v>
      </c>
      <c r="T11" s="38">
        <v>-1728.2859811400001</v>
      </c>
      <c r="U11" s="38">
        <v>-1827.3582798199998</v>
      </c>
      <c r="V11" s="38">
        <v>-1903.3000000000002</v>
      </c>
      <c r="W11" s="38">
        <v>-1696.1450661900003</v>
      </c>
      <c r="X11" s="38">
        <v>-1719.0039999999999</v>
      </c>
      <c r="Z11" s="38">
        <v>-2117.8402512500002</v>
      </c>
      <c r="AA11" s="38">
        <v>-3697.0152229700002</v>
      </c>
      <c r="AB11" s="38">
        <v>-5387.5149012300008</v>
      </c>
      <c r="AC11" s="38">
        <v>-5774.6675116999995</v>
      </c>
      <c r="AD11" s="38">
        <v>-7050.1922609599997</v>
      </c>
      <c r="AE11" s="24"/>
    </row>
    <row r="12" spans="1:35" ht="14.25" customHeight="1" collapsed="1" x14ac:dyDescent="0.35">
      <c r="A12" s="3"/>
      <c r="B12" s="41" t="s">
        <v>61</v>
      </c>
      <c r="C12" s="42">
        <v>1154.62586136</v>
      </c>
      <c r="D12" s="42">
        <v>938.1350044899998</v>
      </c>
      <c r="E12" s="42">
        <v>1183.7922171699997</v>
      </c>
      <c r="F12" s="42">
        <v>1420.28021863</v>
      </c>
      <c r="G12" s="42">
        <v>1361.4753424799999</v>
      </c>
      <c r="H12" s="42">
        <v>1541.4192167800002</v>
      </c>
      <c r="I12" s="42">
        <v>1790.5710890400001</v>
      </c>
      <c r="J12" s="42">
        <v>2058.2112159899998</v>
      </c>
      <c r="K12" s="42">
        <v>2196.5516367130235</v>
      </c>
      <c r="L12" s="42">
        <v>2545.4929943823677</v>
      </c>
      <c r="M12" s="42">
        <v>2655.900664460215</v>
      </c>
      <c r="N12" s="42">
        <v>2549.4534209057765</v>
      </c>
      <c r="O12" s="42">
        <f>O10+O11</f>
        <v>2411.4918222474521</v>
      </c>
      <c r="P12" s="42">
        <f t="shared" ref="P12:S12" si="1">P10+P11</f>
        <v>2468.8942616788636</v>
      </c>
      <c r="Q12" s="42">
        <f t="shared" si="1"/>
        <v>2576.1703157526235</v>
      </c>
      <c r="R12" s="42">
        <f t="shared" si="1"/>
        <v>2717.1368569298479</v>
      </c>
      <c r="S12" s="42">
        <f t="shared" si="1"/>
        <v>2715.1520000000005</v>
      </c>
      <c r="T12" s="42">
        <f>T10+T11</f>
        <v>2828.4208555144296</v>
      </c>
      <c r="U12" s="42">
        <f>U10+U11</f>
        <v>3004.1331713786449</v>
      </c>
      <c r="V12" s="42">
        <v>3211.7999999999993</v>
      </c>
      <c r="W12" s="42">
        <v>3154.0149338100005</v>
      </c>
      <c r="X12" s="42">
        <f>X10+X11</f>
        <v>3339.1660000000002</v>
      </c>
      <c r="Z12" s="42">
        <v>4696.8333016500001</v>
      </c>
      <c r="AA12" s="42">
        <v>6751.6768642899988</v>
      </c>
      <c r="AB12" s="42">
        <v>9947.3987164613809</v>
      </c>
      <c r="AC12" s="42">
        <v>10173.7334883</v>
      </c>
      <c r="AD12" s="42">
        <v>11759.439739040001</v>
      </c>
      <c r="AE12" s="24"/>
    </row>
    <row r="13" spans="1:35" ht="14.25" hidden="1" customHeight="1" outlineLevel="1" x14ac:dyDescent="0.35">
      <c r="A13" s="3"/>
      <c r="B13" s="23" t="s">
        <v>62</v>
      </c>
      <c r="C13" s="38">
        <v>-768.63599999999997</v>
      </c>
      <c r="D13" s="38">
        <v>-793.275706745854</v>
      </c>
      <c r="E13" s="38">
        <v>-1057.2326499259796</v>
      </c>
      <c r="F13" s="38">
        <v>-1153.139697821076</v>
      </c>
      <c r="G13" s="38">
        <v>-1146.0852809399998</v>
      </c>
      <c r="H13" s="38">
        <v>-1295.0174035599994</v>
      </c>
      <c r="I13" s="38">
        <v>-1502.0180153599993</v>
      </c>
      <c r="J13" s="38">
        <v>-1832.77396282</v>
      </c>
      <c r="K13" s="38">
        <v>-1739.3785539554285</v>
      </c>
      <c r="L13" s="38">
        <v>-1900.3008336178989</v>
      </c>
      <c r="M13" s="38">
        <v>-1862.1637023966687</v>
      </c>
      <c r="N13" s="38">
        <v>-1969.0521691471877</v>
      </c>
      <c r="O13" s="38">
        <v>-1929.298263211243</v>
      </c>
      <c r="P13" s="38">
        <v>-1926.0719999999999</v>
      </c>
      <c r="Q13" s="38">
        <v>-2033.3094382326144</v>
      </c>
      <c r="R13" s="38">
        <v>-2243.9001936632008</v>
      </c>
      <c r="S13" s="38">
        <v>-2170.6999999999998</v>
      </c>
      <c r="T13" s="38">
        <v>-2332.1550000000002</v>
      </c>
      <c r="U13" s="38">
        <v>-2455.326579842826</v>
      </c>
      <c r="V13" s="38">
        <v>-2585.1</v>
      </c>
      <c r="W13" s="38">
        <v>-2360.29</v>
      </c>
      <c r="X13" s="38">
        <v>-2403.2199999999998</v>
      </c>
      <c r="Z13" s="38">
        <v>-3772.2840544929095</v>
      </c>
      <c r="AA13" s="38">
        <v>-5775.894662679998</v>
      </c>
      <c r="AB13" s="38">
        <v>-7470.8950000000004</v>
      </c>
      <c r="AC13" s="38">
        <v>-8132.58</v>
      </c>
      <c r="AD13" s="38">
        <v>-9543.3150000000005</v>
      </c>
      <c r="AE13" s="24"/>
      <c r="AG13" s="197"/>
      <c r="AH13" s="197"/>
      <c r="AI13" s="197"/>
    </row>
    <row r="14" spans="1:35" ht="14.25" hidden="1" customHeight="1" outlineLevel="1" x14ac:dyDescent="0.35">
      <c r="A14" s="3"/>
      <c r="B14" s="23" t="s">
        <v>63</v>
      </c>
      <c r="C14" s="38">
        <v>-189.02199999999999</v>
      </c>
      <c r="D14" s="38">
        <v>-111.2020689</v>
      </c>
      <c r="E14" s="38">
        <v>-151.62616696074818</v>
      </c>
      <c r="F14" s="38">
        <v>-165.61280537999997</v>
      </c>
      <c r="G14" s="38">
        <v>-368.11199949999991</v>
      </c>
      <c r="H14" s="38">
        <v>-363.77044010000009</v>
      </c>
      <c r="I14" s="38">
        <v>-367.89301949999998</v>
      </c>
      <c r="J14" s="38">
        <v>-424.13240623000019</v>
      </c>
      <c r="K14" s="38">
        <v>-480.64997776000018</v>
      </c>
      <c r="L14" s="38">
        <v>-499.10095529792</v>
      </c>
      <c r="M14" s="38">
        <v>-530.83918260208009</v>
      </c>
      <c r="N14" s="38">
        <v>-435.4844150400001</v>
      </c>
      <c r="O14" s="38">
        <v>-317.90821757999998</v>
      </c>
      <c r="P14" s="38">
        <v>-321.44225120999999</v>
      </c>
      <c r="Q14" s="38">
        <v>-378.24</v>
      </c>
      <c r="R14" s="38">
        <v>-412.22443202130097</v>
      </c>
      <c r="S14" s="38">
        <v>-437.4</v>
      </c>
      <c r="T14" s="38">
        <v>-467.31900000000002</v>
      </c>
      <c r="U14" s="38">
        <v>-486.99246819329613</v>
      </c>
      <c r="V14" s="38">
        <v>-467.9</v>
      </c>
      <c r="W14" s="38">
        <v>-423.1</v>
      </c>
      <c r="X14" s="38">
        <v>-457</v>
      </c>
      <c r="Z14" s="38">
        <v>-617.46304124074811</v>
      </c>
      <c r="AA14" s="38">
        <v>-1523.9078653300003</v>
      </c>
      <c r="AB14" s="38">
        <v>-1946.075</v>
      </c>
      <c r="AC14" s="38">
        <v>-1429.816</v>
      </c>
      <c r="AD14" s="38">
        <v>-1859.59</v>
      </c>
      <c r="AE14" s="24"/>
      <c r="AG14" s="197"/>
      <c r="AH14" s="197"/>
      <c r="AI14" s="197"/>
    </row>
    <row r="15" spans="1:35" ht="14.25" hidden="1" customHeight="1" outlineLevel="1" x14ac:dyDescent="0.35">
      <c r="A15" s="3"/>
      <c r="B15" s="23" t="s">
        <v>64</v>
      </c>
      <c r="C15" s="38">
        <v>-85.784999999999997</v>
      </c>
      <c r="D15" s="38">
        <v>-94.2653731359636</v>
      </c>
      <c r="E15" s="38">
        <v>-197.10860408853841</v>
      </c>
      <c r="F15" s="38">
        <v>-186.7470001316091</v>
      </c>
      <c r="G15" s="38">
        <v>-189.06962739451865</v>
      </c>
      <c r="H15" s="38">
        <v>-225.89857968964139</v>
      </c>
      <c r="I15" s="38">
        <v>-273.02817257699814</v>
      </c>
      <c r="J15" s="38">
        <v>-189.56143256299384</v>
      </c>
      <c r="K15" s="38">
        <v>-165.33059341563174</v>
      </c>
      <c r="L15" s="38">
        <v>-203.93728882015253</v>
      </c>
      <c r="M15" s="38">
        <v>-185.3439003004502</v>
      </c>
      <c r="N15" s="38">
        <v>-114.06783355344751</v>
      </c>
      <c r="O15" s="38">
        <v>-171.35415829385198</v>
      </c>
      <c r="P15" s="38">
        <v>-203.4</v>
      </c>
      <c r="Q15" s="38">
        <v>-206.333</v>
      </c>
      <c r="R15" s="38">
        <v>-151.61090858274432</v>
      </c>
      <c r="S15" s="38">
        <v>-230.6</v>
      </c>
      <c r="T15" s="38">
        <v>-216.23599999999999</v>
      </c>
      <c r="U15" s="38">
        <v>-268.54266571705972</v>
      </c>
      <c r="V15" s="38">
        <v>-257</v>
      </c>
      <c r="W15" s="38">
        <v>-242.83</v>
      </c>
      <c r="X15" s="38">
        <v>-229.57499999999999</v>
      </c>
      <c r="Z15" s="38">
        <v>-563.90597735611107</v>
      </c>
      <c r="AA15" s="38">
        <v>-877.55781222415203</v>
      </c>
      <c r="AB15" s="38">
        <v>-668.67899999999997</v>
      </c>
      <c r="AC15" s="38">
        <v>-732.68899999999996</v>
      </c>
      <c r="AD15" s="38">
        <v>-972.25099999999998</v>
      </c>
      <c r="AE15" s="24"/>
      <c r="AG15" s="197"/>
      <c r="AH15" s="197"/>
      <c r="AI15" s="197"/>
    </row>
    <row r="16" spans="1:35" ht="14.25" hidden="1" customHeight="1" outlineLevel="1" x14ac:dyDescent="0.35">
      <c r="A16" s="3"/>
      <c r="B16" s="23" t="s">
        <v>65</v>
      </c>
      <c r="C16" s="38">
        <v>-45.561999999999998</v>
      </c>
      <c r="D16" s="38">
        <v>-17.872832000000002</v>
      </c>
      <c r="E16" s="38">
        <v>-16.255824969999999</v>
      </c>
      <c r="F16" s="38">
        <v>-29.542062089999998</v>
      </c>
      <c r="G16" s="38">
        <v>-44.387658880000004</v>
      </c>
      <c r="H16" s="38">
        <v>-133.78472766000002</v>
      </c>
      <c r="I16" s="38">
        <v>-209.82270677</v>
      </c>
      <c r="J16" s="38">
        <v>-402.64024504000008</v>
      </c>
      <c r="K16" s="38">
        <v>-620.62783420999995</v>
      </c>
      <c r="L16" s="38">
        <v>-755.55951044419521</v>
      </c>
      <c r="M16" s="38">
        <v>-920.65559389805787</v>
      </c>
      <c r="N16" s="38">
        <v>-854.70929850153198</v>
      </c>
      <c r="O16" s="38">
        <v>-812.97072455971465</v>
      </c>
      <c r="P16" s="38">
        <v>-795.59708287411797</v>
      </c>
      <c r="Q16" s="38">
        <v>-819.93723811776601</v>
      </c>
      <c r="R16" s="38">
        <v>-841.02085084668261</v>
      </c>
      <c r="S16" s="38">
        <v>-827.1</v>
      </c>
      <c r="T16" s="38">
        <v>-863.42093072595935</v>
      </c>
      <c r="U16" s="38">
        <v>-964.33487348606718</v>
      </c>
      <c r="V16" s="38">
        <v>-1091.8</v>
      </c>
      <c r="W16" s="38">
        <v>-1177.82</v>
      </c>
      <c r="X16" s="38">
        <v>-1279.5229999999999</v>
      </c>
      <c r="Z16" s="38">
        <v>-109.23271905999999</v>
      </c>
      <c r="AA16" s="38">
        <v>-790.6353383500001</v>
      </c>
      <c r="AB16" s="38">
        <v>-3151.5520000000001</v>
      </c>
      <c r="AC16" s="38">
        <v>-3269.556</v>
      </c>
      <c r="AD16" s="38">
        <v>-3746.6880000000001</v>
      </c>
      <c r="AE16" s="24"/>
      <c r="AG16" s="197"/>
      <c r="AH16" s="197"/>
      <c r="AI16" s="197"/>
    </row>
    <row r="17" spans="1:35" ht="14.25" hidden="1" customHeight="1" outlineLevel="1" x14ac:dyDescent="0.35">
      <c r="A17" s="3"/>
      <c r="B17" s="23" t="s">
        <v>66</v>
      </c>
      <c r="C17" s="38">
        <v>-2.1360000000000001</v>
      </c>
      <c r="D17" s="38">
        <v>71.608477285768799</v>
      </c>
      <c r="E17" s="38">
        <v>-7.0594669231116995</v>
      </c>
      <c r="F17" s="38">
        <v>-39.65</v>
      </c>
      <c r="G17" s="38">
        <v>40.805913145522908</v>
      </c>
      <c r="H17" s="38">
        <v>-12.9524024263029</v>
      </c>
      <c r="I17" s="38">
        <v>-1.8207161852889984</v>
      </c>
      <c r="J17" s="38">
        <v>-18.731709350132988</v>
      </c>
      <c r="K17" s="38">
        <v>-4.4909407399715988</v>
      </c>
      <c r="L17" s="38">
        <v>-108.95051018351148</v>
      </c>
      <c r="M17" s="38">
        <v>-111.1229638930633</v>
      </c>
      <c r="N17" s="38">
        <v>-113.83269263345359</v>
      </c>
      <c r="O17" s="38">
        <v>-82.162866403490014</v>
      </c>
      <c r="P17" s="38">
        <v>-94.116981228968001</v>
      </c>
      <c r="Q17" s="38">
        <v>-76.262404160883506</v>
      </c>
      <c r="R17" s="38">
        <v>-114.1110271727285</v>
      </c>
      <c r="S17" s="38">
        <v>-68.2</v>
      </c>
      <c r="T17" s="38">
        <v>-99.850999999999999</v>
      </c>
      <c r="U17" s="38">
        <v>-62.756033844889991</v>
      </c>
      <c r="V17" s="38">
        <v>-77.099999999999994</v>
      </c>
      <c r="W17" s="38">
        <v>-66.209999999999994</v>
      </c>
      <c r="X17" s="38">
        <v>-72.606999999999999</v>
      </c>
      <c r="Z17" s="38">
        <v>22.763010362657106</v>
      </c>
      <c r="AA17" s="38">
        <v>7.3010851837980226</v>
      </c>
      <c r="AB17" s="38">
        <v>-338.39699999999999</v>
      </c>
      <c r="AC17" s="38">
        <v>-366.65300000000002</v>
      </c>
      <c r="AD17" s="38">
        <v>-307.85899999999998</v>
      </c>
      <c r="AE17" s="24"/>
      <c r="AG17" s="197"/>
      <c r="AH17" s="197"/>
      <c r="AI17" s="197"/>
    </row>
    <row r="18" spans="1:35" ht="14.25" customHeight="1" collapsed="1" x14ac:dyDescent="0.35">
      <c r="A18" s="3"/>
      <c r="B18" s="39" t="s">
        <v>67</v>
      </c>
      <c r="C18" s="40">
        <v>-1091.1409999999998</v>
      </c>
      <c r="D18" s="40">
        <v>-945.0075034960488</v>
      </c>
      <c r="E18" s="40">
        <v>-1429.282712868378</v>
      </c>
      <c r="F18" s="40">
        <v>-1574.6915654226852</v>
      </c>
      <c r="G18" s="40">
        <v>-1706.8486535689954</v>
      </c>
      <c r="H18" s="40">
        <v>-2031.4235534359436</v>
      </c>
      <c r="I18" s="40">
        <v>-2354.5826303922863</v>
      </c>
      <c r="J18" s="40">
        <v>-2867.8397560031271</v>
      </c>
      <c r="K18" s="40">
        <v>-3010.4779000810317</v>
      </c>
      <c r="L18" s="40">
        <v>-3467.849098363678</v>
      </c>
      <c r="M18" s="40">
        <v>-3610.1253430903198</v>
      </c>
      <c r="N18" s="40">
        <v>-3487.1464088756206</v>
      </c>
      <c r="O18" s="40">
        <f>SUM(O13:O17)</f>
        <v>-3313.6942300482997</v>
      </c>
      <c r="P18" s="40">
        <f t="shared" ref="P18:T18" si="2">SUM(P13:P17)</f>
        <v>-3340.6283153130862</v>
      </c>
      <c r="Q18" s="40">
        <f t="shared" si="2"/>
        <v>-3514.0820805112635</v>
      </c>
      <c r="R18" s="40">
        <f t="shared" si="2"/>
        <v>-3762.8674122866569</v>
      </c>
      <c r="S18" s="40">
        <f t="shared" si="2"/>
        <v>-3733.9999999999995</v>
      </c>
      <c r="T18" s="40">
        <f t="shared" si="2"/>
        <v>-3978.9819307259595</v>
      </c>
      <c r="U18" s="40">
        <f t="shared" ref="U18" si="3">SUM(U13:U17)</f>
        <v>-4237.9526210841395</v>
      </c>
      <c r="V18" s="40">
        <v>-4478.9000000000005</v>
      </c>
      <c r="W18" s="40">
        <v>-4270.25</v>
      </c>
      <c r="X18" s="40">
        <f t="shared" ref="X18" si="4">SUM(X13:X17)</f>
        <v>-4441.9249999999993</v>
      </c>
      <c r="Z18" s="40">
        <v>-5040.1227817871113</v>
      </c>
      <c r="AA18" s="40">
        <v>-8960.6945934003525</v>
      </c>
      <c r="AB18" s="40">
        <v>-13575.598</v>
      </c>
      <c r="AC18" s="40">
        <v>-13931.294</v>
      </c>
      <c r="AD18" s="40">
        <v>-16429.703000000001</v>
      </c>
      <c r="AE18" s="24"/>
    </row>
    <row r="19" spans="1:35" ht="14.25" customHeight="1" collapsed="1" x14ac:dyDescent="0.35">
      <c r="A19" s="3"/>
      <c r="B19" s="41" t="s">
        <v>68</v>
      </c>
      <c r="C19" s="42">
        <v>-658.47186135999982</v>
      </c>
      <c r="D19" s="42">
        <v>-525.69843298604883</v>
      </c>
      <c r="E19" s="42">
        <v>-831.60169522837793</v>
      </c>
      <c r="F19" s="42">
        <v>-906.51054096268524</v>
      </c>
      <c r="G19" s="42">
        <v>-1001.1233162089954</v>
      </c>
      <c r="H19" s="42">
        <v>-1203.2737702159438</v>
      </c>
      <c r="I19" s="42">
        <v>-1369.3883469122861</v>
      </c>
      <c r="J19" s="42">
        <v>-1689.8939370931271</v>
      </c>
      <c r="K19" s="42">
        <v>-1780.0779000810317</v>
      </c>
      <c r="L19" s="42">
        <v>-2102.7844759936779</v>
      </c>
      <c r="M19" s="42">
        <v>-2230.5998290503194</v>
      </c>
      <c r="N19" s="42">
        <v>-2074.6216440556209</v>
      </c>
      <c r="O19" s="42">
        <f t="shared" ref="O19:T19" si="5">O18-O11</f>
        <v>-1975.5157332282997</v>
      </c>
      <c r="P19" s="42">
        <f t="shared" si="5"/>
        <v>-1983.6098046730863</v>
      </c>
      <c r="Q19" s="42">
        <f t="shared" si="5"/>
        <v>-2064.1060805112634</v>
      </c>
      <c r="R19" s="42">
        <f t="shared" si="5"/>
        <v>-2133.3729080466569</v>
      </c>
      <c r="S19" s="42">
        <f t="shared" si="5"/>
        <v>-2142.7519999999995</v>
      </c>
      <c r="T19" s="42">
        <f t="shared" si="5"/>
        <v>-2250.6959495859592</v>
      </c>
      <c r="U19" s="42">
        <f t="shared" ref="U19" si="6">U18-U11</f>
        <v>-2410.59434126414</v>
      </c>
      <c r="V19" s="42">
        <v>-2575.6000000000004</v>
      </c>
      <c r="W19" s="42">
        <v>-2574.1049338099997</v>
      </c>
      <c r="X19" s="42">
        <f t="shared" ref="X19" si="7">X18-X11</f>
        <v>-2722.9209999999994</v>
      </c>
      <c r="Z19" s="42">
        <v>-2922.2825305371111</v>
      </c>
      <c r="AA19" s="42">
        <v>-5263.6793704303527</v>
      </c>
      <c r="AB19" s="42">
        <v>-8188.0830987699992</v>
      </c>
      <c r="AC19" s="42">
        <v>-8156.6264883000003</v>
      </c>
      <c r="AD19" s="42">
        <v>-9379.5107390400008</v>
      </c>
      <c r="AE19" s="24"/>
    </row>
    <row r="20" spans="1:35" ht="14.25" hidden="1" customHeight="1" outlineLevel="1" x14ac:dyDescent="0.35">
      <c r="A20" s="3"/>
      <c r="B20" s="23" t="s">
        <v>69</v>
      </c>
      <c r="C20" s="38">
        <v>-59.6</v>
      </c>
      <c r="D20" s="38">
        <v>-81.400000000000006</v>
      </c>
      <c r="E20" s="38">
        <v>-101.52798060813829</v>
      </c>
      <c r="F20" s="38">
        <v>-133.82178216510505</v>
      </c>
      <c r="G20" s="38">
        <v>-158.29787135049457</v>
      </c>
      <c r="H20" s="38">
        <v>-181.52033899584535</v>
      </c>
      <c r="I20" s="38">
        <v>-203.27671777909396</v>
      </c>
      <c r="J20" s="38">
        <v>-225.5</v>
      </c>
      <c r="K20" s="38">
        <v>-249.02219570682448</v>
      </c>
      <c r="L20" s="38">
        <v>-280.56612036482954</v>
      </c>
      <c r="M20" s="38">
        <v>-294.41611663115395</v>
      </c>
      <c r="N20" s="38">
        <v>-306.649080200865</v>
      </c>
      <c r="O20" s="38">
        <v>-317.43429316927228</v>
      </c>
      <c r="P20" s="38">
        <v>-325.57205905775481</v>
      </c>
      <c r="Q20" s="38">
        <v>-346.479101002915</v>
      </c>
      <c r="R20" s="38">
        <v>-366.17548289828596</v>
      </c>
      <c r="S20" s="38">
        <v>-371.51231529374996</v>
      </c>
      <c r="T20" s="38">
        <v>-391.17183326049991</v>
      </c>
      <c r="U20" s="38">
        <v>-413.02603908575003</v>
      </c>
      <c r="V20" s="38">
        <v>-425.2</v>
      </c>
      <c r="W20" s="38">
        <v>-439.00831746</v>
      </c>
      <c r="X20" s="38">
        <v>-451.846</v>
      </c>
      <c r="Z20" s="38">
        <v>-376.34976277324336</v>
      </c>
      <c r="AA20" s="38">
        <v>-768.59492812543385</v>
      </c>
      <c r="AB20" s="38">
        <v>-1130.6535129036729</v>
      </c>
      <c r="AC20" s="38">
        <v>-1355.6609361282281</v>
      </c>
      <c r="AD20" s="38">
        <v>-1600.932</v>
      </c>
      <c r="AE20" s="24"/>
    </row>
    <row r="21" spans="1:35" ht="14.25" customHeight="1" collapsed="1" x14ac:dyDescent="0.35">
      <c r="A21" s="3"/>
      <c r="B21" s="43" t="s">
        <v>70</v>
      </c>
      <c r="C21" s="40">
        <v>496.15400000000022</v>
      </c>
      <c r="D21" s="40">
        <v>412.43657150395109</v>
      </c>
      <c r="E21" s="40">
        <v>352.19052194162191</v>
      </c>
      <c r="F21" s="40">
        <v>513.76967766731491</v>
      </c>
      <c r="G21" s="40">
        <v>360.35202627100443</v>
      </c>
      <c r="H21" s="40">
        <v>338.14544656405633</v>
      </c>
      <c r="I21" s="40">
        <v>421.18274212771394</v>
      </c>
      <c r="J21" s="40">
        <v>368.31727889687272</v>
      </c>
      <c r="K21" s="40">
        <v>416.47373663199187</v>
      </c>
      <c r="L21" s="40">
        <v>442.70851838868975</v>
      </c>
      <c r="M21" s="40">
        <v>425.30083540989563</v>
      </c>
      <c r="N21" s="40">
        <v>474.83177685015562</v>
      </c>
      <c r="O21" s="40">
        <f t="shared" ref="O21:Q21" si="8">O10+O18</f>
        <v>435.97608901915237</v>
      </c>
      <c r="P21" s="40">
        <f t="shared" si="8"/>
        <v>485.28445700577731</v>
      </c>
      <c r="Q21" s="40">
        <f t="shared" si="8"/>
        <v>512.06423524136017</v>
      </c>
      <c r="R21" s="40">
        <f>R10+R18</f>
        <v>583.76394888319101</v>
      </c>
      <c r="S21" s="40">
        <f>S10+S18</f>
        <v>572.400000000001</v>
      </c>
      <c r="T21" s="40">
        <f>T10+T18</f>
        <v>577.72490592847043</v>
      </c>
      <c r="U21" s="40">
        <f>U10+U18</f>
        <v>593.53883011450489</v>
      </c>
      <c r="V21" s="40">
        <v>636.19999999999891</v>
      </c>
      <c r="W21" s="40">
        <v>579.91000000000076</v>
      </c>
      <c r="X21" s="40">
        <f>X10+X18</f>
        <v>616.2450000000008</v>
      </c>
      <c r="Z21" s="40">
        <v>1774.5507711128885</v>
      </c>
      <c r="AA21" s="40">
        <v>1487.9974938596461</v>
      </c>
      <c r="AB21" s="40">
        <v>1759.316</v>
      </c>
      <c r="AC21" s="40">
        <v>2017.107</v>
      </c>
      <c r="AD21" s="40">
        <v>2379.9290000000001</v>
      </c>
      <c r="AE21" s="24"/>
      <c r="AG21" s="197"/>
      <c r="AH21" s="197"/>
      <c r="AI21" s="197"/>
    </row>
    <row r="22" spans="1:35" ht="14.25" hidden="1" customHeight="1" outlineLevel="1" x14ac:dyDescent="0.35">
      <c r="A22" s="3"/>
      <c r="B22" s="23" t="s">
        <v>71</v>
      </c>
      <c r="C22" s="38">
        <v>-3.8010000000000002</v>
      </c>
      <c r="D22" s="38">
        <v>-17.967309220000001</v>
      </c>
      <c r="E22" s="38">
        <v>-13.348372850000001</v>
      </c>
      <c r="F22" s="38">
        <v>-27.72347838</v>
      </c>
      <c r="G22" s="38">
        <v>-19.966078590000002</v>
      </c>
      <c r="H22" s="38">
        <v>-1.6723257500000024</v>
      </c>
      <c r="I22" s="38">
        <v>-7.6513361499999979</v>
      </c>
      <c r="J22" s="38">
        <v>-90.511513999999991</v>
      </c>
      <c r="K22" s="38">
        <v>-28.651031939999999</v>
      </c>
      <c r="L22" s="38">
        <v>0.52970634000000061</v>
      </c>
      <c r="M22" s="38">
        <v>1.6036812300000012</v>
      </c>
      <c r="N22" s="38">
        <v>-34.200310139999999</v>
      </c>
      <c r="O22" s="38">
        <v>-18.055750150000001</v>
      </c>
      <c r="P22" s="38">
        <v>-42.238788030000002</v>
      </c>
      <c r="Q22" s="38">
        <v>-16.827313813114003</v>
      </c>
      <c r="R22" s="38">
        <v>-24.731198596931002</v>
      </c>
      <c r="S22" s="38">
        <v>-23.3</v>
      </c>
      <c r="T22" s="38">
        <v>-131.303249561429</v>
      </c>
      <c r="U22" s="38">
        <v>-11.168247238570999</v>
      </c>
      <c r="V22" s="38">
        <v>-95.4</v>
      </c>
      <c r="W22" s="38">
        <v>-134.83000000000001</v>
      </c>
      <c r="X22" s="38">
        <v>-125.26600000000001</v>
      </c>
      <c r="Z22" s="38">
        <v>-62.840160449999999</v>
      </c>
      <c r="AA22" s="38">
        <v>-119.80125448999999</v>
      </c>
      <c r="AB22" s="38">
        <v>-60.718000000000004</v>
      </c>
      <c r="AC22" s="38">
        <v>-101.846</v>
      </c>
      <c r="AD22" s="38">
        <v>-261.21100000000001</v>
      </c>
      <c r="AE22" s="24"/>
      <c r="AG22" s="197"/>
      <c r="AH22" s="197"/>
      <c r="AI22" s="197"/>
    </row>
    <row r="23" spans="1:35" ht="14.25" hidden="1" customHeight="1" outlineLevel="1" x14ac:dyDescent="0.35">
      <c r="A23" s="3"/>
      <c r="B23" s="23" t="s">
        <v>72</v>
      </c>
      <c r="C23" s="38">
        <v>-135.43899999999999</v>
      </c>
      <c r="D23" s="38">
        <v>-98.156919869999996</v>
      </c>
      <c r="E23" s="38">
        <v>-75.412201460000006</v>
      </c>
      <c r="F23" s="38">
        <v>-110.54397760000001</v>
      </c>
      <c r="G23" s="38">
        <v>-69.059258419999992</v>
      </c>
      <c r="H23" s="38">
        <v>-64.36070024</v>
      </c>
      <c r="I23" s="38">
        <v>-91.983405050000002</v>
      </c>
      <c r="J23" s="38">
        <v>23.460945910000007</v>
      </c>
      <c r="K23" s="38">
        <v>-37.900848530000005</v>
      </c>
      <c r="L23" s="38">
        <v>-76.316719479999989</v>
      </c>
      <c r="M23" s="38">
        <v>-46.617143819999995</v>
      </c>
      <c r="N23" s="38">
        <v>-32.994807809999998</v>
      </c>
      <c r="O23" s="38">
        <v>-48.137662109999994</v>
      </c>
      <c r="P23" s="38">
        <v>-57.929427320000002</v>
      </c>
      <c r="Q23" s="38">
        <v>-84.511624119999993</v>
      </c>
      <c r="R23" s="38">
        <v>-70.992024380000004</v>
      </c>
      <c r="S23" s="38">
        <v>-66.5</v>
      </c>
      <c r="T23" s="38">
        <v>57.22304596</v>
      </c>
      <c r="U23" s="38">
        <v>-51.220007570000007</v>
      </c>
      <c r="V23" s="38">
        <v>58.1</v>
      </c>
      <c r="W23" s="38">
        <v>80.02</v>
      </c>
      <c r="X23" s="38">
        <v>45.779000000000003</v>
      </c>
      <c r="Z23" s="38">
        <v>-419.55209893</v>
      </c>
      <c r="AA23" s="38">
        <v>-201.94241779999999</v>
      </c>
      <c r="AB23" s="38">
        <v>-193.83</v>
      </c>
      <c r="AC23" s="38">
        <v>-261.577</v>
      </c>
      <c r="AD23" s="38">
        <v>-2.35</v>
      </c>
      <c r="AE23" s="24"/>
      <c r="AG23" s="197"/>
      <c r="AH23" s="197"/>
      <c r="AI23" s="197"/>
    </row>
    <row r="24" spans="1:35" ht="14.25" customHeight="1" collapsed="1" x14ac:dyDescent="0.35">
      <c r="A24" s="3"/>
      <c r="B24" s="43" t="s">
        <v>73</v>
      </c>
      <c r="C24" s="40">
        <v>-139.23999999999998</v>
      </c>
      <c r="D24" s="40">
        <v>-116.12422909</v>
      </c>
      <c r="E24" s="40">
        <v>-88.76057431000001</v>
      </c>
      <c r="F24" s="40">
        <v>-138.26745597999999</v>
      </c>
      <c r="G24" s="40">
        <v>-89.025337009999987</v>
      </c>
      <c r="H24" s="40">
        <v>-66.033025989999999</v>
      </c>
      <c r="I24" s="40">
        <v>-99.634741199999993</v>
      </c>
      <c r="J24" s="40">
        <v>-67.050568089999985</v>
      </c>
      <c r="K24" s="40">
        <v>-66.55188047</v>
      </c>
      <c r="L24" s="40">
        <v>-75.787013139999985</v>
      </c>
      <c r="M24" s="40">
        <v>-45.013462589999996</v>
      </c>
      <c r="N24" s="40">
        <v>-67.195117949999997</v>
      </c>
      <c r="O24" s="40">
        <f>SUM(O22:O23)</f>
        <v>-66.193412260000002</v>
      </c>
      <c r="P24" s="40">
        <f t="shared" ref="P24:T24" si="9">SUM(P22:P23)</f>
        <v>-100.16821535</v>
      </c>
      <c r="Q24" s="40">
        <f t="shared" si="9"/>
        <v>-101.338937933114</v>
      </c>
      <c r="R24" s="40">
        <f t="shared" si="9"/>
        <v>-95.723222976930998</v>
      </c>
      <c r="S24" s="40">
        <f t="shared" si="9"/>
        <v>-89.8</v>
      </c>
      <c r="T24" s="40">
        <f t="shared" si="9"/>
        <v>-74.080203601428991</v>
      </c>
      <c r="U24" s="40">
        <f t="shared" ref="U24" si="10">SUM(U22:U23)</f>
        <v>-62.388254808571006</v>
      </c>
      <c r="V24" s="40">
        <v>-37.300000000000004</v>
      </c>
      <c r="W24" s="40">
        <v>-54.810000000000016</v>
      </c>
      <c r="X24" s="40">
        <f t="shared" ref="X24" si="11">SUM(X22:X23)</f>
        <v>-79.486999999999995</v>
      </c>
      <c r="Z24" s="40">
        <v>-482.39225937999998</v>
      </c>
      <c r="AA24" s="40">
        <v>-321.74367228999995</v>
      </c>
      <c r="AB24" s="40">
        <v>-254.548</v>
      </c>
      <c r="AC24" s="40">
        <v>-363.423</v>
      </c>
      <c r="AD24" s="40">
        <v>-263.56099999999998</v>
      </c>
      <c r="AE24" s="24"/>
      <c r="AG24" s="197"/>
      <c r="AH24" s="197"/>
      <c r="AI24" s="197"/>
    </row>
    <row r="25" spans="1:35" ht="14.25" customHeight="1" thickBot="1" x14ac:dyDescent="0.4">
      <c r="A25" s="3"/>
      <c r="B25" s="44" t="s">
        <v>74</v>
      </c>
      <c r="C25" s="45">
        <v>356.91400000000021</v>
      </c>
      <c r="D25" s="45">
        <v>296.31234241395111</v>
      </c>
      <c r="E25" s="45">
        <v>263.42994763162187</v>
      </c>
      <c r="F25" s="45">
        <v>375.50222168731489</v>
      </c>
      <c r="G25" s="45">
        <v>271.32668926100445</v>
      </c>
      <c r="H25" s="45">
        <v>272.11242057405633</v>
      </c>
      <c r="I25" s="45">
        <v>321.54800092771393</v>
      </c>
      <c r="J25" s="45">
        <v>301.26671080687277</v>
      </c>
      <c r="K25" s="45">
        <v>349.92185616199185</v>
      </c>
      <c r="L25" s="45">
        <v>366.92150524868975</v>
      </c>
      <c r="M25" s="45">
        <v>380.28737281989561</v>
      </c>
      <c r="N25" s="45">
        <v>407.63665890015562</v>
      </c>
      <c r="O25" s="45">
        <f t="shared" ref="O25:T25" si="12">SUM(O21,O24)</f>
        <v>369.78267675915237</v>
      </c>
      <c r="P25" s="110">
        <f t="shared" si="12"/>
        <v>385.11624165577734</v>
      </c>
      <c r="Q25" s="45">
        <f t="shared" si="12"/>
        <v>410.72529730824618</v>
      </c>
      <c r="R25" s="45">
        <f t="shared" si="12"/>
        <v>488.04072590626004</v>
      </c>
      <c r="S25" s="45">
        <f t="shared" si="12"/>
        <v>482.60000000000099</v>
      </c>
      <c r="T25" s="45">
        <f t="shared" si="12"/>
        <v>503.64470232704144</v>
      </c>
      <c r="U25" s="45">
        <f t="shared" ref="U25" si="13">SUM(U21,U24)</f>
        <v>531.1505753059339</v>
      </c>
      <c r="V25" s="45">
        <v>598.89999999999895</v>
      </c>
      <c r="W25" s="45">
        <v>525.20000000000073</v>
      </c>
      <c r="X25" s="45">
        <v>536.76</v>
      </c>
      <c r="Z25" s="45">
        <v>1292.1585117328884</v>
      </c>
      <c r="AA25" s="45">
        <v>1166.2538215696461</v>
      </c>
      <c r="AB25" s="45">
        <v>1504.768</v>
      </c>
      <c r="AC25" s="45">
        <v>1653.684</v>
      </c>
      <c r="AD25" s="45">
        <v>2116.3679999999999</v>
      </c>
      <c r="AE25" s="24"/>
      <c r="AG25" s="197"/>
      <c r="AH25" s="197"/>
      <c r="AI25" s="197"/>
    </row>
    <row r="26" spans="1:35" ht="14.25" customHeight="1" x14ac:dyDescent="0.35">
      <c r="B26" s="23"/>
      <c r="C26" s="38"/>
      <c r="D26" s="38"/>
      <c r="E26" s="38"/>
      <c r="F26" s="38"/>
      <c r="G26" s="38"/>
      <c r="H26" s="38"/>
      <c r="I26" s="38"/>
      <c r="J26" s="38"/>
      <c r="K26" s="38"/>
      <c r="L26" s="38"/>
      <c r="M26" s="38"/>
      <c r="N26" s="38"/>
      <c r="O26" s="38"/>
      <c r="P26" s="38"/>
      <c r="Q26" s="38"/>
      <c r="R26" s="38"/>
      <c r="S26" s="38"/>
      <c r="T26" s="38"/>
      <c r="U26" s="38"/>
      <c r="V26" s="38"/>
      <c r="W26" s="38"/>
      <c r="X26" s="38"/>
      <c r="AE26" s="24"/>
    </row>
    <row r="27" spans="1:35" ht="14.25" customHeight="1" x14ac:dyDescent="0.35">
      <c r="B27" s="13" t="s">
        <v>473</v>
      </c>
      <c r="C27" s="38"/>
      <c r="D27" s="38"/>
      <c r="E27" s="38"/>
      <c r="F27" s="38"/>
      <c r="G27" s="38"/>
      <c r="H27" s="38"/>
      <c r="I27" s="38"/>
      <c r="J27" s="38"/>
      <c r="K27" s="38"/>
      <c r="L27" s="38"/>
      <c r="M27" s="38"/>
      <c r="N27" s="38"/>
      <c r="O27" s="38"/>
      <c r="P27" s="38"/>
      <c r="Q27" s="38"/>
      <c r="R27" s="38"/>
      <c r="S27" s="38"/>
      <c r="T27" s="38"/>
      <c r="U27" s="38"/>
      <c r="V27" s="38"/>
      <c r="W27" s="38"/>
      <c r="X27" s="38"/>
      <c r="AE27" s="24"/>
    </row>
    <row r="28" spans="1:35" ht="14.25" customHeight="1" x14ac:dyDescent="0.35">
      <c r="B28" s="15" t="s">
        <v>1</v>
      </c>
      <c r="C28" s="38"/>
      <c r="D28" s="38"/>
      <c r="E28" s="38"/>
      <c r="F28" s="38"/>
      <c r="G28" s="38"/>
      <c r="H28" s="38"/>
      <c r="I28" s="38"/>
      <c r="J28" s="38"/>
      <c r="K28" s="38"/>
      <c r="L28" s="38"/>
      <c r="M28" s="38"/>
      <c r="N28" s="38"/>
      <c r="O28" s="38"/>
      <c r="P28" s="38"/>
      <c r="Q28" s="38"/>
      <c r="R28" s="38"/>
      <c r="S28" s="38"/>
      <c r="T28" s="38"/>
      <c r="U28" s="38"/>
      <c r="V28" s="38"/>
      <c r="W28" s="38"/>
      <c r="X28" s="38"/>
      <c r="AE28" s="24"/>
    </row>
    <row r="29" spans="1:35" ht="14.25" customHeight="1" x14ac:dyDescent="0.35">
      <c r="C29" s="38"/>
      <c r="D29" s="38"/>
      <c r="E29" s="38"/>
      <c r="F29" s="38"/>
      <c r="G29" s="38"/>
      <c r="H29" s="38"/>
      <c r="I29" s="38"/>
      <c r="J29" s="38"/>
      <c r="K29" s="38"/>
      <c r="L29" s="38"/>
      <c r="M29" s="38"/>
      <c r="N29" s="38"/>
      <c r="O29" s="38"/>
      <c r="P29" s="38"/>
      <c r="Q29" s="38"/>
      <c r="R29" s="38"/>
      <c r="S29" s="38"/>
      <c r="T29" s="38"/>
      <c r="U29" s="38"/>
      <c r="V29" s="38"/>
      <c r="W29" s="38"/>
      <c r="X29" s="38"/>
      <c r="AE29" s="24"/>
    </row>
    <row r="30" spans="1:35" ht="14.25" customHeight="1" thickBot="1" x14ac:dyDescent="0.4">
      <c r="B30" s="192" t="s">
        <v>472</v>
      </c>
      <c r="C30" s="189" t="s">
        <v>3</v>
      </c>
      <c r="D30" s="189" t="s">
        <v>4</v>
      </c>
      <c r="E30" s="189" t="s">
        <v>5</v>
      </c>
      <c r="F30" s="189" t="s">
        <v>6</v>
      </c>
      <c r="G30" s="189" t="s">
        <v>7</v>
      </c>
      <c r="H30" s="189" t="s">
        <v>8</v>
      </c>
      <c r="I30" s="189" t="s">
        <v>9</v>
      </c>
      <c r="J30" s="189" t="s">
        <v>10</v>
      </c>
      <c r="K30" s="189" t="s">
        <v>11</v>
      </c>
      <c r="L30" s="189" t="s">
        <v>12</v>
      </c>
      <c r="M30" s="189" t="s">
        <v>13</v>
      </c>
      <c r="N30" s="189" t="s">
        <v>14</v>
      </c>
      <c r="O30" s="189" t="s">
        <v>15</v>
      </c>
      <c r="P30" s="189" t="s">
        <v>16</v>
      </c>
      <c r="Q30" s="189" t="s">
        <v>17</v>
      </c>
      <c r="R30" s="189" t="s">
        <v>18</v>
      </c>
      <c r="S30" s="189" t="s">
        <v>19</v>
      </c>
      <c r="T30" s="189" t="str">
        <f>'Operating Metrics - Old_View'!$T$5</f>
        <v>2Q24</v>
      </c>
      <c r="U30" s="189" t="str">
        <f>U5</f>
        <v>3Q24</v>
      </c>
      <c r="V30" s="189" t="s">
        <v>22</v>
      </c>
      <c r="W30" s="189" t="s">
        <v>457</v>
      </c>
      <c r="X30" s="189" t="s">
        <v>493</v>
      </c>
      <c r="Z30" s="189">
        <v>2020</v>
      </c>
      <c r="AA30" s="189">
        <v>2021</v>
      </c>
      <c r="AB30" s="189">
        <v>2022</v>
      </c>
      <c r="AC30" s="189">
        <v>2023</v>
      </c>
      <c r="AD30" s="189">
        <v>2024</v>
      </c>
      <c r="AE30" s="24"/>
    </row>
    <row r="31" spans="1:35" ht="14.25" customHeight="1" x14ac:dyDescent="0.35">
      <c r="B31" s="23" t="s">
        <v>55</v>
      </c>
      <c r="C31" s="38" t="s">
        <v>28</v>
      </c>
      <c r="D31" s="38" t="s">
        <v>28</v>
      </c>
      <c r="E31" s="38" t="s">
        <v>28</v>
      </c>
      <c r="F31" s="38" t="s">
        <v>28</v>
      </c>
      <c r="G31" s="38">
        <v>1384.9701471299998</v>
      </c>
      <c r="H31" s="38">
        <v>1548.1279999999999</v>
      </c>
      <c r="I31" s="38">
        <v>1792.1644711700003</v>
      </c>
      <c r="J31" s="38">
        <v>2059.54919642</v>
      </c>
      <c r="K31" s="38">
        <v>2054.5835353347502</v>
      </c>
      <c r="L31" s="38">
        <v>2255.6887042754479</v>
      </c>
      <c r="M31" s="38">
        <v>2292.0781641628746</v>
      </c>
      <c r="N31" s="38">
        <v>2304.0569918470851</v>
      </c>
      <c r="O31" s="38">
        <f t="shared" ref="O31:S34" si="14">O6</f>
        <v>2150.9540410960394</v>
      </c>
      <c r="P31" s="38">
        <f t="shared" si="14"/>
        <v>2166.0107382582109</v>
      </c>
      <c r="Q31" s="38">
        <f t="shared" si="14"/>
        <v>2269.2923264974997</v>
      </c>
      <c r="R31" s="38">
        <f t="shared" si="14"/>
        <v>2440.9286334512267</v>
      </c>
      <c r="S31" s="38">
        <f t="shared" si="14"/>
        <v>2369.3000000000002</v>
      </c>
      <c r="T31" s="38">
        <f t="shared" ref="T31:U31" si="15">T6</f>
        <v>2311.9651108013331</v>
      </c>
      <c r="U31" s="38">
        <f t="shared" si="15"/>
        <v>2259.8755594682116</v>
      </c>
      <c r="V31" s="38">
        <v>2242.1</v>
      </c>
      <c r="W31" s="38">
        <v>2013.9700000000003</v>
      </c>
      <c r="X31" s="38">
        <f t="shared" ref="X31" si="16">X6</f>
        <v>1988.7070000000001</v>
      </c>
      <c r="Z31" s="46" t="s">
        <v>28</v>
      </c>
      <c r="AA31" s="47">
        <v>6784.8118147200003</v>
      </c>
      <c r="AB31" s="47">
        <v>8906.4073956201573</v>
      </c>
      <c r="AC31" s="47">
        <v>9027.2420000000002</v>
      </c>
      <c r="AD31" s="47">
        <v>9183.2819999999992</v>
      </c>
      <c r="AE31" s="24"/>
    </row>
    <row r="32" spans="1:35" ht="14.25" customHeight="1" x14ac:dyDescent="0.35">
      <c r="B32" s="23" t="s">
        <v>56</v>
      </c>
      <c r="C32" s="38" t="s">
        <v>28</v>
      </c>
      <c r="D32" s="38" t="s">
        <v>28</v>
      </c>
      <c r="E32" s="38" t="s">
        <v>28</v>
      </c>
      <c r="F32" s="38" t="s">
        <v>28</v>
      </c>
      <c r="G32" s="38">
        <v>0</v>
      </c>
      <c r="H32" s="38">
        <v>0</v>
      </c>
      <c r="I32" s="38">
        <v>0</v>
      </c>
      <c r="J32" s="38">
        <v>0</v>
      </c>
      <c r="K32" s="38">
        <v>0</v>
      </c>
      <c r="L32" s="38">
        <v>0</v>
      </c>
      <c r="M32" s="38">
        <v>0</v>
      </c>
      <c r="N32" s="38">
        <v>0</v>
      </c>
      <c r="O32" s="38">
        <f t="shared" si="14"/>
        <v>0</v>
      </c>
      <c r="P32" s="38">
        <f t="shared" si="14"/>
        <v>0</v>
      </c>
      <c r="Q32" s="38">
        <f t="shared" si="14"/>
        <v>0</v>
      </c>
      <c r="R32" s="38">
        <f t="shared" si="14"/>
        <v>0</v>
      </c>
      <c r="S32" s="38">
        <f t="shared" si="14"/>
        <v>0</v>
      </c>
      <c r="T32" s="38">
        <f t="shared" ref="T32:U32" si="17">T7</f>
        <v>0</v>
      </c>
      <c r="U32" s="38">
        <f t="shared" si="17"/>
        <v>0</v>
      </c>
      <c r="V32" s="38">
        <v>0</v>
      </c>
      <c r="W32" s="38">
        <v>0</v>
      </c>
      <c r="X32" s="38">
        <f t="shared" ref="X32" si="18">X7</f>
        <v>0</v>
      </c>
      <c r="Z32" s="46" t="s">
        <v>28</v>
      </c>
      <c r="AA32" s="47">
        <v>0</v>
      </c>
      <c r="AB32" s="47">
        <v>0</v>
      </c>
      <c r="AC32" s="47">
        <v>0</v>
      </c>
      <c r="AD32" s="47">
        <v>0</v>
      </c>
      <c r="AE32" s="24"/>
    </row>
    <row r="33" spans="2:34" ht="14.25" customHeight="1" x14ac:dyDescent="0.35">
      <c r="B33" s="23" t="s">
        <v>57</v>
      </c>
      <c r="C33" s="38" t="s">
        <v>28</v>
      </c>
      <c r="D33" s="38" t="s">
        <v>28</v>
      </c>
      <c r="E33" s="38" t="s">
        <v>28</v>
      </c>
      <c r="F33" s="38" t="s">
        <v>28</v>
      </c>
      <c r="G33" s="38">
        <v>656.98271183999998</v>
      </c>
      <c r="H33" s="38">
        <v>786.61</v>
      </c>
      <c r="I33" s="38">
        <v>937.74035872000002</v>
      </c>
      <c r="J33" s="38">
        <v>1133.08032026</v>
      </c>
      <c r="K33" s="38">
        <v>1330.7924400299999</v>
      </c>
      <c r="L33" s="38">
        <v>1610.1014512699999</v>
      </c>
      <c r="M33" s="38">
        <v>1697.2224831200001</v>
      </c>
      <c r="N33" s="38">
        <v>1614.6167977600005</v>
      </c>
      <c r="O33" s="38">
        <f t="shared" si="14"/>
        <v>1534.20182112</v>
      </c>
      <c r="P33" s="38">
        <f t="shared" si="14"/>
        <v>1594.9740162400001</v>
      </c>
      <c r="Q33" s="38">
        <f t="shared" si="14"/>
        <v>1691.27318769</v>
      </c>
      <c r="R33" s="38">
        <f t="shared" si="14"/>
        <v>1832.59720629</v>
      </c>
      <c r="S33" s="38">
        <f t="shared" si="14"/>
        <v>1832</v>
      </c>
      <c r="T33" s="38">
        <f t="shared" ref="T33:U33" si="19">T8</f>
        <v>2113.0845738100002</v>
      </c>
      <c r="U33" s="38">
        <f t="shared" si="19"/>
        <v>2444.7775322000002</v>
      </c>
      <c r="V33" s="38">
        <v>2760.6</v>
      </c>
      <c r="W33" s="38">
        <v>2697.2999999999997</v>
      </c>
      <c r="X33" s="38">
        <f t="shared" ref="X33" si="20">X8</f>
        <v>2902.268</v>
      </c>
      <c r="Z33" s="46" t="s">
        <v>28</v>
      </c>
      <c r="AA33" s="47">
        <v>3514.4133908200001</v>
      </c>
      <c r="AB33" s="47">
        <v>6252.733172180001</v>
      </c>
      <c r="AC33" s="47">
        <v>6653.0460000000003</v>
      </c>
      <c r="AD33" s="47">
        <v>9150.4269999999997</v>
      </c>
      <c r="AE33" s="24"/>
    </row>
    <row r="34" spans="2:34" ht="14.25" customHeight="1" x14ac:dyDescent="0.35">
      <c r="B34" s="23" t="s">
        <v>58</v>
      </c>
      <c r="C34" s="38" t="s">
        <v>28</v>
      </c>
      <c r="D34" s="38" t="s">
        <v>28</v>
      </c>
      <c r="E34" s="38" t="s">
        <v>28</v>
      </c>
      <c r="F34" s="38" t="s">
        <v>28</v>
      </c>
      <c r="G34" s="38">
        <v>25.247820869999998</v>
      </c>
      <c r="H34" s="38">
        <v>34.831000000000003</v>
      </c>
      <c r="I34" s="38">
        <v>45.860542630000005</v>
      </c>
      <c r="J34" s="38">
        <v>43.527518220000005</v>
      </c>
      <c r="K34" s="38">
        <v>41.575661348273591</v>
      </c>
      <c r="L34" s="38">
        <v>44.767461206920004</v>
      </c>
      <c r="M34" s="38">
        <v>46.125531217340701</v>
      </c>
      <c r="N34" s="38">
        <v>43.304396118690697</v>
      </c>
      <c r="O34" s="38">
        <f t="shared" si="14"/>
        <v>64.514456851412689</v>
      </c>
      <c r="P34" s="38">
        <f t="shared" si="14"/>
        <v>64.928017820652315</v>
      </c>
      <c r="Q34" s="38">
        <f t="shared" si="14"/>
        <v>65.580801565124005</v>
      </c>
      <c r="R34" s="38">
        <f t="shared" si="14"/>
        <v>73.085521428619998</v>
      </c>
      <c r="S34" s="38">
        <f t="shared" si="14"/>
        <v>105.1</v>
      </c>
      <c r="T34" s="38">
        <f t="shared" ref="T34:U34" si="21">T9</f>
        <v>131.65715204309703</v>
      </c>
      <c r="U34" s="38">
        <f t="shared" si="21"/>
        <v>126.83835953043304</v>
      </c>
      <c r="V34" s="38">
        <v>112.4</v>
      </c>
      <c r="W34" s="38">
        <v>138.89000000000001</v>
      </c>
      <c r="X34" s="38">
        <f t="shared" ref="X34" si="22">X9</f>
        <v>167.2</v>
      </c>
      <c r="Z34" s="46" t="s">
        <v>28</v>
      </c>
      <c r="AA34" s="47">
        <v>149.46688172</v>
      </c>
      <c r="AB34" s="47">
        <v>175.77304989122499</v>
      </c>
      <c r="AC34" s="47">
        <v>268.113</v>
      </c>
      <c r="AD34" s="47">
        <v>475.923</v>
      </c>
      <c r="AE34" s="24"/>
    </row>
    <row r="35" spans="2:34" ht="14.25" customHeight="1" x14ac:dyDescent="0.35">
      <c r="B35" s="39" t="s">
        <v>59</v>
      </c>
      <c r="C35" s="40" t="s">
        <v>28</v>
      </c>
      <c r="D35" s="40" t="s">
        <v>28</v>
      </c>
      <c r="E35" s="40" t="s">
        <v>28</v>
      </c>
      <c r="F35" s="40" t="s">
        <v>28</v>
      </c>
      <c r="G35" s="40">
        <v>2067.2006798399998</v>
      </c>
      <c r="H35" s="40">
        <v>2369.569</v>
      </c>
      <c r="I35" s="40">
        <v>2775.7653725200003</v>
      </c>
      <c r="J35" s="40">
        <v>3236.1570348999999</v>
      </c>
      <c r="K35" s="40">
        <v>3426.9516367130236</v>
      </c>
      <c r="L35" s="40">
        <v>3910.5576167523677</v>
      </c>
      <c r="M35" s="40">
        <v>4035.4261785002154</v>
      </c>
      <c r="N35" s="40">
        <v>3961.9781857257763</v>
      </c>
      <c r="O35" s="40">
        <f>SUM(O31:O34)</f>
        <v>3749.6703190674521</v>
      </c>
      <c r="P35" s="40">
        <f t="shared" ref="P35:T35" si="23">SUM(P31:P34)</f>
        <v>3825.9127723188635</v>
      </c>
      <c r="Q35" s="40">
        <f t="shared" si="23"/>
        <v>4026.1463157526237</v>
      </c>
      <c r="R35" s="40">
        <f t="shared" si="23"/>
        <v>4346.6113611698474</v>
      </c>
      <c r="S35" s="40">
        <f t="shared" si="23"/>
        <v>4306.4000000000005</v>
      </c>
      <c r="T35" s="40">
        <f t="shared" si="23"/>
        <v>4556.7068366544299</v>
      </c>
      <c r="U35" s="40">
        <f t="shared" ref="U35" si="24">SUM(U31:U34)</f>
        <v>4831.4914511986444</v>
      </c>
      <c r="V35" s="40">
        <v>5115.0999999999995</v>
      </c>
      <c r="W35" s="40">
        <v>4850.1600000000008</v>
      </c>
      <c r="X35" s="40">
        <f t="shared" ref="X35" si="25">SUM(X31:X34)</f>
        <v>5058.1750000000002</v>
      </c>
      <c r="Z35" s="40" t="s">
        <v>28</v>
      </c>
      <c r="AA35" s="40">
        <v>10448.69208726</v>
      </c>
      <c r="AB35" s="40">
        <v>15334.914000000001</v>
      </c>
      <c r="AC35" s="40">
        <v>15948.401</v>
      </c>
      <c r="AD35" s="40">
        <v>18809.632000000001</v>
      </c>
      <c r="AE35" s="24"/>
    </row>
    <row r="36" spans="2:34" ht="14.25" customHeight="1" x14ac:dyDescent="0.35">
      <c r="B36" s="23" t="s">
        <v>75</v>
      </c>
      <c r="C36" s="38" t="s">
        <v>28</v>
      </c>
      <c r="D36" s="38" t="s">
        <v>28</v>
      </c>
      <c r="E36" s="38" t="s">
        <v>28</v>
      </c>
      <c r="F36" s="38" t="s">
        <v>28</v>
      </c>
      <c r="G36" s="38">
        <v>-845.89162015999989</v>
      </c>
      <c r="H36" s="38">
        <v>-965.10283215999982</v>
      </c>
      <c r="I36" s="38">
        <v>-1112.1511079000004</v>
      </c>
      <c r="J36" s="38">
        <v>-1398.0048165500002</v>
      </c>
      <c r="K36" s="38">
        <v>-1302.9783022702736</v>
      </c>
      <c r="L36" s="38">
        <v>-1414.2046547948698</v>
      </c>
      <c r="M36" s="38">
        <v>-1371.616829647784</v>
      </c>
      <c r="N36" s="38">
        <v>-1478.260653589706</v>
      </c>
      <c r="O36" s="38">
        <v>-1388.7597120633327</v>
      </c>
      <c r="P36" s="38">
        <v>-1414.229083863765</v>
      </c>
      <c r="Q36" s="38">
        <v>-1508.4405418065849</v>
      </c>
      <c r="R36" s="38">
        <v>-1644.6789234142159</v>
      </c>
      <c r="S36" s="38">
        <v>-1626.5413978819392</v>
      </c>
      <c r="T36" s="38">
        <v>-1760.9144882813698</v>
      </c>
      <c r="U36" s="38">
        <v>-1850.9271268866919</v>
      </c>
      <c r="V36" s="38">
        <v>-1959.7108673190701</v>
      </c>
      <c r="W36" s="38">
        <v>-1715.4242753760923</v>
      </c>
      <c r="X36" s="38">
        <v>-1735.904</v>
      </c>
      <c r="Z36" s="46" t="s">
        <v>28</v>
      </c>
      <c r="AA36" s="47">
        <v>-4321.1503767700005</v>
      </c>
      <c r="AB36" s="47">
        <v>-5566.9269999999997</v>
      </c>
      <c r="AC36" s="47">
        <v>-5956.1080000000002</v>
      </c>
      <c r="AD36" s="47">
        <v>-7198.0929999999998</v>
      </c>
      <c r="AE36" s="24"/>
      <c r="AF36" s="198">
        <v>-7198.0929999999998</v>
      </c>
      <c r="AG36" s="199"/>
      <c r="AH36" s="199"/>
    </row>
    <row r="37" spans="2:34" ht="14.25" customHeight="1" x14ac:dyDescent="0.35">
      <c r="B37" s="23" t="s">
        <v>65</v>
      </c>
      <c r="C37" s="38" t="s">
        <v>28</v>
      </c>
      <c r="D37" s="38" t="s">
        <v>28</v>
      </c>
      <c r="E37" s="38" t="s">
        <v>28</v>
      </c>
      <c r="F37" s="38" t="s">
        <v>28</v>
      </c>
      <c r="G37" s="38">
        <v>-44.387658880000004</v>
      </c>
      <c r="H37" s="38">
        <v>-133.78472765999999</v>
      </c>
      <c r="I37" s="38">
        <v>-209.82270677</v>
      </c>
      <c r="J37" s="38">
        <v>-402.64024504000008</v>
      </c>
      <c r="K37" s="38">
        <v>-620.62783420999995</v>
      </c>
      <c r="L37" s="38">
        <v>-755.55951044419521</v>
      </c>
      <c r="M37" s="38">
        <v>-920.65559389805776</v>
      </c>
      <c r="N37" s="38">
        <v>-854.70929850153209</v>
      </c>
      <c r="O37" s="38">
        <v>-812.97072455971465</v>
      </c>
      <c r="P37" s="38">
        <v>-795.62738407411791</v>
      </c>
      <c r="Q37" s="38">
        <v>-819.93723811776601</v>
      </c>
      <c r="R37" s="38">
        <v>-841.02085084668261</v>
      </c>
      <c r="S37" s="38">
        <v>-827.13272112797381</v>
      </c>
      <c r="T37" s="38">
        <v>-863.42093072595935</v>
      </c>
      <c r="U37" s="38">
        <v>-964.33487348606718</v>
      </c>
      <c r="V37" s="38">
        <v>-1091.7996258349658</v>
      </c>
      <c r="W37" s="38">
        <v>-1177.778989453303</v>
      </c>
      <c r="X37" s="38">
        <v>-1276.7170000000001</v>
      </c>
      <c r="Z37" s="46" t="s">
        <v>28</v>
      </c>
      <c r="AA37" s="47">
        <v>-790.6353383500001</v>
      </c>
      <c r="AB37" s="47">
        <v>-3151.5520000000001</v>
      </c>
      <c r="AC37" s="47">
        <v>-3269.556</v>
      </c>
      <c r="AD37" s="47">
        <v>-3746.6880000000001</v>
      </c>
      <c r="AE37" s="24"/>
      <c r="AF37" s="197">
        <v>-3746.6880000000001</v>
      </c>
      <c r="AG37" s="197"/>
      <c r="AH37" s="197"/>
    </row>
    <row r="38" spans="2:34" ht="14.25" customHeight="1" x14ac:dyDescent="0.35">
      <c r="B38" s="23" t="s">
        <v>76</v>
      </c>
      <c r="C38" s="38" t="s">
        <v>28</v>
      </c>
      <c r="D38" s="38" t="s">
        <v>28</v>
      </c>
      <c r="E38" s="38" t="s">
        <v>28</v>
      </c>
      <c r="F38" s="38" t="s">
        <v>28</v>
      </c>
      <c r="G38" s="38">
        <v>-173.13273332</v>
      </c>
      <c r="H38" s="38">
        <v>-147.02718609000001</v>
      </c>
      <c r="I38" s="38">
        <v>-129.89069608</v>
      </c>
      <c r="J38" s="38">
        <v>-214.21735868999997</v>
      </c>
      <c r="K38" s="38">
        <v>-249.71464083999999</v>
      </c>
      <c r="L38" s="38">
        <v>-270.48382595791998</v>
      </c>
      <c r="M38" s="38">
        <v>-272.75183490207996</v>
      </c>
      <c r="N38" s="38">
        <v>-191.53634024999999</v>
      </c>
      <c r="O38" s="38">
        <v>-126.54382303</v>
      </c>
      <c r="P38" s="38">
        <v>-121.65799247</v>
      </c>
      <c r="Q38" s="38">
        <v>-165.26</v>
      </c>
      <c r="R38" s="38">
        <v>-122.58471010130081</v>
      </c>
      <c r="S38" s="38">
        <v>-102.73741299845999</v>
      </c>
      <c r="T38" s="38">
        <v>-112.956</v>
      </c>
      <c r="U38" s="38">
        <v>-119.64396086609598</v>
      </c>
      <c r="V38" s="38">
        <v>-120.69999999999999</v>
      </c>
      <c r="W38" s="38">
        <v>-83.451065724638994</v>
      </c>
      <c r="X38" s="38">
        <v>-97.548000000000002</v>
      </c>
      <c r="Z38" s="46" t="s">
        <v>28</v>
      </c>
      <c r="AA38" s="47">
        <v>-664.26797418000001</v>
      </c>
      <c r="AB38" s="47">
        <v>-984.48699999999997</v>
      </c>
      <c r="AC38" s="47">
        <v>-536.048</v>
      </c>
      <c r="AD38" s="47">
        <v>-456.07900000000001</v>
      </c>
      <c r="AE38" s="24"/>
      <c r="AF38" s="197">
        <v>-456.07900000000001</v>
      </c>
      <c r="AG38" s="197"/>
      <c r="AH38" s="197"/>
    </row>
    <row r="39" spans="2:34" ht="14.25" customHeight="1" x14ac:dyDescent="0.35">
      <c r="B39" s="39" t="s">
        <v>77</v>
      </c>
      <c r="C39" s="40" t="s">
        <v>28</v>
      </c>
      <c r="D39" s="40" t="s">
        <v>28</v>
      </c>
      <c r="E39" s="40" t="s">
        <v>28</v>
      </c>
      <c r="F39" s="40" t="s">
        <v>28</v>
      </c>
      <c r="G39" s="40">
        <v>1003.78866748</v>
      </c>
      <c r="H39" s="40">
        <v>1123.6542540900002</v>
      </c>
      <c r="I39" s="40">
        <v>1323.9008617699999</v>
      </c>
      <c r="J39" s="40">
        <v>1221.2946146199997</v>
      </c>
      <c r="K39" s="40">
        <v>1253.6308593927502</v>
      </c>
      <c r="L39" s="40">
        <v>1470.3096255553828</v>
      </c>
      <c r="M39" s="40">
        <v>1470.4019200522935</v>
      </c>
      <c r="N39" s="40">
        <v>1437.4718933845379</v>
      </c>
      <c r="O39" s="40">
        <f>SUM(O35:O38)</f>
        <v>1421.3960594144046</v>
      </c>
      <c r="P39" s="40">
        <f t="shared" ref="P39:T39" si="26">SUM(P35:P38)</f>
        <v>1494.3983119109807</v>
      </c>
      <c r="Q39" s="40">
        <f t="shared" si="26"/>
        <v>1532.5085358282729</v>
      </c>
      <c r="R39" s="40">
        <f t="shared" si="26"/>
        <v>1738.326876807648</v>
      </c>
      <c r="S39" s="40">
        <f t="shared" si="26"/>
        <v>1749.9884679916274</v>
      </c>
      <c r="T39" s="40">
        <f t="shared" si="26"/>
        <v>1819.4154176471009</v>
      </c>
      <c r="U39" s="40">
        <f t="shared" ref="U39" si="27">SUM(U35:U38)</f>
        <v>1896.5854899597894</v>
      </c>
      <c r="V39" s="40">
        <v>1942.8895068459635</v>
      </c>
      <c r="W39" s="40">
        <v>1873.5056694459665</v>
      </c>
      <c r="X39" s="40">
        <f t="shared" ref="X39" si="28">SUM(X35:X38)</f>
        <v>1948.0060000000001</v>
      </c>
      <c r="Z39" s="40" t="s">
        <v>28</v>
      </c>
      <c r="AA39" s="40">
        <v>4672.6383979599996</v>
      </c>
      <c r="AB39" s="40">
        <v>5631.9480000000012</v>
      </c>
      <c r="AC39" s="40">
        <v>6186.6889999999994</v>
      </c>
      <c r="AD39" s="40">
        <v>7408.7720000000008</v>
      </c>
      <c r="AE39" s="24"/>
    </row>
    <row r="40" spans="2:34" customFormat="1" ht="14.25" customHeight="1" x14ac:dyDescent="0.35">
      <c r="B40" s="23" t="s">
        <v>78</v>
      </c>
      <c r="C40" s="38" t="s">
        <v>28</v>
      </c>
      <c r="D40" s="38" t="s">
        <v>28</v>
      </c>
      <c r="E40" s="38" t="s">
        <v>28</v>
      </c>
      <c r="F40" s="38" t="s">
        <v>28</v>
      </c>
      <c r="G40" s="38">
        <v>-485.12261704850113</v>
      </c>
      <c r="H40" s="38">
        <v>-604.00646414954156</v>
      </c>
      <c r="I40" s="38">
        <v>-699.41274029399301</v>
      </c>
      <c r="J40" s="38">
        <v>-627.49753356197573</v>
      </c>
      <c r="K40" s="38">
        <v>-588.26333919393403</v>
      </c>
      <c r="L40" s="38">
        <v>-653.91752555186417</v>
      </c>
      <c r="M40" s="38">
        <v>-709.52923755124448</v>
      </c>
      <c r="N40" s="38">
        <v>-590.31865760351695</v>
      </c>
      <c r="O40" s="38">
        <v>-606.15040256598058</v>
      </c>
      <c r="P40" s="38">
        <v>-618.7848873851276</v>
      </c>
      <c r="Q40" s="38">
        <v>-610.30052287650062</v>
      </c>
      <c r="R40" s="38">
        <v>-731.59564736617131</v>
      </c>
      <c r="S40" s="38">
        <v>-750.0326713623499</v>
      </c>
      <c r="T40" s="38">
        <v>-810.78397414280005</v>
      </c>
      <c r="U40" s="38">
        <v>-853.30348695693533</v>
      </c>
      <c r="V40" s="38">
        <v>-850.11000000000013</v>
      </c>
      <c r="W40" s="38">
        <v>-816.69675965786564</v>
      </c>
      <c r="X40" s="38">
        <v>-841.03899999999999</v>
      </c>
      <c r="Y40" s="25"/>
      <c r="Z40" s="46" t="s">
        <v>28</v>
      </c>
      <c r="AA40" s="47">
        <v>-2416.0393550540111</v>
      </c>
      <c r="AB40" s="47">
        <v>-2542.0287599005601</v>
      </c>
      <c r="AC40" s="47">
        <v>-2566.83146019378</v>
      </c>
      <c r="AD40" s="47">
        <v>-3264.2301324620853</v>
      </c>
      <c r="AE40" s="25"/>
      <c r="AF40" s="1"/>
    </row>
    <row r="41" spans="2:34" ht="14.25" customHeight="1" x14ac:dyDescent="0.35">
      <c r="B41" s="23" t="s">
        <v>79</v>
      </c>
      <c r="C41" s="38" t="s">
        <v>28</v>
      </c>
      <c r="D41" s="38" t="s">
        <v>28</v>
      </c>
      <c r="E41" s="38" t="s">
        <v>28</v>
      </c>
      <c r="F41" s="38" t="s">
        <v>28</v>
      </c>
      <c r="G41" s="38">
        <v>-158.29787135049457</v>
      </c>
      <c r="H41" s="38">
        <v>-181.52033899584535</v>
      </c>
      <c r="I41" s="38">
        <v>-203.27671777909396</v>
      </c>
      <c r="J41" s="38">
        <v>-225.5</v>
      </c>
      <c r="K41" s="38">
        <v>-249.02219570682448</v>
      </c>
      <c r="L41" s="38">
        <v>-373.70712036482956</v>
      </c>
      <c r="M41" s="38">
        <v>-335.58108363115394</v>
      </c>
      <c r="N41" s="38">
        <v>-372.24908020086502</v>
      </c>
      <c r="O41" s="38">
        <v>-379.69029316927231</v>
      </c>
      <c r="P41" s="38">
        <v>-390.31205905775482</v>
      </c>
      <c r="Q41" s="38">
        <v>-410.22610100291502</v>
      </c>
      <c r="R41" s="38">
        <v>-422.99048289828596</v>
      </c>
      <c r="S41" s="38">
        <v>-427.70731529374996</v>
      </c>
      <c r="T41" s="38">
        <v>-430.84183326049993</v>
      </c>
      <c r="U41" s="38">
        <v>-449.75097783575183</v>
      </c>
      <c r="V41" s="38">
        <v>-456.49</v>
      </c>
      <c r="W41" s="38">
        <v>-476.71731746</v>
      </c>
      <c r="X41" s="38">
        <v>-487.88900000000001</v>
      </c>
      <c r="Z41" s="46" t="s">
        <v>28</v>
      </c>
      <c r="AA41" s="47">
        <v>-768.59492812543385</v>
      </c>
      <c r="AB41" s="47">
        <v>-1330.5594799036728</v>
      </c>
      <c r="AC41" s="47">
        <v>-1603.2189361282283</v>
      </c>
      <c r="AD41" s="47">
        <v>-1764.7901263900017</v>
      </c>
      <c r="AE41" s="24"/>
    </row>
    <row r="42" spans="2:34" ht="14.25" customHeight="1" x14ac:dyDescent="0.35">
      <c r="B42" s="43" t="s">
        <v>70</v>
      </c>
      <c r="C42" s="40" t="s">
        <v>28</v>
      </c>
      <c r="D42" s="40" t="s">
        <v>28</v>
      </c>
      <c r="E42" s="40" t="s">
        <v>28</v>
      </c>
      <c r="F42" s="40" t="s">
        <v>28</v>
      </c>
      <c r="G42" s="40">
        <v>416.47373663199187</v>
      </c>
      <c r="H42" s="40">
        <v>416.47373663199187</v>
      </c>
      <c r="I42" s="40">
        <v>416.47373663199187</v>
      </c>
      <c r="J42" s="40">
        <v>416.47373663199187</v>
      </c>
      <c r="K42" s="40">
        <v>416.47373663199187</v>
      </c>
      <c r="L42" s="40">
        <v>442.70851838868975</v>
      </c>
      <c r="M42" s="40">
        <v>425.30083540989563</v>
      </c>
      <c r="N42" s="40">
        <v>474.83177685015562</v>
      </c>
      <c r="O42" s="40">
        <v>436.03800000000001</v>
      </c>
      <c r="P42" s="40">
        <v>485.262</v>
      </c>
      <c r="Q42" s="40">
        <v>512.06500000000005</v>
      </c>
      <c r="R42" s="40">
        <v>583.74199999999996</v>
      </c>
      <c r="S42" s="40">
        <v>572.36800000000005</v>
      </c>
      <c r="T42" s="40">
        <v>577.726</v>
      </c>
      <c r="U42" s="40">
        <v>593.53899999999999</v>
      </c>
      <c r="V42" s="40">
        <v>636.29600000000005</v>
      </c>
      <c r="W42" s="40">
        <v>579.90785999999946</v>
      </c>
      <c r="X42" s="40">
        <v>616.24599999999998</v>
      </c>
      <c r="Z42" s="40" t="s">
        <v>28</v>
      </c>
      <c r="AA42" s="40">
        <v>1487.9974938596461</v>
      </c>
      <c r="AB42" s="40">
        <v>1759.3148672807311</v>
      </c>
      <c r="AC42" s="40">
        <v>2017.107</v>
      </c>
      <c r="AD42" s="40">
        <v>2379.9290000000001</v>
      </c>
      <c r="AE42" s="24"/>
    </row>
    <row r="43" spans="2:34" ht="14.25" customHeight="1" x14ac:dyDescent="0.35">
      <c r="B43" s="23" t="s">
        <v>71</v>
      </c>
      <c r="C43" s="38" t="s">
        <v>28</v>
      </c>
      <c r="D43" s="38" t="s">
        <v>28</v>
      </c>
      <c r="E43" s="38" t="s">
        <v>28</v>
      </c>
      <c r="F43" s="38" t="s">
        <v>28</v>
      </c>
      <c r="G43" s="38">
        <v>-19.966078590000002</v>
      </c>
      <c r="H43" s="38">
        <v>-1.6723257500000024</v>
      </c>
      <c r="I43" s="38">
        <v>-7.6513361499999979</v>
      </c>
      <c r="J43" s="38">
        <v>-90.511513999999991</v>
      </c>
      <c r="K43" s="38">
        <v>-28.651031939999999</v>
      </c>
      <c r="L43" s="38">
        <v>0.52970634000000061</v>
      </c>
      <c r="M43" s="38">
        <v>1.6036812300000012</v>
      </c>
      <c r="N43" s="38">
        <v>-34.200310139999999</v>
      </c>
      <c r="O43" s="38">
        <f t="shared" ref="O43:S45" si="29">O22</f>
        <v>-18.055750150000001</v>
      </c>
      <c r="P43" s="38">
        <f t="shared" si="29"/>
        <v>-42.238788030000002</v>
      </c>
      <c r="Q43" s="38">
        <f t="shared" si="29"/>
        <v>-16.827313813114003</v>
      </c>
      <c r="R43" s="38">
        <f t="shared" si="29"/>
        <v>-24.731198596931002</v>
      </c>
      <c r="S43" s="38">
        <f t="shared" si="29"/>
        <v>-23.3</v>
      </c>
      <c r="T43" s="38">
        <f t="shared" ref="T43:U43" si="30">T22</f>
        <v>-131.303249561429</v>
      </c>
      <c r="U43" s="38">
        <f t="shared" si="30"/>
        <v>-11.168247238570999</v>
      </c>
      <c r="V43" s="38">
        <v>-95.4</v>
      </c>
      <c r="W43" s="38">
        <v>-134.83000000000001</v>
      </c>
      <c r="X43" s="38">
        <f t="shared" ref="X43" si="31">X22</f>
        <v>-125.26600000000001</v>
      </c>
      <c r="Z43" s="46" t="s">
        <v>28</v>
      </c>
      <c r="AA43" s="47">
        <v>-119.80125448999999</v>
      </c>
      <c r="AB43" s="47">
        <v>-60.718000000000004</v>
      </c>
      <c r="AC43" s="47">
        <v>-101.846</v>
      </c>
      <c r="AD43" s="47">
        <v>-261.21100000000001</v>
      </c>
      <c r="AE43" s="24"/>
    </row>
    <row r="44" spans="2:34" ht="14.25" customHeight="1" x14ac:dyDescent="0.35">
      <c r="B44" s="23" t="s">
        <v>72</v>
      </c>
      <c r="C44" s="38" t="s">
        <v>28</v>
      </c>
      <c r="D44" s="38" t="s">
        <v>28</v>
      </c>
      <c r="E44" s="38" t="s">
        <v>28</v>
      </c>
      <c r="F44" s="38" t="s">
        <v>28</v>
      </c>
      <c r="G44" s="38">
        <v>-69.059258419999992</v>
      </c>
      <c r="H44" s="38">
        <v>-64.36070024</v>
      </c>
      <c r="I44" s="38">
        <v>-91.983405050000002</v>
      </c>
      <c r="J44" s="38">
        <v>23.460945910000007</v>
      </c>
      <c r="K44" s="38">
        <v>-37.900848530000005</v>
      </c>
      <c r="L44" s="38">
        <v>-76.316719479999989</v>
      </c>
      <c r="M44" s="38">
        <v>-46.617143819999995</v>
      </c>
      <c r="N44" s="38">
        <v>-32.994807809999998</v>
      </c>
      <c r="O44" s="38">
        <f t="shared" si="29"/>
        <v>-48.137662109999994</v>
      </c>
      <c r="P44" s="38">
        <f t="shared" si="29"/>
        <v>-57.929427320000002</v>
      </c>
      <c r="Q44" s="38">
        <f t="shared" si="29"/>
        <v>-84.511624119999993</v>
      </c>
      <c r="R44" s="38">
        <f t="shared" si="29"/>
        <v>-70.992024380000004</v>
      </c>
      <c r="S44" s="38">
        <f t="shared" si="29"/>
        <v>-66.5</v>
      </c>
      <c r="T44" s="38">
        <f t="shared" ref="T44:U44" si="32">T23</f>
        <v>57.22304596</v>
      </c>
      <c r="U44" s="38">
        <f t="shared" si="32"/>
        <v>-51.220007570000007</v>
      </c>
      <c r="V44" s="38">
        <v>58.1</v>
      </c>
      <c r="W44" s="38">
        <v>80.02</v>
      </c>
      <c r="X44" s="38">
        <f t="shared" ref="X44" si="33">X23</f>
        <v>45.779000000000003</v>
      </c>
      <c r="Z44" s="46" t="s">
        <v>28</v>
      </c>
      <c r="AA44" s="47">
        <v>-201.94241779999999</v>
      </c>
      <c r="AB44" s="47">
        <v>-193.83</v>
      </c>
      <c r="AC44" s="47">
        <v>-261.577</v>
      </c>
      <c r="AD44" s="47">
        <v>-2.35</v>
      </c>
      <c r="AE44" s="24"/>
    </row>
    <row r="45" spans="2:34" ht="14.25" customHeight="1" x14ac:dyDescent="0.35">
      <c r="B45" s="43" t="s">
        <v>73</v>
      </c>
      <c r="C45" s="40" t="s">
        <v>28</v>
      </c>
      <c r="D45" s="40" t="s">
        <v>28</v>
      </c>
      <c r="E45" s="40" t="s">
        <v>28</v>
      </c>
      <c r="F45" s="40" t="s">
        <v>28</v>
      </c>
      <c r="G45" s="40">
        <v>-66.55188047</v>
      </c>
      <c r="H45" s="40">
        <v>-66.55188047</v>
      </c>
      <c r="I45" s="40">
        <v>-66.55188047</v>
      </c>
      <c r="J45" s="40">
        <v>-66.55188047</v>
      </c>
      <c r="K45" s="40">
        <v>-66.55188047</v>
      </c>
      <c r="L45" s="40">
        <v>-75.787013139999985</v>
      </c>
      <c r="M45" s="40">
        <v>-45.013462589999996</v>
      </c>
      <c r="N45" s="40">
        <v>-67.195117949999997</v>
      </c>
      <c r="O45" s="40">
        <f t="shared" si="29"/>
        <v>-66.193412260000002</v>
      </c>
      <c r="P45" s="40">
        <f t="shared" si="29"/>
        <v>-100.16821535</v>
      </c>
      <c r="Q45" s="40">
        <f t="shared" si="29"/>
        <v>-101.338937933114</v>
      </c>
      <c r="R45" s="40">
        <f t="shared" si="29"/>
        <v>-95.723222976930998</v>
      </c>
      <c r="S45" s="40">
        <f t="shared" si="29"/>
        <v>-89.8</v>
      </c>
      <c r="T45" s="40">
        <f t="shared" ref="T45:U45" si="34">T24</f>
        <v>-74.080203601428991</v>
      </c>
      <c r="U45" s="40">
        <f t="shared" si="34"/>
        <v>-62.388254808571006</v>
      </c>
      <c r="V45" s="40">
        <v>-37.300000000000004</v>
      </c>
      <c r="W45" s="40">
        <v>-54.810000000000016</v>
      </c>
      <c r="X45" s="40">
        <f t="shared" ref="X45" si="35">X24</f>
        <v>-79.486999999999995</v>
      </c>
      <c r="Z45" s="40" t="s">
        <v>28</v>
      </c>
      <c r="AA45" s="40">
        <v>-321.74367228999995</v>
      </c>
      <c r="AB45" s="40">
        <v>-254.548</v>
      </c>
      <c r="AC45" s="40">
        <v>-363.423</v>
      </c>
      <c r="AD45" s="40">
        <v>-263.56099999999998</v>
      </c>
      <c r="AE45" s="24"/>
    </row>
    <row r="46" spans="2:34" ht="14.25" customHeight="1" thickBot="1" x14ac:dyDescent="0.4">
      <c r="B46" s="44" t="s">
        <v>74</v>
      </c>
      <c r="C46" s="45" t="s">
        <v>28</v>
      </c>
      <c r="D46" s="45" t="s">
        <v>28</v>
      </c>
      <c r="E46" s="45" t="s">
        <v>28</v>
      </c>
      <c r="F46" s="45" t="s">
        <v>28</v>
      </c>
      <c r="G46" s="45">
        <v>349.92185616199185</v>
      </c>
      <c r="H46" s="45">
        <v>349.92185616199185</v>
      </c>
      <c r="I46" s="45">
        <v>349.92185616199185</v>
      </c>
      <c r="J46" s="45">
        <v>349.92185616199185</v>
      </c>
      <c r="K46" s="45">
        <v>349.92185616199185</v>
      </c>
      <c r="L46" s="45">
        <v>366.92150524868975</v>
      </c>
      <c r="M46" s="45">
        <v>380.28737281989561</v>
      </c>
      <c r="N46" s="45">
        <v>407.63665890015562</v>
      </c>
      <c r="O46" s="45">
        <f>SUM(O42,O45)</f>
        <v>369.84458774000001</v>
      </c>
      <c r="P46" s="45">
        <f t="shared" ref="P46:T46" si="36">SUM(P42,P45)</f>
        <v>385.09378464999998</v>
      </c>
      <c r="Q46" s="45">
        <f t="shared" si="36"/>
        <v>410.72606206688607</v>
      </c>
      <c r="R46" s="45">
        <f t="shared" si="36"/>
        <v>488.01877702306899</v>
      </c>
      <c r="S46" s="45">
        <f t="shared" si="36"/>
        <v>482.56800000000004</v>
      </c>
      <c r="T46" s="45">
        <f t="shared" si="36"/>
        <v>503.64579639857101</v>
      </c>
      <c r="U46" s="45">
        <f t="shared" ref="U46" si="37">SUM(U42,U45)</f>
        <v>531.150745191429</v>
      </c>
      <c r="V46" s="45">
        <v>598.99600000000009</v>
      </c>
      <c r="W46" s="45">
        <v>525.0978599999994</v>
      </c>
      <c r="X46" s="45">
        <f t="shared" ref="X46" si="38">SUM(X42,X45)</f>
        <v>536.75900000000001</v>
      </c>
      <c r="Z46" s="45" t="s">
        <v>28</v>
      </c>
      <c r="AA46" s="45">
        <v>1166.2538215696461</v>
      </c>
      <c r="AB46" s="45">
        <v>1504.768</v>
      </c>
      <c r="AC46" s="45">
        <v>1653.684</v>
      </c>
      <c r="AD46" s="45">
        <v>2116.3679999999999</v>
      </c>
      <c r="AE46" s="24"/>
    </row>
    <row r="47" spans="2:34" ht="14.25" customHeight="1" x14ac:dyDescent="0.35">
      <c r="B47" s="196"/>
      <c r="AE47" s="24"/>
    </row>
    <row r="48" spans="2:34" ht="14.25" customHeight="1" thickBot="1" x14ac:dyDescent="0.4">
      <c r="B48" s="192" t="s">
        <v>451</v>
      </c>
      <c r="C48" s="189" t="s">
        <v>3</v>
      </c>
      <c r="D48" s="189" t="s">
        <v>4</v>
      </c>
      <c r="E48" s="189" t="s">
        <v>5</v>
      </c>
      <c r="F48" s="189" t="s">
        <v>6</v>
      </c>
      <c r="G48" s="189" t="s">
        <v>7</v>
      </c>
      <c r="H48" s="189" t="s">
        <v>8</v>
      </c>
      <c r="I48" s="189" t="s">
        <v>9</v>
      </c>
      <c r="J48" s="189" t="s">
        <v>10</v>
      </c>
      <c r="K48" s="189" t="s">
        <v>11</v>
      </c>
      <c r="L48" s="189" t="s">
        <v>12</v>
      </c>
      <c r="M48" s="189" t="s">
        <v>13</v>
      </c>
      <c r="N48" s="189" t="s">
        <v>14</v>
      </c>
      <c r="O48" s="189" t="s">
        <v>15</v>
      </c>
      <c r="P48" s="189" t="s">
        <v>16</v>
      </c>
      <c r="Q48" s="189" t="s">
        <v>17</v>
      </c>
      <c r="R48" s="189" t="s">
        <v>18</v>
      </c>
      <c r="S48" s="189" t="s">
        <v>19</v>
      </c>
      <c r="T48" s="189" t="str">
        <f>'Operating Metrics - Old_View'!$T$5</f>
        <v>2Q24</v>
      </c>
      <c r="U48" s="189" t="s">
        <v>21</v>
      </c>
      <c r="V48" s="189" t="s">
        <v>22</v>
      </c>
      <c r="W48" s="189" t="s">
        <v>457</v>
      </c>
      <c r="X48" s="189" t="s">
        <v>493</v>
      </c>
      <c r="Z48" s="189">
        <v>2020</v>
      </c>
      <c r="AA48" s="189">
        <v>2021</v>
      </c>
      <c r="AB48" s="189">
        <v>2022</v>
      </c>
      <c r="AC48" s="189">
        <v>2023</v>
      </c>
      <c r="AD48" s="189">
        <v>2024</v>
      </c>
      <c r="AE48" s="24"/>
    </row>
    <row r="49" spans="2:31" ht="14.25" customHeight="1" x14ac:dyDescent="0.35">
      <c r="B49" s="23" t="s">
        <v>452</v>
      </c>
      <c r="C49" s="38">
        <v>328.99961300000001</v>
      </c>
      <c r="D49" s="38">
        <v>329.00125700000001</v>
      </c>
      <c r="E49" s="38">
        <v>329.09022600000003</v>
      </c>
      <c r="F49" s="38">
        <v>329.29223999999999</v>
      </c>
      <c r="G49" s="38">
        <v>329.97265899999996</v>
      </c>
      <c r="H49" s="38">
        <v>330.09160100000003</v>
      </c>
      <c r="I49" s="38">
        <v>330.397738</v>
      </c>
      <c r="J49" s="38">
        <v>330.31078600000001</v>
      </c>
      <c r="K49" s="38">
        <v>331.07932</v>
      </c>
      <c r="L49" s="38">
        <v>331.79659000000004</v>
      </c>
      <c r="M49" s="38">
        <v>326.72405900000001</v>
      </c>
      <c r="N49" s="38">
        <v>327.11029500000001</v>
      </c>
      <c r="O49" s="38">
        <v>324.703913</v>
      </c>
      <c r="P49" s="38">
        <v>323.52206799999999</v>
      </c>
      <c r="Q49" s="38">
        <v>321.845506</v>
      </c>
      <c r="R49" s="38">
        <v>317.15443800000003</v>
      </c>
      <c r="S49" s="38">
        <v>316.93908299999998</v>
      </c>
      <c r="T49" s="38">
        <v>319.069299</v>
      </c>
      <c r="U49" s="38">
        <v>317.55202400000002</v>
      </c>
      <c r="V49" s="38">
        <v>310.8</v>
      </c>
      <c r="W49" s="38">
        <v>303.5809385</v>
      </c>
      <c r="X49" s="38">
        <v>297.69008250000002</v>
      </c>
      <c r="Z49" s="46">
        <v>329.29223999999999</v>
      </c>
      <c r="AA49" s="47">
        <v>330.31078600000001</v>
      </c>
      <c r="AB49" s="47">
        <v>327.11029500000001</v>
      </c>
      <c r="AC49" s="47">
        <v>321.80648000000002</v>
      </c>
      <c r="AD49" s="47">
        <v>316.09618499999999</v>
      </c>
      <c r="AE49" s="24"/>
    </row>
    <row r="50" spans="2:31" ht="14.25" customHeight="1" x14ac:dyDescent="0.35">
      <c r="B50" s="39" t="s">
        <v>453</v>
      </c>
      <c r="C50" s="40">
        <v>1.0848462608981859</v>
      </c>
      <c r="D50" s="40">
        <v>0.9006419766169802</v>
      </c>
      <c r="E50" s="40">
        <v>0.80047940296963371</v>
      </c>
      <c r="F50" s="40">
        <v>1.140331219731491</v>
      </c>
      <c r="G50" s="40">
        <v>0.82227021500288744</v>
      </c>
      <c r="H50" s="40">
        <v>0.82435426938977552</v>
      </c>
      <c r="I50" s="40">
        <v>0.97321489812292217</v>
      </c>
      <c r="J50" s="40">
        <v>0.91207046083827481</v>
      </c>
      <c r="K50" s="40">
        <v>1.0569124527680915</v>
      </c>
      <c r="L50" s="40">
        <v>1.105862797591409</v>
      </c>
      <c r="M50" s="40">
        <v>1.1639405251753916</v>
      </c>
      <c r="N50" s="40">
        <v>1.2461749603452732</v>
      </c>
      <c r="O50" s="207">
        <v>1.1388272883522417</v>
      </c>
      <c r="P50" s="207">
        <v>1.1903863128612833</v>
      </c>
      <c r="Q50" s="207">
        <v>1.2761566952196195</v>
      </c>
      <c r="R50" s="207">
        <v>1.5165037257989944</v>
      </c>
      <c r="S50" s="207">
        <v>1.5226900874197362</v>
      </c>
      <c r="T50" s="207">
        <v>1.5787907406021233</v>
      </c>
      <c r="U50" s="207">
        <v>1.6726411270045436</v>
      </c>
      <c r="V50" s="207">
        <v>1.9269626769626735</v>
      </c>
      <c r="W50" s="207">
        <v>1.7296869908714665</v>
      </c>
      <c r="X50" s="207">
        <v>1.8</v>
      </c>
      <c r="Z50" s="40">
        <v>3.9240478662141824</v>
      </c>
      <c r="AA50" s="40">
        <v>3.5307772891486744</v>
      </c>
      <c r="AB50" s="40">
        <v>4.6001835348249465</v>
      </c>
      <c r="AC50" s="40">
        <v>5.1386284751924034</v>
      </c>
      <c r="AD50" s="40">
        <v>6.6952999999999996</v>
      </c>
      <c r="AE50" s="24"/>
    </row>
    <row r="51" spans="2:31" ht="14.25" customHeight="1" x14ac:dyDescent="0.35">
      <c r="B51" s="23" t="s">
        <v>454</v>
      </c>
      <c r="C51" s="38">
        <v>330.05688699999996</v>
      </c>
      <c r="D51" s="38">
        <v>329.93320500000004</v>
      </c>
      <c r="E51" s="38">
        <v>329.63769100000002</v>
      </c>
      <c r="F51" s="38">
        <v>329.81417700000003</v>
      </c>
      <c r="G51" s="38">
        <v>330.34972899999997</v>
      </c>
      <c r="H51" s="38">
        <v>330.39855299999999</v>
      </c>
      <c r="I51" s="38">
        <v>332.41197700000004</v>
      </c>
      <c r="J51" s="38">
        <v>332.174824</v>
      </c>
      <c r="K51" s="38">
        <v>333.13795199999998</v>
      </c>
      <c r="L51" s="38">
        <v>333.21203700000001</v>
      </c>
      <c r="M51" s="38">
        <v>328.89807000000002</v>
      </c>
      <c r="N51" s="38">
        <v>329.234692</v>
      </c>
      <c r="O51" s="38">
        <v>327.522243</v>
      </c>
      <c r="P51" s="38">
        <v>325.48043100000001</v>
      </c>
      <c r="Q51" s="38">
        <v>323.77363700000001</v>
      </c>
      <c r="R51" s="38">
        <v>319.08395000000002</v>
      </c>
      <c r="S51" s="38">
        <v>321.18566600000003</v>
      </c>
      <c r="T51" s="38">
        <v>323.10000000000002</v>
      </c>
      <c r="U51" s="38">
        <v>320.66723400000001</v>
      </c>
      <c r="V51" s="38">
        <v>313.89999999999998</v>
      </c>
      <c r="W51" s="38">
        <v>305.57460391900003</v>
      </c>
      <c r="X51" s="38">
        <v>300.691026582333</v>
      </c>
      <c r="Z51" s="46">
        <v>329.81417700000003</v>
      </c>
      <c r="AA51" s="47">
        <v>332.174824</v>
      </c>
      <c r="AB51" s="47">
        <v>329.23469299999999</v>
      </c>
      <c r="AC51" s="47">
        <v>323.95557700000001</v>
      </c>
      <c r="AD51" s="47">
        <v>319.51141899999999</v>
      </c>
      <c r="AE51" s="24"/>
    </row>
    <row r="52" spans="2:31" ht="14.25" customHeight="1" thickBot="1" x14ac:dyDescent="0.4">
      <c r="B52" s="44" t="s">
        <v>455</v>
      </c>
      <c r="C52" s="45">
        <v>1.081371163753357</v>
      </c>
      <c r="D52" s="45">
        <v>0.89809797232731114</v>
      </c>
      <c r="E52" s="45">
        <v>0.79914996016527085</v>
      </c>
      <c r="F52" s="45">
        <v>1.1385266246069066</v>
      </c>
      <c r="G52" s="45">
        <v>0.82133165382740325</v>
      </c>
      <c r="H52" s="45">
        <v>0.82358841497122515</v>
      </c>
      <c r="I52" s="45">
        <v>0.96731773574967761</v>
      </c>
      <c r="J52" s="45">
        <v>0.90695227043116533</v>
      </c>
      <c r="K52" s="45">
        <v>1.0503812431493602</v>
      </c>
      <c r="L52" s="45">
        <v>1.1011652176559568</v>
      </c>
      <c r="M52" s="45">
        <v>1.1562468968574233</v>
      </c>
      <c r="N52" s="45">
        <v>1.2381339779957199</v>
      </c>
      <c r="O52" s="110">
        <v>1.1290276757146909</v>
      </c>
      <c r="P52" s="110">
        <v>1.1832239513526308</v>
      </c>
      <c r="Q52" s="110">
        <v>1.2685569495834097</v>
      </c>
      <c r="R52" s="110">
        <v>1.5064433538252056</v>
      </c>
      <c r="S52" s="110">
        <v>1.5025577137679642</v>
      </c>
      <c r="T52" s="110">
        <v>1.5590951868511616</v>
      </c>
      <c r="U52" s="110">
        <v>1.6563917949469509</v>
      </c>
      <c r="V52" s="110">
        <v>1.9079324625676934</v>
      </c>
      <c r="W52" s="110">
        <v>1.7184019655612193</v>
      </c>
      <c r="X52" s="110">
        <v>1.7849999999999999</v>
      </c>
      <c r="Z52" s="45">
        <v>3.9178379883072409</v>
      </c>
      <c r="AA52" s="45">
        <v>3.5109639181133363</v>
      </c>
      <c r="AB52" s="45">
        <v>4.5705007087489165</v>
      </c>
      <c r="AC52" s="45">
        <v>5.1045391993033498</v>
      </c>
      <c r="AD52" s="45">
        <v>6.6238000000000001</v>
      </c>
      <c r="AE52" s="24"/>
    </row>
    <row r="53" spans="2:31" ht="14.25" customHeight="1" x14ac:dyDescent="0.35">
      <c r="B53" s="217" t="s">
        <v>80</v>
      </c>
    </row>
    <row r="54" spans="2:31" ht="14.25" customHeight="1" x14ac:dyDescent="0.35">
      <c r="B54" s="218"/>
    </row>
    <row r="57" spans="2:31" ht="14.25" customHeight="1" x14ac:dyDescent="0.35">
      <c r="B57" s="13" t="s">
        <v>81</v>
      </c>
      <c r="C57" s="19"/>
      <c r="D57" s="19"/>
      <c r="E57" s="19"/>
      <c r="F57" s="19"/>
      <c r="G57" s="19"/>
      <c r="H57" s="19"/>
      <c r="I57" s="19"/>
      <c r="J57" s="19"/>
      <c r="K57" s="19"/>
      <c r="L57" s="19"/>
      <c r="M57" s="19"/>
      <c r="N57" s="19"/>
      <c r="O57" s="19"/>
      <c r="P57" s="19"/>
      <c r="Q57" s="19"/>
      <c r="R57" s="19"/>
      <c r="S57" s="19"/>
      <c r="T57" s="19"/>
      <c r="U57" s="19"/>
      <c r="V57" s="19"/>
      <c r="W57" s="19"/>
      <c r="X57" s="19"/>
    </row>
    <row r="58" spans="2:31" ht="14.25" customHeight="1" x14ac:dyDescent="0.35">
      <c r="B58" s="15" t="s">
        <v>1</v>
      </c>
      <c r="C58" s="19"/>
      <c r="D58" s="19"/>
      <c r="E58" s="19"/>
      <c r="F58" s="19"/>
      <c r="G58" s="19"/>
      <c r="H58" s="19"/>
      <c r="I58" s="19"/>
      <c r="J58" s="19"/>
      <c r="K58" s="19"/>
      <c r="L58" s="19"/>
      <c r="M58" s="19"/>
      <c r="N58" s="19"/>
      <c r="O58" s="48"/>
      <c r="P58" s="48"/>
      <c r="Q58" s="48"/>
      <c r="R58" s="48"/>
      <c r="S58" s="48"/>
      <c r="T58" s="48"/>
      <c r="U58" s="48"/>
      <c r="V58" s="48"/>
      <c r="W58" s="48"/>
      <c r="X58" s="48"/>
    </row>
    <row r="59" spans="2:31" ht="14.25" customHeight="1" x14ac:dyDescent="0.35">
      <c r="C59" s="19"/>
      <c r="D59" s="19"/>
      <c r="E59" s="19"/>
      <c r="F59" s="19"/>
      <c r="G59" s="19"/>
      <c r="H59" s="19"/>
      <c r="I59" s="19"/>
      <c r="J59" s="19"/>
      <c r="K59" s="19"/>
      <c r="L59" s="19"/>
      <c r="M59" s="19"/>
      <c r="N59" s="19"/>
      <c r="O59" s="19"/>
      <c r="P59" s="19"/>
      <c r="Q59" s="19"/>
      <c r="R59" s="19"/>
      <c r="S59" s="19"/>
      <c r="T59" s="19"/>
      <c r="U59" s="19"/>
      <c r="V59" s="19"/>
      <c r="W59" s="19"/>
      <c r="X59" s="19"/>
    </row>
    <row r="60" spans="2:31" ht="14.25" customHeight="1" thickBot="1" x14ac:dyDescent="0.4">
      <c r="B60" s="191" t="s">
        <v>82</v>
      </c>
      <c r="C60" s="189" t="s">
        <v>3</v>
      </c>
      <c r="D60" s="189" t="s">
        <v>4</v>
      </c>
      <c r="E60" s="189" t="s">
        <v>5</v>
      </c>
      <c r="F60" s="189" t="s">
        <v>6</v>
      </c>
      <c r="G60" s="189" t="s">
        <v>7</v>
      </c>
      <c r="H60" s="189" t="s">
        <v>8</v>
      </c>
      <c r="I60" s="189" t="s">
        <v>9</v>
      </c>
      <c r="J60" s="189" t="s">
        <v>10</v>
      </c>
      <c r="K60" s="189" t="s">
        <v>11</v>
      </c>
      <c r="L60" s="189" t="s">
        <v>12</v>
      </c>
      <c r="M60" s="189" t="s">
        <v>13</v>
      </c>
      <c r="N60" s="189" t="s">
        <v>14</v>
      </c>
      <c r="O60" s="189" t="s">
        <v>15</v>
      </c>
      <c r="P60" s="189" t="s">
        <v>16</v>
      </c>
      <c r="Q60" s="189" t="s">
        <v>17</v>
      </c>
      <c r="R60" s="189" t="s">
        <v>18</v>
      </c>
      <c r="S60" s="189" t="s">
        <v>19</v>
      </c>
      <c r="T60" s="189" t="str">
        <f>'Operating Metrics - Old_View'!$T$5</f>
        <v>2Q24</v>
      </c>
      <c r="U60" s="189" t="s">
        <v>21</v>
      </c>
      <c r="V60" s="189" t="s">
        <v>22</v>
      </c>
      <c r="W60" s="189" t="s">
        <v>457</v>
      </c>
      <c r="X60" s="189" t="s">
        <v>493</v>
      </c>
      <c r="Z60" s="189">
        <v>2020</v>
      </c>
      <c r="AA60" s="189">
        <v>2021</v>
      </c>
      <c r="AB60" s="189">
        <v>2022</v>
      </c>
      <c r="AC60" s="189">
        <v>2023</v>
      </c>
      <c r="AD60" s="189">
        <v>2024</v>
      </c>
    </row>
    <row r="61" spans="2:31" ht="14.25" customHeight="1" x14ac:dyDescent="0.35">
      <c r="B61" s="23" t="s">
        <v>55</v>
      </c>
      <c r="C61" s="38">
        <v>966.80399999999997</v>
      </c>
      <c r="D61" s="38">
        <v>856.46195540999997</v>
      </c>
      <c r="E61" s="38">
        <v>1211.9705374</v>
      </c>
      <c r="F61" s="38">
        <v>1473.4825925</v>
      </c>
      <c r="G61" s="38">
        <v>1384.9701471299998</v>
      </c>
      <c r="H61" s="38">
        <v>1548.1273838235204</v>
      </c>
      <c r="I61" s="38">
        <v>1792.1644711700003</v>
      </c>
      <c r="J61" s="38">
        <v>2059.54919642</v>
      </c>
      <c r="K61" s="38">
        <v>2054.5835353347502</v>
      </c>
      <c r="L61" s="38">
        <v>2255.6887042754479</v>
      </c>
      <c r="M61" s="38">
        <v>2292.0781641628746</v>
      </c>
      <c r="N61" s="38">
        <v>2304.0569918470851</v>
      </c>
      <c r="O61" s="38">
        <f>'Income Statement'!O6</f>
        <v>2150.9540410960394</v>
      </c>
      <c r="P61" s="38">
        <f>'Income Statement'!P6</f>
        <v>2166.0107382582109</v>
      </c>
      <c r="Q61" s="38">
        <f>'Income Statement'!Q6</f>
        <v>2269.2923264974997</v>
      </c>
      <c r="R61" s="38">
        <f>'Income Statement'!R6</f>
        <v>2440.9286334512267</v>
      </c>
      <c r="S61" s="38">
        <f>'Income Statement'!S6</f>
        <v>2369.3000000000002</v>
      </c>
      <c r="T61" s="38">
        <f>'Income Statement'!T6</f>
        <v>2311.9651108013331</v>
      </c>
      <c r="U61" s="38">
        <f>'Income Statement'!U6</f>
        <v>2259.8755594682116</v>
      </c>
      <c r="V61" s="38">
        <v>2242.1</v>
      </c>
      <c r="W61" s="38">
        <v>2013.9700000000003</v>
      </c>
      <c r="X61" s="38">
        <f>'Income Statement'!X6</f>
        <v>1988.7070000000001</v>
      </c>
      <c r="Z61" s="38">
        <v>4508.7190853100001</v>
      </c>
      <c r="AA61" s="38">
        <v>6784.8111985435207</v>
      </c>
      <c r="AB61" s="38">
        <v>8906.4073956201573</v>
      </c>
      <c r="AC61" s="38">
        <v>9027.2471995829765</v>
      </c>
      <c r="AD61" s="38">
        <v>9183.4406702695451</v>
      </c>
    </row>
    <row r="62" spans="2:31" ht="14.25" customHeight="1" x14ac:dyDescent="0.35">
      <c r="B62" s="23" t="s">
        <v>56</v>
      </c>
      <c r="C62" s="38">
        <v>0</v>
      </c>
      <c r="D62" s="38">
        <v>0</v>
      </c>
      <c r="E62" s="38">
        <v>0</v>
      </c>
      <c r="F62" s="38">
        <v>0</v>
      </c>
      <c r="G62" s="38">
        <v>0</v>
      </c>
      <c r="H62" s="38">
        <v>0</v>
      </c>
      <c r="I62" s="38">
        <v>0</v>
      </c>
      <c r="J62" s="38">
        <v>0</v>
      </c>
      <c r="K62" s="38">
        <v>0</v>
      </c>
      <c r="L62" s="38">
        <v>0</v>
      </c>
      <c r="M62" s="38">
        <v>0</v>
      </c>
      <c r="N62" s="38">
        <v>0</v>
      </c>
      <c r="O62" s="38">
        <f>'Income Statement'!O7</f>
        <v>0</v>
      </c>
      <c r="P62" s="38">
        <f>'Income Statement'!P7</f>
        <v>0</v>
      </c>
      <c r="Q62" s="38">
        <f>'Income Statement'!Q7</f>
        <v>0</v>
      </c>
      <c r="R62" s="38">
        <f>'Income Statement'!R7</f>
        <v>0</v>
      </c>
      <c r="S62" s="38">
        <f>'Income Statement'!S7</f>
        <v>0</v>
      </c>
      <c r="T62" s="38">
        <f>'Income Statement'!T7</f>
        <v>0</v>
      </c>
      <c r="U62" s="38">
        <f>'Income Statement'!U7</f>
        <v>0</v>
      </c>
      <c r="V62" s="38">
        <v>0</v>
      </c>
      <c r="W62" s="38">
        <v>0</v>
      </c>
      <c r="X62" s="38">
        <f>'Income Statement'!X7</f>
        <v>0</v>
      </c>
      <c r="Z62" s="38">
        <v>0</v>
      </c>
      <c r="AA62" s="38">
        <v>0</v>
      </c>
      <c r="AB62" s="38">
        <v>0</v>
      </c>
      <c r="AC62" s="38">
        <v>0</v>
      </c>
      <c r="AD62" s="38">
        <v>0</v>
      </c>
    </row>
    <row r="63" spans="2:31" ht="14.25" customHeight="1" x14ac:dyDescent="0.35">
      <c r="B63" s="23" t="s">
        <v>57</v>
      </c>
      <c r="C63" s="38">
        <v>562.26800000000003</v>
      </c>
      <c r="D63" s="38">
        <v>459.24682897999998</v>
      </c>
      <c r="E63" s="38">
        <v>544.75552987000003</v>
      </c>
      <c r="F63" s="38">
        <v>611.08949536</v>
      </c>
      <c r="G63" s="38">
        <v>656.98271183999998</v>
      </c>
      <c r="H63" s="38">
        <v>786.60893196856</v>
      </c>
      <c r="I63" s="38">
        <v>937.74035872000002</v>
      </c>
      <c r="J63" s="38">
        <v>1133.08032026</v>
      </c>
      <c r="K63" s="38">
        <v>1330.7924400299999</v>
      </c>
      <c r="L63" s="38">
        <v>1610.1014512699999</v>
      </c>
      <c r="M63" s="38">
        <v>1697.2224831200001</v>
      </c>
      <c r="N63" s="38">
        <v>1614.6167977600005</v>
      </c>
      <c r="O63" s="38">
        <f>'Income Statement'!O8</f>
        <v>1534.20182112</v>
      </c>
      <c r="P63" s="38">
        <f>'Income Statement'!P8</f>
        <v>1594.9740162400001</v>
      </c>
      <c r="Q63" s="38">
        <f>'Income Statement'!Q8</f>
        <v>1691.27318769</v>
      </c>
      <c r="R63" s="38">
        <f>'Income Statement'!R8</f>
        <v>1832.59720629</v>
      </c>
      <c r="S63" s="38">
        <f>'Income Statement'!S8</f>
        <v>1832</v>
      </c>
      <c r="T63" s="38">
        <f>'Income Statement'!T8</f>
        <v>2113.0845738100002</v>
      </c>
      <c r="U63" s="38">
        <f>'Income Statement'!U8</f>
        <v>2444.7775322000002</v>
      </c>
      <c r="V63" s="38">
        <v>2760.6</v>
      </c>
      <c r="W63" s="38">
        <v>2697.2999999999997</v>
      </c>
      <c r="X63" s="38">
        <f>'Income Statement'!X8</f>
        <v>2902.268</v>
      </c>
      <c r="Z63" s="38">
        <v>2177.3598542099999</v>
      </c>
      <c r="AA63" s="38">
        <v>3514.4123227885602</v>
      </c>
      <c r="AB63" s="38">
        <v>6252.733172180001</v>
      </c>
      <c r="AC63" s="38">
        <v>6653.0462313400003</v>
      </c>
      <c r="AD63" s="38">
        <v>9150.4621060099998</v>
      </c>
    </row>
    <row r="64" spans="2:31" ht="14.25" customHeight="1" x14ac:dyDescent="0.35">
      <c r="B64" s="23" t="s">
        <v>58</v>
      </c>
      <c r="C64" s="38">
        <v>58.222999999999999</v>
      </c>
      <c r="D64" s="38">
        <v>41.73529061</v>
      </c>
      <c r="E64" s="38">
        <v>24.747167540000003</v>
      </c>
      <c r="F64" s="38">
        <v>3.8891552300000019</v>
      </c>
      <c r="G64" s="38">
        <v>25.247820869999998</v>
      </c>
      <c r="H64" s="38">
        <v>34.86230036792</v>
      </c>
      <c r="I64" s="38">
        <v>45.860542630000005</v>
      </c>
      <c r="J64" s="38">
        <v>43.527518220000005</v>
      </c>
      <c r="K64" s="38">
        <v>41.575661348273591</v>
      </c>
      <c r="L64" s="38">
        <v>44.767461206920004</v>
      </c>
      <c r="M64" s="38">
        <v>46.125531217340701</v>
      </c>
      <c r="N64" s="38">
        <v>43.304396118690697</v>
      </c>
      <c r="O64" s="38">
        <f>'Income Statement'!O9</f>
        <v>64.514456851412689</v>
      </c>
      <c r="P64" s="38">
        <f>'Income Statement'!P9</f>
        <v>64.928017820652315</v>
      </c>
      <c r="Q64" s="38">
        <f>'Income Statement'!Q9</f>
        <v>65.580801565124005</v>
      </c>
      <c r="R64" s="38">
        <f>'Income Statement'!R9</f>
        <v>73.085521428619998</v>
      </c>
      <c r="S64" s="38">
        <f>'Income Statement'!S9</f>
        <v>105.1</v>
      </c>
      <c r="T64" s="38">
        <f>'Income Statement'!T9</f>
        <v>131.65715204309703</v>
      </c>
      <c r="U64" s="38">
        <f>'Income Statement'!U9</f>
        <v>126.83835953043304</v>
      </c>
      <c r="V64" s="38">
        <v>112.4</v>
      </c>
      <c r="W64" s="38">
        <v>138.89000000000001</v>
      </c>
      <c r="X64" s="38">
        <f>'Income Statement'!X9</f>
        <v>167.2</v>
      </c>
      <c r="Z64" s="38">
        <v>128.59461338000003</v>
      </c>
      <c r="AA64" s="38">
        <v>149.49818208791999</v>
      </c>
      <c r="AB64" s="38">
        <v>175.77304989122499</v>
      </c>
      <c r="AC64" s="38">
        <v>268.10879766580899</v>
      </c>
      <c r="AD64" s="38">
        <v>475.79551157353012</v>
      </c>
    </row>
    <row r="65" spans="2:30" ht="14.25" customHeight="1" x14ac:dyDescent="0.35">
      <c r="B65" s="39" t="s">
        <v>59</v>
      </c>
      <c r="C65" s="40">
        <v>1587.2950000000001</v>
      </c>
      <c r="D65" s="40">
        <v>1357.4440749999999</v>
      </c>
      <c r="E65" s="40">
        <v>1781.4732348099999</v>
      </c>
      <c r="F65" s="40">
        <v>2088.4612430900002</v>
      </c>
      <c r="G65" s="40">
        <v>2067.2006798399998</v>
      </c>
      <c r="H65" s="40">
        <v>2369.5986161600003</v>
      </c>
      <c r="I65" s="40">
        <v>2775.7653725200003</v>
      </c>
      <c r="J65" s="40">
        <v>3236.1570348999999</v>
      </c>
      <c r="K65" s="40">
        <v>3426.9516367130236</v>
      </c>
      <c r="L65" s="40">
        <v>3910.5576167523677</v>
      </c>
      <c r="M65" s="40">
        <v>4035.4261785002154</v>
      </c>
      <c r="N65" s="40">
        <v>3961.9781857257763</v>
      </c>
      <c r="O65" s="40">
        <f t="shared" ref="O65:U65" si="39">SUM(O61:O64)</f>
        <v>3749.6703190674521</v>
      </c>
      <c r="P65" s="40">
        <f t="shared" si="39"/>
        <v>3825.9127723188635</v>
      </c>
      <c r="Q65" s="40">
        <f t="shared" si="39"/>
        <v>4026.1463157526237</v>
      </c>
      <c r="R65" s="40">
        <f t="shared" si="39"/>
        <v>4346.6113611698474</v>
      </c>
      <c r="S65" s="40">
        <f t="shared" si="39"/>
        <v>4306.4000000000005</v>
      </c>
      <c r="T65" s="40">
        <f t="shared" si="39"/>
        <v>4556.7068366544299</v>
      </c>
      <c r="U65" s="40">
        <f t="shared" si="39"/>
        <v>4831.4914511986444</v>
      </c>
      <c r="V65" s="40">
        <v>5115.0999999999995</v>
      </c>
      <c r="W65" s="40">
        <v>4850.1600000000008</v>
      </c>
      <c r="X65" s="40">
        <f t="shared" ref="X65" si="40">SUM(X61:X64)</f>
        <v>5058.1750000000002</v>
      </c>
      <c r="Z65" s="40">
        <v>6814.6735528999998</v>
      </c>
      <c r="AA65" s="40">
        <v>10448.72170342</v>
      </c>
      <c r="AB65" s="40">
        <v>15334.913617691383</v>
      </c>
      <c r="AC65" s="40">
        <v>15948.402228588786</v>
      </c>
      <c r="AD65" s="40">
        <v>18809.632000000001</v>
      </c>
    </row>
    <row r="66" spans="2:30" ht="14.25" customHeight="1" x14ac:dyDescent="0.35">
      <c r="B66" s="23" t="s">
        <v>60</v>
      </c>
      <c r="C66" s="38">
        <v>-432.66913864000003</v>
      </c>
      <c r="D66" s="38">
        <v>-419.30907051000003</v>
      </c>
      <c r="E66" s="38">
        <v>-597.68101764000005</v>
      </c>
      <c r="F66" s="38">
        <v>-668.18102446</v>
      </c>
      <c r="G66" s="38">
        <v>-705.72533735999991</v>
      </c>
      <c r="H66" s="38">
        <v>-828.1497832199999</v>
      </c>
      <c r="I66" s="38">
        <v>-985.19428348000008</v>
      </c>
      <c r="J66" s="38">
        <v>-1177.9458189100001</v>
      </c>
      <c r="K66" s="38">
        <v>-1230.4000000000001</v>
      </c>
      <c r="L66" s="38">
        <v>-1365.0646223700001</v>
      </c>
      <c r="M66" s="38">
        <v>-1379.5255140400004</v>
      </c>
      <c r="N66" s="38">
        <v>-1412.52476482</v>
      </c>
      <c r="O66" s="38">
        <f>'Income Statement'!O11</f>
        <v>-1338.17849682</v>
      </c>
      <c r="P66" s="38">
        <f>'Income Statement'!P11</f>
        <v>-1357.0185106399999</v>
      </c>
      <c r="Q66" s="38">
        <f>'Income Statement'!Q11</f>
        <v>-1449.9760000000001</v>
      </c>
      <c r="R66" s="38">
        <f>'Income Statement'!R11</f>
        <v>-1629.49450424</v>
      </c>
      <c r="S66" s="38">
        <f>'Income Statement'!S11</f>
        <v>-1591.248</v>
      </c>
      <c r="T66" s="38">
        <f>'Income Statement'!T11</f>
        <v>-1728.2859811400001</v>
      </c>
      <c r="U66" s="38">
        <f>'Income Statement'!U11</f>
        <v>-1827.3582798199998</v>
      </c>
      <c r="V66" s="38">
        <v>-1903.3000000000002</v>
      </c>
      <c r="W66" s="38">
        <v>-1696.1450661900003</v>
      </c>
      <c r="X66" s="38">
        <f>'Income Statement'!X11</f>
        <v>-1719.0039999999999</v>
      </c>
      <c r="Z66" s="38">
        <v>-2117.8402512500002</v>
      </c>
      <c r="AA66" s="38">
        <v>-3697.0152229700002</v>
      </c>
      <c r="AB66" s="38">
        <v>-5387.5149012300008</v>
      </c>
      <c r="AC66" s="38">
        <v>-5774.6675116999995</v>
      </c>
      <c r="AD66" s="38">
        <v>-7050.1922609599997</v>
      </c>
    </row>
    <row r="67" spans="2:30" ht="14.25" customHeight="1" x14ac:dyDescent="0.35">
      <c r="B67" s="41" t="s">
        <v>61</v>
      </c>
      <c r="C67" s="42">
        <v>1154.62586136</v>
      </c>
      <c r="D67" s="42">
        <v>938.1350044899998</v>
      </c>
      <c r="E67" s="42">
        <v>1183.7922171699997</v>
      </c>
      <c r="F67" s="42">
        <v>1420.28021863</v>
      </c>
      <c r="G67" s="42">
        <v>1361.4753424799999</v>
      </c>
      <c r="H67" s="42">
        <v>1541.4488329400006</v>
      </c>
      <c r="I67" s="42">
        <v>1790.5710890400001</v>
      </c>
      <c r="J67" s="42">
        <v>2058.2112159899998</v>
      </c>
      <c r="K67" s="42">
        <v>2196.5516367130235</v>
      </c>
      <c r="L67" s="42">
        <v>2545.4929943823677</v>
      </c>
      <c r="M67" s="42">
        <v>2655.900664460215</v>
      </c>
      <c r="N67" s="42">
        <v>2549.4534209057765</v>
      </c>
      <c r="O67" s="42">
        <f t="shared" ref="O67:U67" si="41">SUM(O65:O66)</f>
        <v>2411.4918222474521</v>
      </c>
      <c r="P67" s="42">
        <f t="shared" si="41"/>
        <v>2468.8942616788636</v>
      </c>
      <c r="Q67" s="42">
        <f t="shared" si="41"/>
        <v>2576.1703157526235</v>
      </c>
      <c r="R67" s="42">
        <f t="shared" si="41"/>
        <v>2717.1168569298475</v>
      </c>
      <c r="S67" s="42">
        <f t="shared" si="41"/>
        <v>2715.1520000000005</v>
      </c>
      <c r="T67" s="42">
        <f t="shared" si="41"/>
        <v>2828.4208555144296</v>
      </c>
      <c r="U67" s="42">
        <f t="shared" si="41"/>
        <v>3004.1331713786449</v>
      </c>
      <c r="V67" s="42">
        <v>3211.7999999999993</v>
      </c>
      <c r="W67" s="42">
        <v>3154.0149338100005</v>
      </c>
      <c r="X67" s="42">
        <f t="shared" ref="X67" si="42">SUM(X65:X66)</f>
        <v>3339.1710000000003</v>
      </c>
      <c r="Z67" s="42">
        <v>4696.8333016500001</v>
      </c>
      <c r="AA67" s="42">
        <v>6751.7064804500005</v>
      </c>
      <c r="AB67" s="42">
        <v>9947.3987164613827</v>
      </c>
      <c r="AC67" s="42">
        <v>10173.7334883</v>
      </c>
      <c r="AD67" s="42">
        <v>11759.506026893076</v>
      </c>
    </row>
    <row r="68" spans="2:30" ht="14.25" customHeight="1" x14ac:dyDescent="0.35">
      <c r="B68" s="23" t="s">
        <v>62</v>
      </c>
      <c r="C68" s="38">
        <v>-766.43397315629147</v>
      </c>
      <c r="D68" s="38">
        <v>-790.95494540012396</v>
      </c>
      <c r="E68" s="38">
        <v>-1051.9737155136054</v>
      </c>
      <c r="F68" s="38">
        <v>-1142.8018384610759</v>
      </c>
      <c r="G68" s="38">
        <v>-1140.3503933299999</v>
      </c>
      <c r="H68" s="38">
        <v>-1286.7597598099994</v>
      </c>
      <c r="I68" s="38">
        <v>-1490.5139967202215</v>
      </c>
      <c r="J68" s="38">
        <v>-1829.6753082749597</v>
      </c>
      <c r="K68" s="38">
        <v>-1737.2330300554286</v>
      </c>
      <c r="L68" s="38">
        <v>-1896.279752387899</v>
      </c>
      <c r="M68" s="38">
        <v>-1911.2215280973835</v>
      </c>
      <c r="N68" s="38">
        <v>-1973.5859466305994</v>
      </c>
      <c r="O68" s="38">
        <v>-1923.358824471243</v>
      </c>
      <c r="P68" s="38">
        <v>-1923.4810227896301</v>
      </c>
      <c r="Q68" s="38">
        <v>-2028.1064853585278</v>
      </c>
      <c r="R68" s="38">
        <v>-2240.4221437534479</v>
      </c>
      <c r="S68" s="38">
        <v>-2164.5</v>
      </c>
      <c r="T68" s="38">
        <v>-2326.1616309162641</v>
      </c>
      <c r="U68" s="38">
        <v>-2448.6195110068966</v>
      </c>
      <c r="V68" s="38">
        <v>-2579.8000000000002</v>
      </c>
      <c r="W68" s="38">
        <v>-2351.73</v>
      </c>
      <c r="X68" s="38">
        <v>-2398.7080000000001</v>
      </c>
      <c r="Z68" s="38">
        <v>-3752.1644725310966</v>
      </c>
      <c r="AA68" s="38">
        <v>-5747.2994581351795</v>
      </c>
      <c r="AB68" s="38">
        <v>-7518.32025717131</v>
      </c>
      <c r="AC68" s="38">
        <v>-8115.3684763728488</v>
      </c>
      <c r="AD68" s="38">
        <v>-9519.0811419231613</v>
      </c>
    </row>
    <row r="69" spans="2:30" ht="14.25" customHeight="1" x14ac:dyDescent="0.35">
      <c r="B69" s="23" t="s">
        <v>63</v>
      </c>
      <c r="C69" s="38">
        <v>-189.02172147000007</v>
      </c>
      <c r="D69" s="38">
        <v>-111.2020689</v>
      </c>
      <c r="E69" s="38">
        <v>-151.24679311074817</v>
      </c>
      <c r="F69" s="38">
        <v>-164.90004613999997</v>
      </c>
      <c r="G69" s="38">
        <v>-367.4044005099999</v>
      </c>
      <c r="H69" s="38">
        <v>-363.61813285000011</v>
      </c>
      <c r="I69" s="38">
        <v>-367.77592805999996</v>
      </c>
      <c r="J69" s="38">
        <v>-423.75340623000017</v>
      </c>
      <c r="K69" s="38">
        <v>-480.36881487000016</v>
      </c>
      <c r="L69" s="38">
        <v>-499.05672714792001</v>
      </c>
      <c r="M69" s="38">
        <v>-530.83918260208009</v>
      </c>
      <c r="N69" s="38">
        <v>-435.4844150400001</v>
      </c>
      <c r="O69" s="38">
        <v>-316.15812327999998</v>
      </c>
      <c r="P69" s="38">
        <v>-319.93114542000001</v>
      </c>
      <c r="Q69" s="38">
        <v>-376.71205175291129</v>
      </c>
      <c r="R69" s="38">
        <v>-410.62133911130098</v>
      </c>
      <c r="S69" s="38">
        <v>-435.3</v>
      </c>
      <c r="T69" s="38">
        <v>-466.03814073824435</v>
      </c>
      <c r="U69" s="38">
        <v>-485.19238271329613</v>
      </c>
      <c r="V69" s="38">
        <v>-444.1</v>
      </c>
      <c r="W69" s="38">
        <v>-419.66</v>
      </c>
      <c r="X69" s="38">
        <v>-455.464</v>
      </c>
      <c r="Z69" s="38">
        <v>-616.37062962074822</v>
      </c>
      <c r="AA69" s="38">
        <v>-1522.5518676500001</v>
      </c>
      <c r="AB69" s="38">
        <v>-1945.7491396600005</v>
      </c>
      <c r="AC69" s="38">
        <v>-1423.4226595642124</v>
      </c>
      <c r="AD69" s="38">
        <v>-1830.6305234515407</v>
      </c>
    </row>
    <row r="70" spans="2:30" ht="14.25" customHeight="1" x14ac:dyDescent="0.35">
      <c r="B70" s="23" t="s">
        <v>64</v>
      </c>
      <c r="C70" s="38">
        <v>-72.692734631067509</v>
      </c>
      <c r="D70" s="38">
        <v>-80.469736247457703</v>
      </c>
      <c r="E70" s="38">
        <v>-101.36568897941837</v>
      </c>
      <c r="F70" s="38">
        <v>-115.3675662416091</v>
      </c>
      <c r="G70" s="38">
        <v>-110.97455118701865</v>
      </c>
      <c r="H70" s="38">
        <v>-125.6344521571414</v>
      </c>
      <c r="I70" s="38">
        <v>-137.5041391002469</v>
      </c>
      <c r="J70" s="38">
        <v>-142.94345299379069</v>
      </c>
      <c r="K70" s="38">
        <v>-135.38997127813175</v>
      </c>
      <c r="L70" s="38">
        <v>-152.79090438265251</v>
      </c>
      <c r="M70" s="38">
        <v>-141.14743776762396</v>
      </c>
      <c r="N70" s="38">
        <v>-114.93631075578952</v>
      </c>
      <c r="O70" s="38">
        <v>-145.45903309159758</v>
      </c>
      <c r="P70" s="38">
        <v>-161.7510103771329</v>
      </c>
      <c r="Q70" s="38">
        <v>-165.6751851531757</v>
      </c>
      <c r="R70" s="38">
        <v>-107.48520664839468</v>
      </c>
      <c r="S70" s="38">
        <v>-178.9</v>
      </c>
      <c r="T70" s="38">
        <v>-165.43767310884576</v>
      </c>
      <c r="U70" s="38">
        <v>-214.99547379893485</v>
      </c>
      <c r="V70" s="38">
        <v>-237.2</v>
      </c>
      <c r="W70" s="38">
        <v>-211.17</v>
      </c>
      <c r="X70" s="38">
        <v>-192.73599999999999</v>
      </c>
      <c r="Z70" s="38">
        <v>-369.89572609955269</v>
      </c>
      <c r="AA70" s="38">
        <v>-517.05659543819763</v>
      </c>
      <c r="AB70" s="38">
        <v>-544.26462418419783</v>
      </c>
      <c r="AC70" s="38">
        <v>-580.37043527030085</v>
      </c>
      <c r="AD70" s="38">
        <v>-796.53314690778052</v>
      </c>
    </row>
    <row r="71" spans="2:30" ht="14.25" customHeight="1" x14ac:dyDescent="0.35">
      <c r="B71" s="23" t="s">
        <v>65</v>
      </c>
      <c r="C71" s="38">
        <v>-45.561989969999999</v>
      </c>
      <c r="D71" s="38">
        <v>-17.872832000000002</v>
      </c>
      <c r="E71" s="38">
        <v>-16.255824969999999</v>
      </c>
      <c r="F71" s="38">
        <v>-29.542062089999998</v>
      </c>
      <c r="G71" s="38">
        <v>-44.387658880000004</v>
      </c>
      <c r="H71" s="38">
        <v>-133.78472766000002</v>
      </c>
      <c r="I71" s="38">
        <v>-209.82270677</v>
      </c>
      <c r="J71" s="38">
        <v>-402.64024504000008</v>
      </c>
      <c r="K71" s="38">
        <v>-620.62783420999995</v>
      </c>
      <c r="L71" s="38">
        <v>-755.55951044419521</v>
      </c>
      <c r="M71" s="38">
        <v>-920.65559389805787</v>
      </c>
      <c r="N71" s="38">
        <v>-854.70929850153198</v>
      </c>
      <c r="O71" s="38">
        <v>-812.97072455971465</v>
      </c>
      <c r="P71" s="38">
        <v>-795.59708287411797</v>
      </c>
      <c r="Q71" s="38">
        <v>-819.93723811776601</v>
      </c>
      <c r="R71" s="38">
        <v>-841.02085084668261</v>
      </c>
      <c r="S71" s="38">
        <v>-827.1</v>
      </c>
      <c r="T71" s="38">
        <v>-863.42093072595935</v>
      </c>
      <c r="U71" s="38">
        <v>-964.33487348606718</v>
      </c>
      <c r="V71" s="38">
        <v>-1091.8</v>
      </c>
      <c r="W71" s="38">
        <v>-1177.82</v>
      </c>
      <c r="X71" s="38">
        <v>-1279.5229999999999</v>
      </c>
      <c r="Z71" s="38">
        <v>-109.23270903</v>
      </c>
      <c r="AA71" s="38">
        <v>-790.6353383500001</v>
      </c>
      <c r="AB71" s="38">
        <v>-3151.5522370537851</v>
      </c>
      <c r="AC71" s="38">
        <v>-3269.525896398281</v>
      </c>
      <c r="AD71" s="38">
        <v>-3746.6558042120269</v>
      </c>
    </row>
    <row r="72" spans="2:30" ht="14.25" customHeight="1" x14ac:dyDescent="0.35">
      <c r="B72" s="23" t="s">
        <v>66</v>
      </c>
      <c r="C72" s="38">
        <v>-2.1362158828138988</v>
      </c>
      <c r="D72" s="38">
        <v>71.608477285768799</v>
      </c>
      <c r="E72" s="38">
        <v>-7.0594669231116995</v>
      </c>
      <c r="F72" s="38">
        <v>-39.510960715997896</v>
      </c>
      <c r="G72" s="38">
        <v>40.805913145522908</v>
      </c>
      <c r="H72" s="38">
        <v>-10.9809087063029</v>
      </c>
      <c r="I72" s="38">
        <v>-1.8207161852889984</v>
      </c>
      <c r="J72" s="38">
        <v>-18.731709350132988</v>
      </c>
      <c r="K72" s="38">
        <v>-4.4909407399715988</v>
      </c>
      <c r="L72" s="38">
        <v>-108.95051018351148</v>
      </c>
      <c r="M72" s="38">
        <v>-59.251504813063299</v>
      </c>
      <c r="N72" s="38">
        <v>-102.88369263345358</v>
      </c>
      <c r="O72" s="38">
        <v>-82.162866403490014</v>
      </c>
      <c r="P72" s="38">
        <v>-94.116981228968001</v>
      </c>
      <c r="Q72" s="38">
        <v>-78.98940416088351</v>
      </c>
      <c r="R72" s="38">
        <v>-114.1110271727285</v>
      </c>
      <c r="S72" s="38">
        <v>-68.2</v>
      </c>
      <c r="T72" s="38">
        <v>-99.850471042989994</v>
      </c>
      <c r="U72" s="38">
        <v>-62.756033844889991</v>
      </c>
      <c r="V72" s="38">
        <v>-77.099999999999994</v>
      </c>
      <c r="W72" s="38">
        <v>-66.209999999999994</v>
      </c>
      <c r="X72" s="38">
        <v>-72.606999999999999</v>
      </c>
      <c r="Z72" s="38">
        <v>22.901833763845303</v>
      </c>
      <c r="AA72" s="38">
        <v>9.2725789037980242</v>
      </c>
      <c r="AB72" s="38">
        <v>-275.57664836999993</v>
      </c>
      <c r="AC72" s="38">
        <v>-369.38027896607002</v>
      </c>
      <c r="AD72" s="38">
        <v>-307.90650488788003</v>
      </c>
    </row>
    <row r="73" spans="2:30" ht="14.25" customHeight="1" x14ac:dyDescent="0.35">
      <c r="B73" s="39" t="s">
        <v>67</v>
      </c>
      <c r="C73" s="40">
        <v>-1075.8466351101731</v>
      </c>
      <c r="D73" s="40">
        <v>-928.89110526181287</v>
      </c>
      <c r="E73" s="40">
        <v>-1327.9014894968836</v>
      </c>
      <c r="F73" s="40">
        <v>-1492.1224736486829</v>
      </c>
      <c r="G73" s="40">
        <v>-1622.3110907614955</v>
      </c>
      <c r="H73" s="40">
        <v>-1920.7779811834439</v>
      </c>
      <c r="I73" s="40">
        <v>-2207.4374868357572</v>
      </c>
      <c r="J73" s="40">
        <v>-2817.7441218888835</v>
      </c>
      <c r="K73" s="40">
        <v>-2978.1105911535319</v>
      </c>
      <c r="L73" s="40">
        <v>-3412.6374045461785</v>
      </c>
      <c r="M73" s="40">
        <v>-3563.1152471782084</v>
      </c>
      <c r="N73" s="40">
        <v>-3481.5996635613747</v>
      </c>
      <c r="O73" s="40">
        <f t="shared" ref="O73:U73" si="43">SUM(O68:O72)</f>
        <v>-3280.1095718060456</v>
      </c>
      <c r="P73" s="40">
        <f t="shared" si="43"/>
        <v>-3294.877242689849</v>
      </c>
      <c r="Q73" s="40">
        <f t="shared" si="43"/>
        <v>-3469.4203645432644</v>
      </c>
      <c r="R73" s="40">
        <f t="shared" si="43"/>
        <v>-3713.6605675325545</v>
      </c>
      <c r="S73" s="40">
        <f t="shared" si="43"/>
        <v>-3674</v>
      </c>
      <c r="T73" s="40">
        <f t="shared" si="43"/>
        <v>-3920.9088465323039</v>
      </c>
      <c r="U73" s="40">
        <f t="shared" si="43"/>
        <v>-4175.8982748500848</v>
      </c>
      <c r="V73" s="40">
        <v>-4430</v>
      </c>
      <c r="W73" s="40">
        <v>-4226.59</v>
      </c>
      <c r="X73" s="40">
        <f t="shared" ref="X73" si="44">SUM(X68:X72)</f>
        <v>-4399.0379999999996</v>
      </c>
      <c r="Z73" s="40">
        <v>-4824.7617035175517</v>
      </c>
      <c r="AA73" s="40">
        <v>-8568.2706806695787</v>
      </c>
      <c r="AB73" s="40">
        <v>-13435.462906439294</v>
      </c>
      <c r="AC73" s="40">
        <v>-13758.067746571713</v>
      </c>
      <c r="AD73" s="40">
        <v>-16200.80712138239</v>
      </c>
    </row>
    <row r="74" spans="2:30" ht="14.25" customHeight="1" x14ac:dyDescent="0.35">
      <c r="B74" s="41" t="s">
        <v>68</v>
      </c>
      <c r="C74" s="42">
        <v>-643.17749647017308</v>
      </c>
      <c r="D74" s="42">
        <v>-509.58203475181284</v>
      </c>
      <c r="E74" s="42">
        <v>-730.22047185688359</v>
      </c>
      <c r="F74" s="42">
        <v>-823.9414491886829</v>
      </c>
      <c r="G74" s="42">
        <v>-916.58575340149559</v>
      </c>
      <c r="H74" s="42">
        <v>-1092.6281979634441</v>
      </c>
      <c r="I74" s="42">
        <v>-1222.243203355757</v>
      </c>
      <c r="J74" s="42">
        <v>-1639.7983029788834</v>
      </c>
      <c r="K74" s="42">
        <v>-1747.7105911535318</v>
      </c>
      <c r="L74" s="42">
        <v>-2047.5727821761784</v>
      </c>
      <c r="M74" s="42">
        <v>-2183.589733138208</v>
      </c>
      <c r="N74" s="42">
        <v>-2069.0748987413745</v>
      </c>
      <c r="O74" s="42">
        <f t="shared" ref="O74:U74" si="45">O73-O66</f>
        <v>-1941.9310749860456</v>
      </c>
      <c r="P74" s="42">
        <f t="shared" si="45"/>
        <v>-1937.8587320498491</v>
      </c>
      <c r="Q74" s="42">
        <f t="shared" si="45"/>
        <v>-2019.4443645432643</v>
      </c>
      <c r="R74" s="42">
        <f t="shared" si="45"/>
        <v>-2084.1660632925546</v>
      </c>
      <c r="S74" s="42">
        <f t="shared" si="45"/>
        <v>-2082.752</v>
      </c>
      <c r="T74" s="42">
        <f t="shared" si="45"/>
        <v>-2192.6228653923035</v>
      </c>
      <c r="U74" s="42">
        <f t="shared" si="45"/>
        <v>-2348.5399950300853</v>
      </c>
      <c r="V74" s="42">
        <v>-2526.6999999999998</v>
      </c>
      <c r="W74" s="42">
        <v>-2530.4449338099998</v>
      </c>
      <c r="X74" s="42">
        <f t="shared" ref="X74" si="46">X73-X66</f>
        <v>-2680.0339999999997</v>
      </c>
      <c r="Z74" s="42">
        <v>-2706.9214522675516</v>
      </c>
      <c r="AA74" s="42">
        <v>-4871.255457699579</v>
      </c>
      <c r="AB74" s="42">
        <v>-8047.9480052092931</v>
      </c>
      <c r="AC74" s="42">
        <v>-7983.4002348717131</v>
      </c>
      <c r="AD74" s="42">
        <v>-9150.614860422389</v>
      </c>
    </row>
    <row r="75" spans="2:30" ht="14.25" customHeight="1" x14ac:dyDescent="0.35">
      <c r="B75" s="23" t="s">
        <v>69</v>
      </c>
      <c r="C75" s="38">
        <v>-59.6</v>
      </c>
      <c r="D75" s="38">
        <v>-81.400000000000006</v>
      </c>
      <c r="E75" s="38">
        <v>-101.52798060813829</v>
      </c>
      <c r="F75" s="38">
        <v>-133.82178216510505</v>
      </c>
      <c r="G75" s="38">
        <v>-158.29787135049457</v>
      </c>
      <c r="H75" s="38">
        <v>-181.52033899584535</v>
      </c>
      <c r="I75" s="38">
        <v>-203.27671777909396</v>
      </c>
      <c r="J75" s="38">
        <v>-225.5</v>
      </c>
      <c r="K75" s="38">
        <v>-244.44451568182447</v>
      </c>
      <c r="L75" s="38">
        <v>-275.94960032732956</v>
      </c>
      <c r="M75" s="38">
        <v>-289.83843660615406</v>
      </c>
      <c r="N75" s="38">
        <v>-270.16619773336492</v>
      </c>
      <c r="O75" s="38">
        <v>-302.60447465451784</v>
      </c>
      <c r="P75" s="38">
        <v>-309.56429751683811</v>
      </c>
      <c r="Q75" s="38">
        <v>-328.91466443103997</v>
      </c>
      <c r="R75" s="38">
        <v>-348.54911450637934</v>
      </c>
      <c r="S75" s="38">
        <v>-352.93785671739562</v>
      </c>
      <c r="T75" s="38">
        <v>-371.35922077677913</v>
      </c>
      <c r="U75" s="38">
        <v>-392.30224352028711</v>
      </c>
      <c r="V75" s="38">
        <v>-404.88766565582642</v>
      </c>
      <c r="W75" s="38">
        <v>-418.01002198498878</v>
      </c>
      <c r="X75" s="38">
        <v>-451.846</v>
      </c>
      <c r="Z75" s="38">
        <v>-376.34976277324336</v>
      </c>
      <c r="AA75" s="38">
        <v>-768.59492812543385</v>
      </c>
      <c r="AB75" s="38">
        <v>-1080.398750348673</v>
      </c>
      <c r="AC75" s="38">
        <v>-1289.6325511087753</v>
      </c>
      <c r="AD75" s="38">
        <v>-1521.4869866702884</v>
      </c>
    </row>
    <row r="76" spans="2:30" ht="14.25" customHeight="1" x14ac:dyDescent="0.35">
      <c r="B76" s="43" t="s">
        <v>70</v>
      </c>
      <c r="C76" s="40">
        <v>511.44836488982696</v>
      </c>
      <c r="D76" s="40">
        <v>428.55296973818702</v>
      </c>
      <c r="E76" s="40">
        <v>453.57174531311625</v>
      </c>
      <c r="F76" s="40">
        <v>596.33876944131725</v>
      </c>
      <c r="G76" s="40">
        <v>444.88958907850429</v>
      </c>
      <c r="H76" s="40">
        <v>448.82063497655645</v>
      </c>
      <c r="I76" s="40">
        <v>568.32788568424303</v>
      </c>
      <c r="J76" s="40">
        <v>418.41291301111642</v>
      </c>
      <c r="K76" s="40">
        <v>448.8410455594917</v>
      </c>
      <c r="L76" s="40">
        <v>497.92021220618926</v>
      </c>
      <c r="M76" s="40">
        <v>472.31093132200704</v>
      </c>
      <c r="N76" s="40">
        <v>480.3785221644016</v>
      </c>
      <c r="O76" s="40">
        <f t="shared" ref="O76:U76" si="47">SUM(O65,O73)</f>
        <v>469.5607472614065</v>
      </c>
      <c r="P76" s="40">
        <f t="shared" si="47"/>
        <v>531.03552962901449</v>
      </c>
      <c r="Q76" s="40">
        <f t="shared" si="47"/>
        <v>556.72595120935921</v>
      </c>
      <c r="R76" s="40">
        <f t="shared" si="47"/>
        <v>632.95079363729292</v>
      </c>
      <c r="S76" s="40">
        <f t="shared" si="47"/>
        <v>632.40000000000055</v>
      </c>
      <c r="T76" s="40">
        <f t="shared" si="47"/>
        <v>635.79799012212607</v>
      </c>
      <c r="U76" s="40">
        <f t="shared" si="47"/>
        <v>655.59317634855961</v>
      </c>
      <c r="V76" s="40">
        <v>685.09999999999945</v>
      </c>
      <c r="W76" s="40">
        <v>623.57000000000062</v>
      </c>
      <c r="X76" s="40">
        <f t="shared" ref="X76" si="48">SUM(X65,X73)</f>
        <v>659.13700000000063</v>
      </c>
      <c r="Z76" s="40">
        <v>1989.9118493824481</v>
      </c>
      <c r="AA76" s="40">
        <v>1880.4510227504215</v>
      </c>
      <c r="AB76" s="40">
        <v>1899.4507112520901</v>
      </c>
      <c r="AC76" s="40">
        <v>2190.3344820170728</v>
      </c>
      <c r="AD76" s="40">
        <v>2608.8911664706848</v>
      </c>
    </row>
    <row r="77" spans="2:30" ht="14.25" customHeight="1" x14ac:dyDescent="0.35">
      <c r="B77" s="23" t="s">
        <v>71</v>
      </c>
      <c r="C77" s="38">
        <v>-3.8010000000000002</v>
      </c>
      <c r="D77" s="38">
        <v>-17.967309220000001</v>
      </c>
      <c r="E77" s="38">
        <v>-13.348372850000001</v>
      </c>
      <c r="F77" s="38">
        <v>-27.72347838</v>
      </c>
      <c r="G77" s="38">
        <v>-19.966078590000002</v>
      </c>
      <c r="H77" s="38">
        <v>-1.6723257500000024</v>
      </c>
      <c r="I77" s="38">
        <v>-7.6513361499999979</v>
      </c>
      <c r="J77" s="38">
        <v>-90.511513999999991</v>
      </c>
      <c r="K77" s="38">
        <v>-27.06713447445</v>
      </c>
      <c r="L77" s="38">
        <v>0.52970634000000061</v>
      </c>
      <c r="M77" s="38">
        <v>1.6036812300000012</v>
      </c>
      <c r="N77" s="38">
        <v>-34.200310139999999</v>
      </c>
      <c r="O77" s="38">
        <v>-18.055750150000001</v>
      </c>
      <c r="P77" s="38">
        <v>-42.238788030000002</v>
      </c>
      <c r="Q77" s="38">
        <v>-16.83688190870496</v>
      </c>
      <c r="R77" s="38">
        <v>-24.731198596931002</v>
      </c>
      <c r="S77" s="38">
        <v>-23.3</v>
      </c>
      <c r="T77" s="38">
        <v>-131.28900071058777</v>
      </c>
      <c r="U77" s="38">
        <v>-11.153998387729771</v>
      </c>
      <c r="V77" s="38">
        <v>-95.385751149158779</v>
      </c>
      <c r="W77" s="38">
        <v>-149.66575114915878</v>
      </c>
      <c r="X77" s="38">
        <v>-139.84700000000001</v>
      </c>
      <c r="Z77" s="38">
        <v>-62.840160449999999</v>
      </c>
      <c r="AA77" s="38">
        <v>-119.80125448999999</v>
      </c>
      <c r="AB77" s="38">
        <v>-59.134057044449996</v>
      </c>
      <c r="AC77" s="38">
        <v>-101.86261868563597</v>
      </c>
      <c r="AD77" s="38">
        <v>-261.1714968</v>
      </c>
    </row>
    <row r="78" spans="2:30" ht="14.25" customHeight="1" x14ac:dyDescent="0.35">
      <c r="B78" s="23" t="s">
        <v>72</v>
      </c>
      <c r="C78" s="38">
        <v>-140.63913967295048</v>
      </c>
      <c r="D78" s="38">
        <v>-103.59580719024021</v>
      </c>
      <c r="E78" s="38">
        <v>-109.84112932582373</v>
      </c>
      <c r="F78" s="38">
        <v>-138.5701954466</v>
      </c>
      <c r="G78" s="38">
        <v>-97.802029774549993</v>
      </c>
      <c r="H78" s="38">
        <v>-101.98019480585</v>
      </c>
      <c r="I78" s="38">
        <v>-142.01275385921988</v>
      </c>
      <c r="J78" s="38">
        <v>6.428430311157264</v>
      </c>
      <c r="K78" s="38">
        <v>-50.4896310309</v>
      </c>
      <c r="L78" s="38">
        <v>-95.088695377949989</v>
      </c>
      <c r="M78" s="38">
        <v>-62.600576430117925</v>
      </c>
      <c r="N78" s="38">
        <v>-34.88064682109372</v>
      </c>
      <c r="O78" s="38">
        <v>-59.556202133216487</v>
      </c>
      <c r="P78" s="38">
        <v>-73.4814808361117</v>
      </c>
      <c r="Q78" s="38">
        <v>-99.7173938026325</v>
      </c>
      <c r="R78" s="38">
        <v>-87.722351596394844</v>
      </c>
      <c r="S78" s="38">
        <v>-86.9</v>
      </c>
      <c r="T78" s="38">
        <v>37.477841199310539</v>
      </c>
      <c r="U78" s="38">
        <v>-72.318485289578547</v>
      </c>
      <c r="V78" s="38">
        <v>41.6</v>
      </c>
      <c r="W78" s="38">
        <v>80.02</v>
      </c>
      <c r="X78" s="38">
        <v>45.779000000000003</v>
      </c>
      <c r="Z78" s="38">
        <v>-492.64627163561443</v>
      </c>
      <c r="AA78" s="38">
        <v>-335.36654812846257</v>
      </c>
      <c r="AB78" s="38">
        <v>-243.05954966006163</v>
      </c>
      <c r="AC78" s="38">
        <v>-320.4774283683555</v>
      </c>
      <c r="AD78" s="38">
        <v>-80.140644090268012</v>
      </c>
    </row>
    <row r="79" spans="2:30" ht="14.25" customHeight="1" x14ac:dyDescent="0.35">
      <c r="B79" s="43" t="s">
        <v>73</v>
      </c>
      <c r="C79" s="40">
        <v>-144.44013967295047</v>
      </c>
      <c r="D79" s="40">
        <v>-121.56311641024021</v>
      </c>
      <c r="E79" s="40">
        <v>-123.18950217582373</v>
      </c>
      <c r="F79" s="40">
        <v>-166.29367382659998</v>
      </c>
      <c r="G79" s="40">
        <v>-117.76810836454999</v>
      </c>
      <c r="H79" s="40">
        <v>-103.65252055585</v>
      </c>
      <c r="I79" s="40">
        <v>-149.66409000921988</v>
      </c>
      <c r="J79" s="40">
        <v>-84.08308368884272</v>
      </c>
      <c r="K79" s="40">
        <v>-77.55676550535</v>
      </c>
      <c r="L79" s="40">
        <v>-94.558989037949985</v>
      </c>
      <c r="M79" s="40">
        <v>-60.996895200117926</v>
      </c>
      <c r="N79" s="40">
        <v>-69.080956961093719</v>
      </c>
      <c r="O79" s="40">
        <f t="shared" ref="O79:U79" si="49">SUM(O77:O78)</f>
        <v>-77.611952283216482</v>
      </c>
      <c r="P79" s="40">
        <f t="shared" si="49"/>
        <v>-115.7202688661117</v>
      </c>
      <c r="Q79" s="40">
        <f t="shared" si="49"/>
        <v>-116.55427571133745</v>
      </c>
      <c r="R79" s="40">
        <f t="shared" si="49"/>
        <v>-112.45355019332584</v>
      </c>
      <c r="S79" s="40">
        <f t="shared" si="49"/>
        <v>-110.2</v>
      </c>
      <c r="T79" s="40">
        <f t="shared" si="49"/>
        <v>-93.811159511277225</v>
      </c>
      <c r="U79" s="40">
        <f t="shared" si="49"/>
        <v>-83.472483677308318</v>
      </c>
      <c r="V79" s="40">
        <v>-53.785751149158777</v>
      </c>
      <c r="W79" s="40">
        <v>-69.645751149158784</v>
      </c>
      <c r="X79" s="40">
        <f t="shared" ref="X79" si="50">SUM(X77:X78)</f>
        <v>-94.068000000000012</v>
      </c>
      <c r="Z79" s="40">
        <v>-555.48643208561441</v>
      </c>
      <c r="AA79" s="40">
        <v>-455.16780261846259</v>
      </c>
      <c r="AB79" s="40">
        <v>-302.19360670451164</v>
      </c>
      <c r="AC79" s="40">
        <v>-422.34004705399144</v>
      </c>
      <c r="AD79" s="40">
        <v>-341.31214089026804</v>
      </c>
    </row>
    <row r="80" spans="2:30" ht="14.25" customHeight="1" thickBot="1" x14ac:dyDescent="0.4">
      <c r="B80" s="49" t="s">
        <v>83</v>
      </c>
      <c r="C80" s="45">
        <v>367.0082252168765</v>
      </c>
      <c r="D80" s="45">
        <v>306.98985332794678</v>
      </c>
      <c r="E80" s="45">
        <v>330.38224313729251</v>
      </c>
      <c r="F80" s="45">
        <v>430.0450956147173</v>
      </c>
      <c r="G80" s="45">
        <v>327.12148071395427</v>
      </c>
      <c r="H80" s="45">
        <v>345.16811442070644</v>
      </c>
      <c r="I80" s="45">
        <v>418.66379567502315</v>
      </c>
      <c r="J80" s="45">
        <v>334.32982932227367</v>
      </c>
      <c r="K80" s="45">
        <v>371.28428005414173</v>
      </c>
      <c r="L80" s="45">
        <v>403.36122316823929</v>
      </c>
      <c r="M80" s="45">
        <v>411.3140361218891</v>
      </c>
      <c r="N80" s="45">
        <v>411.2975652033079</v>
      </c>
      <c r="O80" s="45">
        <f t="shared" ref="O80:U80" si="51">SUM(O76,O79)</f>
        <v>391.94879497818999</v>
      </c>
      <c r="P80" s="45">
        <f t="shared" si="51"/>
        <v>415.31526076290277</v>
      </c>
      <c r="Q80" s="45">
        <f t="shared" si="51"/>
        <v>440.17167549802173</v>
      </c>
      <c r="R80" s="45">
        <f t="shared" si="51"/>
        <v>520.49724344396714</v>
      </c>
      <c r="S80" s="45">
        <f t="shared" si="51"/>
        <v>522.2000000000005</v>
      </c>
      <c r="T80" s="45">
        <f t="shared" si="51"/>
        <v>541.98683061084887</v>
      </c>
      <c r="U80" s="45">
        <f t="shared" si="51"/>
        <v>572.12069267125128</v>
      </c>
      <c r="V80" s="45">
        <v>631.31424885084073</v>
      </c>
      <c r="W80" s="45">
        <v>553.92424885084188</v>
      </c>
      <c r="X80" s="45">
        <f t="shared" ref="X80" si="52">SUM(X76,X79)</f>
        <v>565.06900000000064</v>
      </c>
      <c r="Z80" s="45">
        <v>1434.4254172968335</v>
      </c>
      <c r="AA80" s="45">
        <v>1425.2832201319588</v>
      </c>
      <c r="AB80" s="45">
        <v>1597.2571045475779</v>
      </c>
      <c r="AC80" s="45">
        <v>1767.9944349630812</v>
      </c>
      <c r="AD80" s="45">
        <v>2267.5790255804168</v>
      </c>
    </row>
    <row r="81" spans="2:30" ht="14.25" customHeight="1" x14ac:dyDescent="0.35">
      <c r="B81" s="23"/>
      <c r="C81" s="38"/>
      <c r="D81" s="51"/>
      <c r="E81" s="50"/>
      <c r="F81" s="50"/>
      <c r="G81" s="50"/>
      <c r="H81" s="50"/>
      <c r="I81" s="50"/>
      <c r="J81" s="50"/>
      <c r="K81" s="50"/>
      <c r="L81" s="50"/>
      <c r="M81" s="50"/>
      <c r="N81" s="50"/>
      <c r="O81" s="50"/>
      <c r="P81" s="38"/>
      <c r="Q81" s="50"/>
      <c r="R81" s="50"/>
      <c r="S81" s="50"/>
      <c r="T81" s="87"/>
      <c r="U81" s="87"/>
      <c r="V81" s="87"/>
      <c r="W81" s="87"/>
      <c r="X81" s="87"/>
      <c r="AC81" s="50"/>
      <c r="AD81" s="109"/>
    </row>
    <row r="82" spans="2:30" ht="14.25" customHeight="1" x14ac:dyDescent="0.35">
      <c r="B82" s="23"/>
      <c r="C82" s="38"/>
      <c r="D82" s="51"/>
      <c r="E82" s="50"/>
      <c r="F82" s="50"/>
      <c r="G82" s="50"/>
      <c r="H82" s="50"/>
      <c r="I82" s="50"/>
      <c r="J82" s="50"/>
      <c r="K82" s="50"/>
      <c r="L82" s="50"/>
      <c r="M82" s="50"/>
      <c r="N82" s="50"/>
      <c r="O82" s="50"/>
      <c r="P82" s="50"/>
      <c r="Q82" s="50"/>
      <c r="R82" s="50"/>
      <c r="S82" s="195"/>
      <c r="T82" s="188"/>
      <c r="U82" s="188"/>
      <c r="V82" s="188"/>
      <c r="W82" s="188"/>
      <c r="X82" s="188"/>
      <c r="AC82" s="50"/>
      <c r="AD82" s="109"/>
    </row>
    <row r="83" spans="2:30" ht="14.25" customHeight="1" thickBot="1" x14ac:dyDescent="0.4">
      <c r="B83" s="191" t="s">
        <v>84</v>
      </c>
      <c r="C83" s="189" t="s">
        <v>3</v>
      </c>
      <c r="D83" s="189" t="s">
        <v>4</v>
      </c>
      <c r="E83" s="189" t="s">
        <v>5</v>
      </c>
      <c r="F83" s="189" t="s">
        <v>6</v>
      </c>
      <c r="G83" s="189" t="s">
        <v>7</v>
      </c>
      <c r="H83" s="189" t="s">
        <v>8</v>
      </c>
      <c r="I83" s="189" t="s">
        <v>9</v>
      </c>
      <c r="J83" s="189" t="s">
        <v>10</v>
      </c>
      <c r="K83" s="189" t="s">
        <v>11</v>
      </c>
      <c r="L83" s="189" t="s">
        <v>12</v>
      </c>
      <c r="M83" s="189" t="s">
        <v>13</v>
      </c>
      <c r="N83" s="189" t="s">
        <v>14</v>
      </c>
      <c r="O83" s="189" t="s">
        <v>15</v>
      </c>
      <c r="P83" s="189" t="s">
        <v>16</v>
      </c>
      <c r="Q83" s="189" t="s">
        <v>17</v>
      </c>
      <c r="R83" s="189" t="s">
        <v>18</v>
      </c>
      <c r="S83" s="189" t="s">
        <v>19</v>
      </c>
      <c r="T83" s="189" t="str">
        <f>'Operating Metrics - Old_View'!$T$5</f>
        <v>2Q24</v>
      </c>
      <c r="U83" s="189" t="str">
        <f>U60</f>
        <v>3Q24</v>
      </c>
      <c r="V83" s="189" t="s">
        <v>22</v>
      </c>
      <c r="W83" s="189" t="s">
        <v>457</v>
      </c>
      <c r="X83" s="189" t="s">
        <v>493</v>
      </c>
      <c r="Z83" s="189">
        <v>2020</v>
      </c>
      <c r="AA83" s="189">
        <v>2021</v>
      </c>
      <c r="AB83" s="189">
        <v>2022</v>
      </c>
      <c r="AC83" s="189">
        <v>2023</v>
      </c>
      <c r="AD83" s="189">
        <v>2024</v>
      </c>
    </row>
    <row r="84" spans="2:30" ht="14.25" customHeight="1" x14ac:dyDescent="0.35">
      <c r="B84" s="23" t="s">
        <v>55</v>
      </c>
      <c r="C84" s="38">
        <v>0</v>
      </c>
      <c r="D84" s="38">
        <v>0</v>
      </c>
      <c r="E84" s="38">
        <v>0</v>
      </c>
      <c r="F84" s="38">
        <v>0</v>
      </c>
      <c r="G84" s="38">
        <v>0</v>
      </c>
      <c r="H84" s="38">
        <v>0</v>
      </c>
      <c r="I84" s="38">
        <v>0</v>
      </c>
      <c r="J84" s="38">
        <v>0</v>
      </c>
      <c r="K84" s="38">
        <v>0</v>
      </c>
      <c r="L84" s="38">
        <v>0</v>
      </c>
      <c r="M84" s="38">
        <v>0</v>
      </c>
      <c r="N84" s="38">
        <v>0</v>
      </c>
      <c r="O84" s="38">
        <f>'Income Statement'!O6-O61</f>
        <v>0</v>
      </c>
      <c r="P84" s="38">
        <f>'Income Statement'!P6-P61</f>
        <v>0</v>
      </c>
      <c r="Q84" s="38">
        <f>'Income Statement'!Q6-Q61</f>
        <v>0</v>
      </c>
      <c r="R84" s="38">
        <f>'Income Statement'!R6-R61</f>
        <v>0</v>
      </c>
      <c r="S84" s="38">
        <f>'Income Statement'!S6-S61</f>
        <v>0</v>
      </c>
      <c r="T84" s="38">
        <f>'Income Statement'!T6-T61</f>
        <v>0</v>
      </c>
      <c r="U84" s="38">
        <f>'Income Statement'!U6-U61</f>
        <v>0</v>
      </c>
      <c r="V84" s="38">
        <v>0</v>
      </c>
      <c r="W84" s="38">
        <v>0</v>
      </c>
      <c r="X84" s="38">
        <f>'Income Statement'!X6-X61</f>
        <v>0</v>
      </c>
      <c r="Z84" s="38">
        <v>0</v>
      </c>
      <c r="AA84" s="38">
        <v>0</v>
      </c>
      <c r="AB84" s="38">
        <v>0</v>
      </c>
      <c r="AC84" s="38">
        <v>-5.1995829762745416E-3</v>
      </c>
      <c r="AD84" s="38">
        <v>-0.15867026954583707</v>
      </c>
    </row>
    <row r="85" spans="2:30" ht="14.25" customHeight="1" x14ac:dyDescent="0.35">
      <c r="B85" s="23" t="s">
        <v>56</v>
      </c>
      <c r="C85" s="38">
        <v>0</v>
      </c>
      <c r="D85" s="38">
        <v>0</v>
      </c>
      <c r="E85" s="38">
        <v>0</v>
      </c>
      <c r="F85" s="38">
        <v>0</v>
      </c>
      <c r="G85" s="38">
        <v>0</v>
      </c>
      <c r="H85" s="38">
        <v>0</v>
      </c>
      <c r="I85" s="38">
        <v>0</v>
      </c>
      <c r="J85" s="38">
        <v>0</v>
      </c>
      <c r="K85" s="38">
        <v>0</v>
      </c>
      <c r="L85" s="38">
        <v>0</v>
      </c>
      <c r="M85" s="38">
        <v>0</v>
      </c>
      <c r="N85" s="38">
        <v>0</v>
      </c>
      <c r="O85" s="38">
        <f>'Income Statement'!O7-O62</f>
        <v>0</v>
      </c>
      <c r="P85" s="38">
        <f>'Income Statement'!P7-P62</f>
        <v>0</v>
      </c>
      <c r="Q85" s="38">
        <f>'Income Statement'!Q7-Q62</f>
        <v>0</v>
      </c>
      <c r="R85" s="38">
        <f>'Income Statement'!R7-R62</f>
        <v>0</v>
      </c>
      <c r="S85" s="38">
        <f>'Income Statement'!S7-S62</f>
        <v>0</v>
      </c>
      <c r="T85" s="38">
        <f>'Income Statement'!T7-T62</f>
        <v>0</v>
      </c>
      <c r="U85" s="38">
        <f>'Income Statement'!U7-U62</f>
        <v>0</v>
      </c>
      <c r="V85" s="38">
        <v>0</v>
      </c>
      <c r="W85" s="38">
        <v>0</v>
      </c>
      <c r="X85" s="38">
        <f>'Income Statement'!X7-X62</f>
        <v>0</v>
      </c>
      <c r="Z85" s="38">
        <v>0</v>
      </c>
      <c r="AA85" s="38">
        <v>0</v>
      </c>
      <c r="AB85" s="38">
        <v>0</v>
      </c>
      <c r="AC85" s="38">
        <v>0</v>
      </c>
      <c r="AD85" s="38">
        <v>0</v>
      </c>
    </row>
    <row r="86" spans="2:30" ht="14.25" customHeight="1" x14ac:dyDescent="0.35">
      <c r="B86" s="23" t="s">
        <v>57</v>
      </c>
      <c r="C86" s="38">
        <v>0</v>
      </c>
      <c r="D86" s="38">
        <v>0</v>
      </c>
      <c r="E86" s="38">
        <v>0</v>
      </c>
      <c r="F86" s="38">
        <v>0</v>
      </c>
      <c r="G86" s="38">
        <v>0</v>
      </c>
      <c r="H86" s="38">
        <v>0</v>
      </c>
      <c r="I86" s="38">
        <v>0</v>
      </c>
      <c r="J86" s="38">
        <v>0</v>
      </c>
      <c r="K86" s="38">
        <v>0</v>
      </c>
      <c r="L86" s="38">
        <v>0</v>
      </c>
      <c r="M86" s="38">
        <v>0</v>
      </c>
      <c r="N86" s="38">
        <v>0</v>
      </c>
      <c r="O86" s="38">
        <f>'Income Statement'!O8-O63</f>
        <v>0</v>
      </c>
      <c r="P86" s="38">
        <f>'Income Statement'!P8-P63</f>
        <v>0</v>
      </c>
      <c r="Q86" s="38">
        <f>'Income Statement'!Q8-Q63</f>
        <v>0</v>
      </c>
      <c r="R86" s="38">
        <f>'Income Statement'!R8-R63</f>
        <v>0</v>
      </c>
      <c r="S86" s="38">
        <f>'Income Statement'!S8-S63</f>
        <v>0</v>
      </c>
      <c r="T86" s="38">
        <f>'Income Statement'!T8-T63</f>
        <v>0</v>
      </c>
      <c r="U86" s="38">
        <f>'Income Statement'!U8-U63</f>
        <v>0</v>
      </c>
      <c r="V86" s="38">
        <v>0</v>
      </c>
      <c r="W86" s="38">
        <v>0</v>
      </c>
      <c r="X86" s="38">
        <f>'Income Statement'!X8-X63</f>
        <v>0</v>
      </c>
      <c r="Z86" s="38">
        <v>0</v>
      </c>
      <c r="AA86" s="38">
        <v>0</v>
      </c>
      <c r="AB86" s="38">
        <v>0</v>
      </c>
      <c r="AC86" s="38">
        <v>-2.3134000002755783E-4</v>
      </c>
      <c r="AD86" s="38">
        <v>-3.5106010000163224E-2</v>
      </c>
    </row>
    <row r="87" spans="2:30" ht="14.25" customHeight="1" x14ac:dyDescent="0.35">
      <c r="B87" s="23" t="s">
        <v>58</v>
      </c>
      <c r="C87" s="38">
        <v>0</v>
      </c>
      <c r="D87" s="38">
        <v>0</v>
      </c>
      <c r="E87" s="38">
        <v>0</v>
      </c>
      <c r="F87" s="38">
        <v>0</v>
      </c>
      <c r="G87" s="38">
        <v>0</v>
      </c>
      <c r="H87" s="38">
        <v>0</v>
      </c>
      <c r="I87" s="38">
        <v>0</v>
      </c>
      <c r="J87" s="38">
        <v>0</v>
      </c>
      <c r="K87" s="38">
        <v>0</v>
      </c>
      <c r="L87" s="38">
        <v>0</v>
      </c>
      <c r="M87" s="38">
        <v>0</v>
      </c>
      <c r="N87" s="38">
        <v>0</v>
      </c>
      <c r="O87" s="38">
        <f>'Income Statement'!O9-O64</f>
        <v>0</v>
      </c>
      <c r="P87" s="38">
        <f>'Income Statement'!P9-P64</f>
        <v>0</v>
      </c>
      <c r="Q87" s="38">
        <f>'Income Statement'!Q9-Q64</f>
        <v>0</v>
      </c>
      <c r="R87" s="38">
        <f>'Income Statement'!R9-R64</f>
        <v>0</v>
      </c>
      <c r="S87" s="38">
        <f>'Income Statement'!S9-S64</f>
        <v>0</v>
      </c>
      <c r="T87" s="38">
        <f>'Income Statement'!T9-T64</f>
        <v>0</v>
      </c>
      <c r="U87" s="38">
        <f>'Income Statement'!U9-U64</f>
        <v>0</v>
      </c>
      <c r="V87" s="38">
        <v>0</v>
      </c>
      <c r="W87" s="38">
        <v>0</v>
      </c>
      <c r="X87" s="38">
        <f>'Income Statement'!X9-X64</f>
        <v>0</v>
      </c>
      <c r="Z87" s="38">
        <v>0</v>
      </c>
      <c r="AA87" s="38">
        <v>0</v>
      </c>
      <c r="AB87" s="38">
        <v>0</v>
      </c>
      <c r="AC87" s="38">
        <v>4.2023341910066847E-3</v>
      </c>
      <c r="AD87" s="38">
        <v>0.12748842646988123</v>
      </c>
    </row>
    <row r="88" spans="2:30" ht="14.25" customHeight="1" x14ac:dyDescent="0.35">
      <c r="B88" s="39" t="s">
        <v>59</v>
      </c>
      <c r="C88" s="40">
        <v>0</v>
      </c>
      <c r="D88" s="40">
        <v>0</v>
      </c>
      <c r="E88" s="40">
        <v>0</v>
      </c>
      <c r="F88" s="40">
        <v>0</v>
      </c>
      <c r="G88" s="40">
        <v>0</v>
      </c>
      <c r="H88" s="40">
        <v>0</v>
      </c>
      <c r="I88" s="40">
        <v>0</v>
      </c>
      <c r="J88" s="40">
        <v>0</v>
      </c>
      <c r="K88" s="40">
        <v>0</v>
      </c>
      <c r="L88" s="40">
        <v>0</v>
      </c>
      <c r="M88" s="40">
        <v>0</v>
      </c>
      <c r="N88" s="40">
        <v>0</v>
      </c>
      <c r="O88" s="40">
        <f>'Income Statement'!O10-O65</f>
        <v>0</v>
      </c>
      <c r="P88" s="40">
        <f>'Income Statement'!P10-P65</f>
        <v>0</v>
      </c>
      <c r="Q88" s="40">
        <f>'Income Statement'!Q10-Q65</f>
        <v>0</v>
      </c>
      <c r="R88" s="40">
        <f>'Income Statement'!R10-R65</f>
        <v>2.0000000000436557E-2</v>
      </c>
      <c r="S88" s="40">
        <f>'Income Statement'!S10-S65</f>
        <v>0</v>
      </c>
      <c r="T88" s="40">
        <f>'Income Statement'!T10-T65</f>
        <v>0</v>
      </c>
      <c r="U88" s="40">
        <f>'Income Statement'!U10-U65</f>
        <v>0</v>
      </c>
      <c r="V88" s="40">
        <v>0</v>
      </c>
      <c r="W88" s="40">
        <v>0</v>
      </c>
      <c r="X88" s="40">
        <f>'Income Statement'!X10-X65</f>
        <v>-5.0000000001091394E-3</v>
      </c>
      <c r="Z88" s="40">
        <v>0</v>
      </c>
      <c r="AA88" s="40">
        <v>0</v>
      </c>
      <c r="AB88" s="40">
        <v>0</v>
      </c>
      <c r="AC88" s="40">
        <v>-1.2285887860343792E-3</v>
      </c>
      <c r="AD88" s="40">
        <v>0</v>
      </c>
    </row>
    <row r="89" spans="2:30" ht="14.25" customHeight="1" x14ac:dyDescent="0.35">
      <c r="B89" s="23" t="s">
        <v>85</v>
      </c>
      <c r="C89" s="38">
        <v>0</v>
      </c>
      <c r="D89" s="38">
        <v>0</v>
      </c>
      <c r="E89" s="38">
        <v>0</v>
      </c>
      <c r="F89" s="38">
        <v>0</v>
      </c>
      <c r="G89" s="38">
        <v>0</v>
      </c>
      <c r="H89" s="38">
        <v>0</v>
      </c>
      <c r="I89" s="38">
        <v>0</v>
      </c>
      <c r="J89" s="38">
        <v>0</v>
      </c>
      <c r="K89" s="38">
        <v>0</v>
      </c>
      <c r="L89" s="38">
        <v>0</v>
      </c>
      <c r="M89" s="38">
        <v>0</v>
      </c>
      <c r="N89" s="38">
        <v>0</v>
      </c>
      <c r="O89" s="38">
        <f>'Income Statement'!O11-O66</f>
        <v>0</v>
      </c>
      <c r="P89" s="38">
        <f>'Income Statement'!P11-P66</f>
        <v>0</v>
      </c>
      <c r="Q89" s="38">
        <f>'Income Statement'!Q11-Q66</f>
        <v>0</v>
      </c>
      <c r="R89" s="38">
        <f>'Income Statement'!R11-R66</f>
        <v>0</v>
      </c>
      <c r="S89" s="38">
        <f>'Income Statement'!S11-S66</f>
        <v>0</v>
      </c>
      <c r="T89" s="38">
        <f>'Income Statement'!T11-T66</f>
        <v>0</v>
      </c>
      <c r="U89" s="38">
        <f>'Income Statement'!U11-U66</f>
        <v>0</v>
      </c>
      <c r="V89" s="38">
        <v>0</v>
      </c>
      <c r="W89" s="38">
        <v>0</v>
      </c>
      <c r="X89" s="38">
        <f>'Income Statement'!X11-X66</f>
        <v>0</v>
      </c>
      <c r="Z89" s="38">
        <v>0</v>
      </c>
      <c r="AA89" s="38">
        <v>0</v>
      </c>
      <c r="AB89" s="38">
        <v>0</v>
      </c>
      <c r="AC89" s="38">
        <v>0</v>
      </c>
      <c r="AD89" s="38">
        <v>0</v>
      </c>
    </row>
    <row r="90" spans="2:30" ht="14.25" customHeight="1" x14ac:dyDescent="0.35">
      <c r="B90" s="41" t="s">
        <v>61</v>
      </c>
      <c r="C90" s="42">
        <v>0</v>
      </c>
      <c r="D90" s="42">
        <v>0</v>
      </c>
      <c r="E90" s="42">
        <v>0</v>
      </c>
      <c r="F90" s="42">
        <v>0</v>
      </c>
      <c r="G90" s="42">
        <v>0</v>
      </c>
      <c r="H90" s="42">
        <v>0</v>
      </c>
      <c r="I90" s="42">
        <v>0</v>
      </c>
      <c r="J90" s="42">
        <v>0</v>
      </c>
      <c r="K90" s="42">
        <v>0</v>
      </c>
      <c r="L90" s="42">
        <v>0</v>
      </c>
      <c r="M90" s="42">
        <v>0</v>
      </c>
      <c r="N90" s="42">
        <v>0</v>
      </c>
      <c r="O90" s="42">
        <f>'Income Statement'!O12-O67</f>
        <v>0</v>
      </c>
      <c r="P90" s="42">
        <f>'Income Statement'!P12-P67</f>
        <v>0</v>
      </c>
      <c r="Q90" s="42">
        <f>'Income Statement'!Q12-Q67</f>
        <v>0</v>
      </c>
      <c r="R90" s="42">
        <f>'Income Statement'!R12-R67</f>
        <v>2.0000000000436557E-2</v>
      </c>
      <c r="S90" s="42">
        <f>'Income Statement'!S12-S67</f>
        <v>0</v>
      </c>
      <c r="T90" s="42">
        <f>'Income Statement'!T12-T67</f>
        <v>0</v>
      </c>
      <c r="U90" s="42">
        <f>'Income Statement'!U12-U67</f>
        <v>0</v>
      </c>
      <c r="V90" s="42">
        <v>0</v>
      </c>
      <c r="W90" s="42">
        <v>0</v>
      </c>
      <c r="X90" s="42">
        <f>'Income Statement'!X12-X67</f>
        <v>-5.0000000001091394E-3</v>
      </c>
      <c r="Z90" s="42">
        <v>0</v>
      </c>
      <c r="AA90" s="42">
        <v>0</v>
      </c>
      <c r="AB90" s="42">
        <v>0</v>
      </c>
      <c r="AC90" s="42">
        <v>0</v>
      </c>
      <c r="AD90" s="42">
        <v>-6.6287853074754821E-2</v>
      </c>
    </row>
    <row r="91" spans="2:30" ht="14.25" customHeight="1" x14ac:dyDescent="0.35">
      <c r="B91" s="23" t="s">
        <v>62</v>
      </c>
      <c r="C91" s="38">
        <v>-2.2020268437084951</v>
      </c>
      <c r="D91" s="38">
        <v>-2.320761345730034</v>
      </c>
      <c r="E91" s="38">
        <v>-5.2589344123741739</v>
      </c>
      <c r="F91" s="38">
        <v>-10.337859360000039</v>
      </c>
      <c r="G91" s="38">
        <v>-5.734887609999987</v>
      </c>
      <c r="H91" s="38">
        <v>-8.2576437499999429</v>
      </c>
      <c r="I91" s="38">
        <v>-11.504018639777769</v>
      </c>
      <c r="J91" s="38">
        <v>-3.09865454504029</v>
      </c>
      <c r="K91" s="38">
        <v>-2.1455238999999438</v>
      </c>
      <c r="L91" s="38">
        <v>-4.0210812299999361</v>
      </c>
      <c r="M91" s="38">
        <v>49.05782570071483</v>
      </c>
      <c r="N91" s="38">
        <v>4.5337774834117681</v>
      </c>
      <c r="O91" s="38">
        <f>'Income Statement'!O13-O68</f>
        <v>-5.9394387400000141</v>
      </c>
      <c r="P91" s="38">
        <f>'Income Statement'!P13-P68</f>
        <v>-2.5909772103698288</v>
      </c>
      <c r="Q91" s="38">
        <f>'Income Statement'!Q13-Q68</f>
        <v>-5.2029528740865771</v>
      </c>
      <c r="R91" s="38">
        <f>'Income Statement'!R13-R68</f>
        <v>-3.4780499097528264</v>
      </c>
      <c r="S91" s="38">
        <f>'Income Statement'!S13-S68</f>
        <v>-6.1999999999998181</v>
      </c>
      <c r="T91" s="38">
        <f>'Income Statement'!T13-T68</f>
        <v>-5.99336908373607</v>
      </c>
      <c r="U91" s="38">
        <f>'Income Statement'!U13-U68</f>
        <v>-6.7070688359294763</v>
      </c>
      <c r="V91" s="38">
        <v>-5.2999999999997272</v>
      </c>
      <c r="W91" s="38">
        <v>-8.5599999999999454</v>
      </c>
      <c r="X91" s="38">
        <f>'Income Statement'!X13-X68</f>
        <v>-4.5119999999997162</v>
      </c>
      <c r="Z91" s="38">
        <v>-20.119581961812742</v>
      </c>
      <c r="AA91" s="38">
        <v>-28.595204544817989</v>
      </c>
      <c r="AB91" s="38">
        <v>47.424998054126718</v>
      </c>
      <c r="AC91" s="38">
        <v>-17.211523627151109</v>
      </c>
      <c r="AD91" s="38">
        <v>-24.233858076839169</v>
      </c>
    </row>
    <row r="92" spans="2:30" ht="14.25" customHeight="1" x14ac:dyDescent="0.35">
      <c r="B92" s="23" t="s">
        <v>63</v>
      </c>
      <c r="C92" s="38">
        <v>-2.7852999991750949E-4</v>
      </c>
      <c r="D92" s="38">
        <v>0</v>
      </c>
      <c r="E92" s="38">
        <v>-0.37937385000000745</v>
      </c>
      <c r="F92" s="38">
        <v>-0.71275923999999691</v>
      </c>
      <c r="G92" s="38">
        <v>-0.70759899000000814</v>
      </c>
      <c r="H92" s="38">
        <v>-0.15230724999997847</v>
      </c>
      <c r="I92" s="38">
        <v>-0.11709144000002425</v>
      </c>
      <c r="J92" s="38">
        <v>-0.3790000000000191</v>
      </c>
      <c r="K92" s="38">
        <v>-0.28116289000001871</v>
      </c>
      <c r="L92" s="38">
        <v>-4.4228149999980815E-2</v>
      </c>
      <c r="M92" s="38">
        <v>0</v>
      </c>
      <c r="N92" s="38">
        <v>0</v>
      </c>
      <c r="O92" s="38">
        <f>'Income Statement'!O14-O69</f>
        <v>-1.7500943000000007</v>
      </c>
      <c r="P92" s="38">
        <f>'Income Statement'!P14-P69</f>
        <v>-1.5111057899999878</v>
      </c>
      <c r="Q92" s="38">
        <f>'Income Statement'!Q14-Q69</f>
        <v>-1.527948247088716</v>
      </c>
      <c r="R92" s="38">
        <f>'Income Statement'!R14-R69</f>
        <v>-1.6030929099999867</v>
      </c>
      <c r="S92" s="38">
        <f>'Income Statement'!S14-S69</f>
        <v>-2.0999999999999659</v>
      </c>
      <c r="T92" s="38">
        <f>'Income Statement'!T14-T69</f>
        <v>-1.2808592617556656</v>
      </c>
      <c r="U92" s="38">
        <f>'Income Statement'!U14-U69</f>
        <v>-1.800085480000007</v>
      </c>
      <c r="V92" s="38">
        <v>-23.799999999999955</v>
      </c>
      <c r="W92" s="38">
        <v>-3.4399999999999977</v>
      </c>
      <c r="X92" s="38">
        <f>'Income Statement'!X14-X69</f>
        <v>-1.5360000000000014</v>
      </c>
      <c r="Z92" s="38">
        <v>-1.0924116199999219</v>
      </c>
      <c r="AA92" s="38">
        <v>-1.35599768000003</v>
      </c>
      <c r="AB92" s="38">
        <v>-0.32539103999999952</v>
      </c>
      <c r="AC92" s="38">
        <v>-6.3933404357876498</v>
      </c>
      <c r="AD92" s="38">
        <v>-28.959476548459179</v>
      </c>
    </row>
    <row r="93" spans="2:30" ht="14.25" customHeight="1" x14ac:dyDescent="0.35">
      <c r="B93" s="23" t="s">
        <v>64</v>
      </c>
      <c r="C93" s="38">
        <v>-13.092265368932487</v>
      </c>
      <c r="D93" s="38">
        <v>-13.795636888505896</v>
      </c>
      <c r="E93" s="38">
        <v>-95.742915109120048</v>
      </c>
      <c r="F93" s="38">
        <v>-71.379433890000001</v>
      </c>
      <c r="G93" s="38">
        <v>-78.0950762075</v>
      </c>
      <c r="H93" s="38">
        <v>-100.2641275325</v>
      </c>
      <c r="I93" s="38">
        <v>-135.52403347675124</v>
      </c>
      <c r="J93" s="38">
        <v>-46.617979569203158</v>
      </c>
      <c r="K93" s="38">
        <v>-29.940622137499986</v>
      </c>
      <c r="L93" s="38">
        <v>-51.146384437500018</v>
      </c>
      <c r="M93" s="38">
        <v>-44.196462532826246</v>
      </c>
      <c r="N93" s="38">
        <v>0.86847720234200665</v>
      </c>
      <c r="O93" s="38">
        <f>'Income Statement'!O15-O70</f>
        <v>-25.895125202254405</v>
      </c>
      <c r="P93" s="38">
        <f>'Income Statement'!P15-P70</f>
        <v>-41.648989622867106</v>
      </c>
      <c r="Q93" s="38">
        <f>'Income Statement'!Q15-Q70</f>
        <v>-40.657814846824294</v>
      </c>
      <c r="R93" s="38">
        <f>'Income Statement'!R15-R70</f>
        <v>-44.125701934349635</v>
      </c>
      <c r="S93" s="38">
        <f>'Income Statement'!S15-S70</f>
        <v>-51.699999999999989</v>
      </c>
      <c r="T93" s="38">
        <f>'Income Statement'!T15-T70</f>
        <v>-50.798326891154232</v>
      </c>
      <c r="U93" s="38">
        <f>'Income Statement'!U15-U70</f>
        <v>-53.547191918124867</v>
      </c>
      <c r="V93" s="38">
        <v>-19.800000000000011</v>
      </c>
      <c r="W93" s="38">
        <v>-31.660000000000025</v>
      </c>
      <c r="X93" s="38">
        <f>'Income Statement'!X15-X70</f>
        <v>-36.838999999999999</v>
      </c>
      <c r="Z93" s="38">
        <v>-194.01025125655843</v>
      </c>
      <c r="AA93" s="38">
        <v>-360.5012167859544</v>
      </c>
      <c r="AB93" s="38">
        <v>-124.41499190548424</v>
      </c>
      <c r="AC93" s="38">
        <v>-152.31856472969912</v>
      </c>
      <c r="AD93" s="38">
        <v>-175.71785309221946</v>
      </c>
    </row>
    <row r="94" spans="2:30" ht="14.25" customHeight="1" x14ac:dyDescent="0.35">
      <c r="B94" s="23" t="s">
        <v>65</v>
      </c>
      <c r="C94" s="38">
        <v>-1.002999999855092E-5</v>
      </c>
      <c r="D94" s="38">
        <v>0</v>
      </c>
      <c r="E94" s="38">
        <v>0</v>
      </c>
      <c r="F94" s="38">
        <v>0</v>
      </c>
      <c r="G94" s="38">
        <v>0</v>
      </c>
      <c r="H94" s="38">
        <v>0</v>
      </c>
      <c r="I94" s="38">
        <v>0</v>
      </c>
      <c r="J94" s="38">
        <v>0</v>
      </c>
      <c r="K94" s="38">
        <v>0</v>
      </c>
      <c r="L94" s="38">
        <v>0</v>
      </c>
      <c r="M94" s="38">
        <v>0</v>
      </c>
      <c r="N94" s="38">
        <v>0</v>
      </c>
      <c r="O94" s="38">
        <f>'Income Statement'!O16-O71</f>
        <v>0</v>
      </c>
      <c r="P94" s="38">
        <f>'Income Statement'!P16-P71</f>
        <v>0</v>
      </c>
      <c r="Q94" s="38">
        <f>'Income Statement'!Q16-Q71</f>
        <v>0</v>
      </c>
      <c r="R94" s="38">
        <f>'Income Statement'!R16-R71</f>
        <v>0</v>
      </c>
      <c r="S94" s="38">
        <f>'Income Statement'!S16-S71</f>
        <v>0</v>
      </c>
      <c r="T94" s="38">
        <f>'Income Statement'!T16-T71</f>
        <v>0</v>
      </c>
      <c r="U94" s="38">
        <f>'Income Statement'!U16-U71</f>
        <v>0</v>
      </c>
      <c r="V94" s="38">
        <v>0</v>
      </c>
      <c r="W94" s="38">
        <v>0</v>
      </c>
      <c r="X94" s="38">
        <f>'Income Statement'!X16-X71</f>
        <v>0</v>
      </c>
      <c r="Z94" s="38">
        <v>-1.002999999855092E-5</v>
      </c>
      <c r="AA94" s="38">
        <v>0</v>
      </c>
      <c r="AB94" s="38">
        <v>0</v>
      </c>
      <c r="AC94" s="38">
        <v>-3.0103601719019935E-2</v>
      </c>
      <c r="AD94" s="38">
        <v>-3.2195787973250845E-2</v>
      </c>
    </row>
    <row r="95" spans="2:30" ht="14.25" customHeight="1" x14ac:dyDescent="0.35">
      <c r="B95" s="23" t="s">
        <v>66</v>
      </c>
      <c r="C95" s="38">
        <v>2.1588281389872677E-4</v>
      </c>
      <c r="D95" s="38">
        <v>0</v>
      </c>
      <c r="E95" s="38">
        <v>0</v>
      </c>
      <c r="F95" s="38">
        <v>-0.13903928400210219</v>
      </c>
      <c r="G95" s="38">
        <v>0</v>
      </c>
      <c r="H95" s="38">
        <v>-1.9714937199999998</v>
      </c>
      <c r="I95" s="38">
        <v>0</v>
      </c>
      <c r="J95" s="38">
        <v>0</v>
      </c>
      <c r="K95" s="38">
        <v>0</v>
      </c>
      <c r="L95" s="38">
        <v>0</v>
      </c>
      <c r="M95" s="38">
        <v>-51.871459080000001</v>
      </c>
      <c r="N95" s="38">
        <v>-10.949000000000012</v>
      </c>
      <c r="O95" s="38">
        <f>'Income Statement'!O17-O72</f>
        <v>0</v>
      </c>
      <c r="P95" s="38">
        <f>'Income Statement'!P17-P72</f>
        <v>0</v>
      </c>
      <c r="Q95" s="38">
        <f>'Income Statement'!Q17-Q72</f>
        <v>2.7270000000000039</v>
      </c>
      <c r="R95" s="38">
        <f>'Income Statement'!R17-R72</f>
        <v>0</v>
      </c>
      <c r="S95" s="38">
        <f>'Income Statement'!S17-S72</f>
        <v>0</v>
      </c>
      <c r="T95" s="38">
        <f>'Income Statement'!T17-T72</f>
        <v>-5.2895701000466033E-4</v>
      </c>
      <c r="U95" s="38">
        <f>'Income Statement'!U17-U72</f>
        <v>0</v>
      </c>
      <c r="V95" s="38">
        <v>0</v>
      </c>
      <c r="W95" s="38">
        <v>0</v>
      </c>
      <c r="X95" s="38">
        <f>'Income Statement'!X17-X72</f>
        <v>0</v>
      </c>
      <c r="Z95" s="38">
        <v>-0.13882340118820347</v>
      </c>
      <c r="AA95" s="38">
        <v>-1.9714937199999998</v>
      </c>
      <c r="AB95" s="38">
        <v>-62.820459080000013</v>
      </c>
      <c r="AC95" s="38">
        <v>2.7272789660700028</v>
      </c>
      <c r="AD95" s="38">
        <v>4.7504887880052138E-2</v>
      </c>
    </row>
    <row r="96" spans="2:30" ht="14.25" customHeight="1" x14ac:dyDescent="0.35">
      <c r="B96" s="39" t="s">
        <v>67</v>
      </c>
      <c r="C96" s="40">
        <v>-15.294364889826999</v>
      </c>
      <c r="D96" s="40">
        <v>-16.11639823423593</v>
      </c>
      <c r="E96" s="40">
        <v>-101.38122337149423</v>
      </c>
      <c r="F96" s="40">
        <v>-82.569091774002146</v>
      </c>
      <c r="G96" s="40">
        <v>-84.537562807499995</v>
      </c>
      <c r="H96" s="40">
        <v>-110.64557225249992</v>
      </c>
      <c r="I96" s="40">
        <v>-147.14514355652904</v>
      </c>
      <c r="J96" s="40">
        <v>-50.095634114243467</v>
      </c>
      <c r="K96" s="40">
        <v>-32.367308927499948</v>
      </c>
      <c r="L96" s="40">
        <v>-55.211693817499935</v>
      </c>
      <c r="M96" s="40">
        <v>-47.010095912111417</v>
      </c>
      <c r="N96" s="40">
        <v>-5.5467453142462375</v>
      </c>
      <c r="O96" s="40">
        <f>'Income Statement'!O18-O73</f>
        <v>-33.584658242254136</v>
      </c>
      <c r="P96" s="40">
        <f>'Income Statement'!P18-P73</f>
        <v>-45.751072623237178</v>
      </c>
      <c r="Q96" s="40">
        <f>'Income Statement'!Q18-Q73</f>
        <v>-44.661715967999044</v>
      </c>
      <c r="R96" s="40">
        <f>'Income Statement'!R18-R73</f>
        <v>-49.206844754102349</v>
      </c>
      <c r="S96" s="40">
        <f>'Income Statement'!S18-S73</f>
        <v>-59.999999999999545</v>
      </c>
      <c r="T96" s="40">
        <f>'Income Statement'!T18-T73</f>
        <v>-58.073084193655632</v>
      </c>
      <c r="U96" s="40">
        <f>'Income Statement'!U18-U73</f>
        <v>-62.054346234054719</v>
      </c>
      <c r="V96" s="40">
        <v>-48.900000000000546</v>
      </c>
      <c r="W96" s="40">
        <v>-43.659999999999854</v>
      </c>
      <c r="X96" s="40">
        <f>'Income Statement'!X18-X73</f>
        <v>-42.886999999999716</v>
      </c>
      <c r="Z96" s="40">
        <v>-215.3610782695593</v>
      </c>
      <c r="AA96" s="40">
        <v>-392.42391273077243</v>
      </c>
      <c r="AB96" s="40">
        <v>-140.13584397135753</v>
      </c>
      <c r="AC96" s="40">
        <v>-173.22625342828724</v>
      </c>
      <c r="AD96" s="40">
        <v>-228.89587861761174</v>
      </c>
    </row>
    <row r="97" spans="2:30" ht="14.25" customHeight="1" x14ac:dyDescent="0.35">
      <c r="B97" s="41" t="s">
        <v>68</v>
      </c>
      <c r="C97" s="42">
        <v>-15.294364889826999</v>
      </c>
      <c r="D97" s="42">
        <v>-16.11639823423593</v>
      </c>
      <c r="E97" s="42">
        <v>-101.38122337149423</v>
      </c>
      <c r="F97" s="42">
        <v>-82.569091774002146</v>
      </c>
      <c r="G97" s="42">
        <v>-84.537562807499995</v>
      </c>
      <c r="H97" s="42">
        <v>-110.64557225249992</v>
      </c>
      <c r="I97" s="42">
        <v>-147.14514355652904</v>
      </c>
      <c r="J97" s="42">
        <v>-50.095634114243467</v>
      </c>
      <c r="K97" s="42">
        <v>-32.367308927499948</v>
      </c>
      <c r="L97" s="42">
        <v>-55.211693817499935</v>
      </c>
      <c r="M97" s="42">
        <v>-47.010095912111417</v>
      </c>
      <c r="N97" s="42">
        <v>-5.5467453142462375</v>
      </c>
      <c r="O97" s="42">
        <f>'Income Statement'!O19-O74</f>
        <v>-33.584658242254136</v>
      </c>
      <c r="P97" s="42">
        <f>'Income Statement'!P19-P74</f>
        <v>-45.751072623237178</v>
      </c>
      <c r="Q97" s="42">
        <f>'Income Statement'!Q19-Q74</f>
        <v>-44.661715967999044</v>
      </c>
      <c r="R97" s="42">
        <f>'Income Statement'!R19-R74</f>
        <v>-49.206844754102349</v>
      </c>
      <c r="S97" s="42">
        <f>'Income Statement'!S19-S74</f>
        <v>-59.999999999999545</v>
      </c>
      <c r="T97" s="42">
        <f>'Income Statement'!T19-T74</f>
        <v>-58.073084193655632</v>
      </c>
      <c r="U97" s="42">
        <f>'Income Statement'!U19-U74</f>
        <v>-62.054346234054719</v>
      </c>
      <c r="V97" s="42">
        <v>-48.900000000000546</v>
      </c>
      <c r="W97" s="42">
        <v>-43.659999999999854</v>
      </c>
      <c r="X97" s="42">
        <f>'Income Statement'!X19-X74</f>
        <v>-42.886999999999716</v>
      </c>
      <c r="Z97" s="42">
        <v>-215.3610782695593</v>
      </c>
      <c r="AA97" s="42">
        <v>-392.42391273077243</v>
      </c>
      <c r="AB97" s="42">
        <v>-140.13584397135753</v>
      </c>
      <c r="AC97" s="42">
        <v>-173.22625342828724</v>
      </c>
      <c r="AD97" s="42">
        <v>-228.89587861761174</v>
      </c>
    </row>
    <row r="98" spans="2:30" ht="14.25" customHeight="1" x14ac:dyDescent="0.35">
      <c r="B98" s="23" t="s">
        <v>69</v>
      </c>
      <c r="C98" s="38">
        <f>'Income Statement'!C20-C75</f>
        <v>0</v>
      </c>
      <c r="D98" s="38">
        <f>'Income Statement'!D20-D75</f>
        <v>0</v>
      </c>
      <c r="E98" s="38">
        <f>'Income Statement'!E20-E75</f>
        <v>0</v>
      </c>
      <c r="F98" s="38">
        <f>'Income Statement'!F20-F75</f>
        <v>0</v>
      </c>
      <c r="G98" s="38">
        <f>'Income Statement'!G20-G75</f>
        <v>0</v>
      </c>
      <c r="H98" s="38">
        <f>'Income Statement'!H20-H75</f>
        <v>0</v>
      </c>
      <c r="I98" s="38">
        <f>'Income Statement'!I20-I75</f>
        <v>0</v>
      </c>
      <c r="J98" s="38">
        <f>'Income Statement'!J20-J75</f>
        <v>0</v>
      </c>
      <c r="K98" s="38">
        <f>'Income Statement'!K20-K75</f>
        <v>-4.5776800250000065</v>
      </c>
      <c r="L98" s="38">
        <f>'Income Statement'!L20-L75</f>
        <v>-4.6165200374999813</v>
      </c>
      <c r="M98" s="38">
        <f>'Income Statement'!M20-M75</f>
        <v>-4.5776800249998928</v>
      </c>
      <c r="N98" s="38">
        <f>'Income Statement'!N20-N75</f>
        <v>-36.482882467500076</v>
      </c>
      <c r="O98" s="38">
        <f>'Income Statement'!O20-O75</f>
        <v>-14.829818514754436</v>
      </c>
      <c r="P98" s="38">
        <f>'Income Statement'!P20-P75</f>
        <v>-16.007761540916704</v>
      </c>
      <c r="Q98" s="38">
        <f>'Income Statement'!Q20-Q75</f>
        <v>-17.564436571875035</v>
      </c>
      <c r="R98" s="38">
        <f>'Income Statement'!R20-R75</f>
        <v>-17.626368391906624</v>
      </c>
      <c r="S98" s="38">
        <f>'Income Statement'!S20-S75</f>
        <v>-18.574458576354345</v>
      </c>
      <c r="T98" s="38">
        <f>'Income Statement'!T20-T75</f>
        <v>-19.812612483720784</v>
      </c>
      <c r="U98" s="38">
        <f>'Income Statement'!U20-U75</f>
        <v>-20.723795565462922</v>
      </c>
      <c r="V98" s="38">
        <v>-20.312334344173564</v>
      </c>
      <c r="W98" s="38">
        <v>-20.998295475011219</v>
      </c>
      <c r="X98" s="38">
        <f>'Income Statement'!X20-X75</f>
        <v>0</v>
      </c>
      <c r="Z98" s="38">
        <v>-376.34976277324336</v>
      </c>
      <c r="AA98" s="38">
        <v>-768.59492812543385</v>
      </c>
      <c r="AB98" s="38">
        <v>-1130.6535129036729</v>
      </c>
      <c r="AC98" s="38">
        <v>-66.028385019452799</v>
      </c>
      <c r="AD98" s="38">
        <v>-79.445013329711628</v>
      </c>
    </row>
    <row r="99" spans="2:30" ht="14.25" customHeight="1" x14ac:dyDescent="0.35">
      <c r="B99" s="43" t="s">
        <v>70</v>
      </c>
      <c r="C99" s="40">
        <v>-15.294364889826999</v>
      </c>
      <c r="D99" s="40">
        <v>-16.11639823423593</v>
      </c>
      <c r="E99" s="40">
        <v>-101.38122337149423</v>
      </c>
      <c r="F99" s="40">
        <v>-82.569091774002146</v>
      </c>
      <c r="G99" s="40">
        <v>-84.537562807499995</v>
      </c>
      <c r="H99" s="40">
        <v>-110.64557225249992</v>
      </c>
      <c r="I99" s="40">
        <v>-147.14514355652904</v>
      </c>
      <c r="J99" s="40">
        <v>-50.095634114243467</v>
      </c>
      <c r="K99" s="40">
        <v>-32.367308927499835</v>
      </c>
      <c r="L99" s="40">
        <v>-55.211693817499508</v>
      </c>
      <c r="M99" s="40">
        <v>-47.01009591211141</v>
      </c>
      <c r="N99" s="40">
        <v>-5.5467453142459817</v>
      </c>
      <c r="O99" s="40">
        <f>'Income Statement'!O21-O76</f>
        <v>-33.584658242254136</v>
      </c>
      <c r="P99" s="40">
        <f>'Income Statement'!P21-P76</f>
        <v>-45.751072623237178</v>
      </c>
      <c r="Q99" s="40">
        <f>'Income Statement'!Q21-Q76</f>
        <v>-44.661715967999044</v>
      </c>
      <c r="R99" s="40">
        <f>'Income Statement'!R21-R76</f>
        <v>-49.186844754101912</v>
      </c>
      <c r="S99" s="40">
        <f>'Income Statement'!S21-S76</f>
        <v>-59.999999999999545</v>
      </c>
      <c r="T99" s="40">
        <f>'Income Statement'!T21-T76</f>
        <v>-58.073084193655632</v>
      </c>
      <c r="U99" s="40">
        <f>'Income Statement'!U21-U76</f>
        <v>-62.054346234054719</v>
      </c>
      <c r="V99" s="40">
        <v>-48.900000000000546</v>
      </c>
      <c r="W99" s="40">
        <v>-43.659999999999854</v>
      </c>
      <c r="X99" s="40">
        <f>'Income Statement'!X21-X76</f>
        <v>-42.891999999999825</v>
      </c>
      <c r="Z99" s="40">
        <v>-215.3610782695593</v>
      </c>
      <c r="AA99" s="40">
        <v>-392.42391273077243</v>
      </c>
      <c r="AB99" s="40">
        <v>-140.13584397135673</v>
      </c>
      <c r="AC99" s="40">
        <v>-173.22748201707282</v>
      </c>
      <c r="AD99" s="40">
        <v>-228.96216647068468</v>
      </c>
    </row>
    <row r="100" spans="2:30" ht="14.25" customHeight="1" x14ac:dyDescent="0.35">
      <c r="B100" s="23" t="s">
        <v>71</v>
      </c>
      <c r="C100" s="38">
        <v>0</v>
      </c>
      <c r="D100" s="38">
        <v>0</v>
      </c>
      <c r="E100" s="38">
        <v>0</v>
      </c>
      <c r="F100" s="38">
        <v>0</v>
      </c>
      <c r="G100" s="38">
        <v>0</v>
      </c>
      <c r="H100" s="38">
        <v>0</v>
      </c>
      <c r="I100" s="38">
        <v>0</v>
      </c>
      <c r="J100" s="38">
        <v>0</v>
      </c>
      <c r="K100" s="52">
        <v>-1.5838974655499989</v>
      </c>
      <c r="L100" s="52">
        <v>0</v>
      </c>
      <c r="M100" s="52">
        <v>0</v>
      </c>
      <c r="N100" s="52">
        <v>0</v>
      </c>
      <c r="O100" s="52">
        <f>'Income Statement'!O22-O77</f>
        <v>0</v>
      </c>
      <c r="P100" s="52">
        <f>'Income Statement'!P22-P77</f>
        <v>0</v>
      </c>
      <c r="Q100" s="52">
        <f>'Income Statement'!Q22-Q77</f>
        <v>9.5680955909571708E-3</v>
      </c>
      <c r="R100" s="52">
        <f>'Income Statement'!R22-R77</f>
        <v>0</v>
      </c>
      <c r="S100" s="52">
        <f>'Income Statement'!S22-S77</f>
        <v>0</v>
      </c>
      <c r="T100" s="52">
        <f>'Income Statement'!T22-T77</f>
        <v>-1.4248850841227068E-2</v>
      </c>
      <c r="U100" s="52">
        <f>'Income Statement'!U22-U77</f>
        <v>-1.4248850841227068E-2</v>
      </c>
      <c r="V100" s="52">
        <v>-1.4248850841227068E-2</v>
      </c>
      <c r="W100" s="52">
        <v>14.835751149158767</v>
      </c>
      <c r="X100" s="52">
        <f>'Income Statement'!X22-X77</f>
        <v>14.581000000000003</v>
      </c>
      <c r="Z100" s="38">
        <v>0</v>
      </c>
      <c r="AA100" s="38">
        <v>0</v>
      </c>
      <c r="AB100" s="38">
        <v>-1.5838974655499989</v>
      </c>
      <c r="AC100" s="52">
        <v>1.6618685635961583E-2</v>
      </c>
      <c r="AD100" s="52">
        <v>-3.9503200000012839E-2</v>
      </c>
    </row>
    <row r="101" spans="2:30" ht="14.25" customHeight="1" x14ac:dyDescent="0.35">
      <c r="B101" s="23" t="s">
        <v>72</v>
      </c>
      <c r="C101" s="38">
        <v>5.2001396729504847</v>
      </c>
      <c r="D101" s="38">
        <v>5.4388873202402124</v>
      </c>
      <c r="E101" s="38">
        <v>34.428927865823724</v>
      </c>
      <c r="F101" s="38">
        <v>28.026217846599991</v>
      </c>
      <c r="G101" s="38">
        <v>28.742771354550001</v>
      </c>
      <c r="H101" s="38">
        <v>37.619494565850005</v>
      </c>
      <c r="I101" s="38">
        <v>50.029348809219883</v>
      </c>
      <c r="J101" s="38">
        <v>17.032515598842743</v>
      </c>
      <c r="K101" s="52">
        <v>12.588782500899995</v>
      </c>
      <c r="L101" s="52">
        <v>18.77197589795</v>
      </c>
      <c r="M101" s="52">
        <v>15.98343261011793</v>
      </c>
      <c r="N101" s="52">
        <v>1.8858390110937222</v>
      </c>
      <c r="O101" s="52">
        <f>'Income Statement'!O23-O78</f>
        <v>11.418540023216494</v>
      </c>
      <c r="P101" s="52">
        <f>'Income Statement'!P23-P78</f>
        <v>15.552053516111698</v>
      </c>
      <c r="Q101" s="52">
        <f>'Income Statement'!Q23-Q78</f>
        <v>15.205769682632507</v>
      </c>
      <c r="R101" s="52">
        <f>'Income Statement'!R23-R78</f>
        <v>16.730327216394841</v>
      </c>
      <c r="S101" s="52">
        <f>'Income Statement'!S23-S78</f>
        <v>20.400000000000006</v>
      </c>
      <c r="T101" s="52">
        <f>'Income Statement'!T23-T78</f>
        <v>19.745204760689461</v>
      </c>
      <c r="U101" s="52">
        <f>'Income Statement'!U23-U78</f>
        <v>21.09847771957854</v>
      </c>
      <c r="V101" s="52">
        <v>16.5</v>
      </c>
      <c r="W101" s="52">
        <v>0</v>
      </c>
      <c r="X101" s="52">
        <f>'Income Statement'!X23-X78</f>
        <v>0</v>
      </c>
      <c r="Z101" s="38">
        <v>73.094172705614412</v>
      </c>
      <c r="AA101" s="38">
        <v>133.42413032846264</v>
      </c>
      <c r="AB101" s="38">
        <v>49.230030020061648</v>
      </c>
      <c r="AC101" s="52">
        <v>58.900428368355506</v>
      </c>
      <c r="AD101" s="52">
        <v>77.790644090268017</v>
      </c>
    </row>
    <row r="102" spans="2:30" ht="14.25" customHeight="1" x14ac:dyDescent="0.35">
      <c r="B102" s="43" t="s">
        <v>73</v>
      </c>
      <c r="C102" s="40">
        <v>5.2001396729504847</v>
      </c>
      <c r="D102" s="40">
        <v>5.4388873202402124</v>
      </c>
      <c r="E102" s="40">
        <v>34.428927865823724</v>
      </c>
      <c r="F102" s="40">
        <v>28.026217846599991</v>
      </c>
      <c r="G102" s="40">
        <v>28.742771354550001</v>
      </c>
      <c r="H102" s="40">
        <v>37.619494565850005</v>
      </c>
      <c r="I102" s="40">
        <v>50.029348809219883</v>
      </c>
      <c r="J102" s="40">
        <v>17.032515598842743</v>
      </c>
      <c r="K102" s="40">
        <v>11.004885035349997</v>
      </c>
      <c r="L102" s="40">
        <v>18.77197589795</v>
      </c>
      <c r="M102" s="40">
        <v>15.98343261011793</v>
      </c>
      <c r="N102" s="40">
        <v>1.8858390110937222</v>
      </c>
      <c r="O102" s="40">
        <f>'Income Statement'!O24-O79</f>
        <v>11.41854002321648</v>
      </c>
      <c r="P102" s="40">
        <f>'Income Statement'!P24-P79</f>
        <v>15.552053516111698</v>
      </c>
      <c r="Q102" s="40">
        <f>'Income Statement'!Q24-Q79</f>
        <v>15.215337778223457</v>
      </c>
      <c r="R102" s="40">
        <f>'Income Statement'!R24-R79</f>
        <v>16.730327216394841</v>
      </c>
      <c r="S102" s="40">
        <f>'Income Statement'!S24-S79</f>
        <v>20.400000000000006</v>
      </c>
      <c r="T102" s="40">
        <f>'Income Statement'!T24-T79</f>
        <v>19.730955909848234</v>
      </c>
      <c r="U102" s="40">
        <f>'Income Statement'!U24-U79</f>
        <v>21.084228868737313</v>
      </c>
      <c r="V102" s="40">
        <v>16.485751149158773</v>
      </c>
      <c r="W102" s="40">
        <v>14.835751149158767</v>
      </c>
      <c r="X102" s="40">
        <f>'Income Statement'!X24-X79</f>
        <v>14.581000000000017</v>
      </c>
      <c r="Z102" s="40">
        <v>73.094172705614412</v>
      </c>
      <c r="AA102" s="40">
        <v>133.42413032846264</v>
      </c>
      <c r="AB102" s="40">
        <v>47.646132554511652</v>
      </c>
      <c r="AC102" s="40">
        <v>58.917047053991439</v>
      </c>
      <c r="AD102" s="40">
        <v>77.751140890268061</v>
      </c>
    </row>
    <row r="103" spans="2:30" ht="14.25" customHeight="1" thickBot="1" x14ac:dyDescent="0.4">
      <c r="B103" s="44" t="s">
        <v>83</v>
      </c>
      <c r="C103" s="45">
        <v>-10.094225216876515</v>
      </c>
      <c r="D103" s="45">
        <v>-10.677510913995718</v>
      </c>
      <c r="E103" s="45">
        <v>-66.952295505670506</v>
      </c>
      <c r="F103" s="45">
        <v>-54.542873927402155</v>
      </c>
      <c r="G103" s="45">
        <v>-55.794791452949994</v>
      </c>
      <c r="H103" s="45">
        <v>-73.026077686649913</v>
      </c>
      <c r="I103" s="45">
        <v>-97.115794747309153</v>
      </c>
      <c r="J103" s="45">
        <v>-33.063118515400724</v>
      </c>
      <c r="K103" s="45">
        <v>-21.362423892149838</v>
      </c>
      <c r="L103" s="45">
        <v>-36.439717919549508</v>
      </c>
      <c r="M103" s="45">
        <v>-31.02666330199348</v>
      </c>
      <c r="N103" s="45">
        <v>-3.6609063031522595</v>
      </c>
      <c r="O103" s="45">
        <f>'Income Statement'!O25-O80</f>
        <v>-22.166118219037628</v>
      </c>
      <c r="P103" s="45">
        <f>'Income Statement'!P25-P80</f>
        <v>-30.199019107125423</v>
      </c>
      <c r="Q103" s="45">
        <f>'Income Statement'!Q25-Q80</f>
        <v>-29.446378189775544</v>
      </c>
      <c r="R103" s="45">
        <f>'Income Statement'!R25-R80</f>
        <v>-32.4565175377071</v>
      </c>
      <c r="S103" s="45">
        <f>'Income Statement'!S25-S80</f>
        <v>-39.599999999999511</v>
      </c>
      <c r="T103" s="45">
        <f>'Income Statement'!T25-T80</f>
        <v>-38.342128283807426</v>
      </c>
      <c r="U103" s="45">
        <f>'Income Statement'!U25-U80</f>
        <v>-40.970117365317378</v>
      </c>
      <c r="V103" s="45">
        <v>-32.414248850841773</v>
      </c>
      <c r="W103" s="45">
        <v>-28.72424885084115</v>
      </c>
      <c r="X103" s="45">
        <f>'Income Statement'!X25-X80</f>
        <v>-28.309000000000651</v>
      </c>
      <c r="Z103" s="45">
        <v>-142.26690556394487</v>
      </c>
      <c r="AA103" s="45">
        <v>-258.99978240230979</v>
      </c>
      <c r="AB103" s="45">
        <v>-92.489711416845083</v>
      </c>
      <c r="AC103" s="45">
        <v>-114.31043496308121</v>
      </c>
      <c r="AD103" s="45">
        <v>-151.21102558041684</v>
      </c>
    </row>
    <row r="104" spans="2:30" ht="14.25" customHeight="1" x14ac:dyDescent="0.35">
      <c r="C104" s="19"/>
      <c r="D104" s="19"/>
      <c r="E104" s="19"/>
      <c r="F104" s="19"/>
      <c r="G104" s="19"/>
      <c r="H104" s="19"/>
      <c r="I104" s="19"/>
      <c r="J104" s="19"/>
      <c r="K104" s="19"/>
      <c r="L104" s="19"/>
      <c r="M104" s="19"/>
      <c r="N104" s="19"/>
      <c r="O104" s="19"/>
      <c r="P104" s="19"/>
      <c r="Q104" s="19"/>
      <c r="R104" s="19"/>
      <c r="S104" s="19"/>
      <c r="T104" s="19"/>
      <c r="U104" s="19"/>
      <c r="V104" s="19"/>
      <c r="W104" s="19"/>
      <c r="X104" s="19"/>
      <c r="Z104" s="19"/>
      <c r="AA104" s="19"/>
      <c r="AB104" s="19"/>
      <c r="AC104" s="19"/>
      <c r="AD104" s="19"/>
    </row>
    <row r="105" spans="2:30" ht="14.25" customHeight="1" x14ac:dyDescent="0.35">
      <c r="B105" s="13" t="s">
        <v>474</v>
      </c>
      <c r="C105" s="38"/>
      <c r="D105" s="38"/>
      <c r="E105" s="38"/>
      <c r="F105" s="38"/>
      <c r="G105" s="38"/>
      <c r="H105" s="38"/>
      <c r="I105" s="38"/>
      <c r="J105" s="38"/>
      <c r="K105" s="38"/>
      <c r="L105" s="38"/>
      <c r="M105" s="38"/>
      <c r="N105" s="38"/>
      <c r="O105" s="38"/>
      <c r="P105" s="38"/>
      <c r="Q105" s="38"/>
      <c r="R105" s="38"/>
      <c r="S105" s="38"/>
      <c r="T105" s="38"/>
      <c r="U105" s="38"/>
      <c r="V105" s="38"/>
      <c r="W105" s="38"/>
      <c r="X105" s="38"/>
    </row>
    <row r="106" spans="2:30" ht="14.25" customHeight="1" x14ac:dyDescent="0.35">
      <c r="B106" s="15" t="s">
        <v>1</v>
      </c>
      <c r="C106" s="38"/>
      <c r="D106" s="38"/>
      <c r="E106" s="38"/>
      <c r="F106" s="38"/>
      <c r="G106" s="38"/>
      <c r="H106" s="38"/>
      <c r="I106" s="38"/>
      <c r="J106" s="38"/>
      <c r="K106" s="38"/>
      <c r="L106" s="38"/>
      <c r="M106" s="38"/>
      <c r="N106" s="38"/>
      <c r="O106" s="38"/>
      <c r="P106" s="38"/>
      <c r="Q106" s="38"/>
      <c r="R106" s="38"/>
      <c r="S106" s="38"/>
      <c r="T106" s="38"/>
      <c r="U106" s="38"/>
      <c r="V106" s="38"/>
      <c r="W106" s="38"/>
      <c r="X106" s="38"/>
    </row>
    <row r="107" spans="2:30" ht="14.25" customHeight="1" x14ac:dyDescent="0.35">
      <c r="C107" s="38"/>
      <c r="D107" s="38"/>
      <c r="E107" s="38"/>
      <c r="F107" s="38"/>
      <c r="G107" s="38"/>
      <c r="H107" s="38"/>
      <c r="I107" s="38"/>
      <c r="J107" s="38"/>
      <c r="K107" s="38"/>
      <c r="L107" s="38"/>
      <c r="M107" s="38"/>
      <c r="N107" s="38"/>
      <c r="O107" s="38"/>
      <c r="P107" s="38"/>
      <c r="Q107" s="38"/>
      <c r="R107" s="38"/>
      <c r="S107" s="38"/>
      <c r="T107" s="38"/>
      <c r="U107" s="38"/>
      <c r="V107" s="38"/>
      <c r="W107" s="38"/>
      <c r="X107" s="38"/>
    </row>
    <row r="108" spans="2:30" ht="14.25" customHeight="1" thickBot="1" x14ac:dyDescent="0.4">
      <c r="B108" s="191" t="s">
        <v>475</v>
      </c>
      <c r="C108" s="189" t="s">
        <v>3</v>
      </c>
      <c r="D108" s="189" t="s">
        <v>4</v>
      </c>
      <c r="E108" s="189" t="s">
        <v>5</v>
      </c>
      <c r="F108" s="189" t="s">
        <v>6</v>
      </c>
      <c r="G108" s="189" t="s">
        <v>7</v>
      </c>
      <c r="H108" s="189" t="s">
        <v>8</v>
      </c>
      <c r="I108" s="189" t="s">
        <v>9</v>
      </c>
      <c r="J108" s="189" t="s">
        <v>10</v>
      </c>
      <c r="K108" s="189" t="s">
        <v>11</v>
      </c>
      <c r="L108" s="189" t="s">
        <v>12</v>
      </c>
      <c r="M108" s="189" t="s">
        <v>13</v>
      </c>
      <c r="N108" s="189" t="s">
        <v>14</v>
      </c>
      <c r="O108" s="189" t="s">
        <v>15</v>
      </c>
      <c r="P108" s="189" t="s">
        <v>16</v>
      </c>
      <c r="Q108" s="189" t="s">
        <v>17</v>
      </c>
      <c r="R108" s="189" t="s">
        <v>18</v>
      </c>
      <c r="S108" s="189" t="s">
        <v>19</v>
      </c>
      <c r="T108" s="189" t="str">
        <f>'Operating Metrics - Old_View'!$T$5</f>
        <v>2Q24</v>
      </c>
      <c r="U108" s="189" t="str">
        <f t="shared" ref="U108:U112" si="53">U60</f>
        <v>3Q24</v>
      </c>
      <c r="V108" s="189" t="s">
        <v>22</v>
      </c>
      <c r="W108" s="189" t="s">
        <v>457</v>
      </c>
      <c r="X108" s="189" t="s">
        <v>493</v>
      </c>
      <c r="Z108" s="189">
        <v>2020</v>
      </c>
      <c r="AA108" s="189">
        <v>2021</v>
      </c>
      <c r="AB108" s="189">
        <v>2022</v>
      </c>
      <c r="AC108" s="189">
        <v>2023</v>
      </c>
      <c r="AD108" s="189">
        <v>2024</v>
      </c>
    </row>
    <row r="109" spans="2:30" ht="14.25" customHeight="1" x14ac:dyDescent="0.35">
      <c r="B109" s="23" t="s">
        <v>55</v>
      </c>
      <c r="C109" s="46" t="s">
        <v>28</v>
      </c>
      <c r="D109" s="46" t="s">
        <v>28</v>
      </c>
      <c r="E109" s="46" t="s">
        <v>28</v>
      </c>
      <c r="F109" s="46" t="s">
        <v>28</v>
      </c>
      <c r="G109" s="46" t="s">
        <v>28</v>
      </c>
      <c r="H109" s="46" t="s">
        <v>28</v>
      </c>
      <c r="I109" s="46" t="s">
        <v>28</v>
      </c>
      <c r="J109" s="46" t="s">
        <v>28</v>
      </c>
      <c r="K109" s="47">
        <v>2054.5835353347502</v>
      </c>
      <c r="L109" s="47">
        <v>2255.6887042754479</v>
      </c>
      <c r="M109" s="47">
        <v>2292.0781641628746</v>
      </c>
      <c r="N109" s="47">
        <v>2304.0569918470851</v>
      </c>
      <c r="O109" s="47">
        <f t="shared" ref="O109:T112" si="54">O61</f>
        <v>2150.9540410960394</v>
      </c>
      <c r="P109" s="47">
        <f t="shared" si="54"/>
        <v>2166.0107382582109</v>
      </c>
      <c r="Q109" s="47">
        <f t="shared" si="54"/>
        <v>2269.2923264974997</v>
      </c>
      <c r="R109" s="47">
        <f t="shared" si="54"/>
        <v>2440.9286334512267</v>
      </c>
      <c r="S109" s="47">
        <f t="shared" si="54"/>
        <v>2369.3000000000002</v>
      </c>
      <c r="T109" s="47">
        <f t="shared" si="54"/>
        <v>2311.9651108013331</v>
      </c>
      <c r="U109" s="47">
        <f t="shared" si="53"/>
        <v>2259.8755594682116</v>
      </c>
      <c r="V109" s="47">
        <v>2242.1</v>
      </c>
      <c r="W109" s="47">
        <v>2013.9700000000003</v>
      </c>
      <c r="X109" s="47">
        <f t="shared" ref="X109" si="55">X61</f>
        <v>1988.7070000000001</v>
      </c>
      <c r="Z109" s="46" t="s">
        <v>28</v>
      </c>
      <c r="AA109" s="47">
        <v>6784.8111985435207</v>
      </c>
      <c r="AB109" s="47">
        <v>8906.4073956201573</v>
      </c>
      <c r="AC109" s="47">
        <v>9027.2471995829765</v>
      </c>
      <c r="AD109" s="47">
        <v>9183.4406702695451</v>
      </c>
    </row>
    <row r="110" spans="2:30" ht="14.25" customHeight="1" x14ac:dyDescent="0.35">
      <c r="B110" s="23" t="s">
        <v>56</v>
      </c>
      <c r="C110" s="46" t="s">
        <v>28</v>
      </c>
      <c r="D110" s="46" t="s">
        <v>28</v>
      </c>
      <c r="E110" s="46" t="s">
        <v>28</v>
      </c>
      <c r="F110" s="46" t="s">
        <v>28</v>
      </c>
      <c r="G110" s="46" t="s">
        <v>28</v>
      </c>
      <c r="H110" s="46" t="s">
        <v>28</v>
      </c>
      <c r="I110" s="46" t="s">
        <v>28</v>
      </c>
      <c r="J110" s="46" t="s">
        <v>28</v>
      </c>
      <c r="K110" s="47">
        <v>0</v>
      </c>
      <c r="L110" s="47">
        <v>0</v>
      </c>
      <c r="M110" s="47">
        <v>0</v>
      </c>
      <c r="N110" s="47">
        <v>0</v>
      </c>
      <c r="O110" s="47">
        <f t="shared" si="54"/>
        <v>0</v>
      </c>
      <c r="P110" s="47">
        <f t="shared" si="54"/>
        <v>0</v>
      </c>
      <c r="Q110" s="47">
        <f t="shared" si="54"/>
        <v>0</v>
      </c>
      <c r="R110" s="47">
        <f t="shared" si="54"/>
        <v>0</v>
      </c>
      <c r="S110" s="47">
        <f t="shared" si="54"/>
        <v>0</v>
      </c>
      <c r="T110" s="47">
        <f t="shared" si="54"/>
        <v>0</v>
      </c>
      <c r="U110" s="47">
        <f t="shared" si="53"/>
        <v>0</v>
      </c>
      <c r="V110" s="47">
        <v>0</v>
      </c>
      <c r="W110" s="47">
        <v>0</v>
      </c>
      <c r="X110" s="47">
        <f t="shared" ref="X110" si="56">X62</f>
        <v>0</v>
      </c>
      <c r="Z110" s="46" t="s">
        <v>28</v>
      </c>
      <c r="AA110" s="47">
        <v>0</v>
      </c>
      <c r="AB110" s="47">
        <v>0</v>
      </c>
      <c r="AC110" s="47">
        <v>0</v>
      </c>
      <c r="AD110" s="47">
        <v>0</v>
      </c>
    </row>
    <row r="111" spans="2:30" ht="14.25" customHeight="1" x14ac:dyDescent="0.35">
      <c r="B111" s="23" t="s">
        <v>57</v>
      </c>
      <c r="C111" s="46" t="s">
        <v>28</v>
      </c>
      <c r="D111" s="46" t="s">
        <v>28</v>
      </c>
      <c r="E111" s="46" t="s">
        <v>28</v>
      </c>
      <c r="F111" s="46" t="s">
        <v>28</v>
      </c>
      <c r="G111" s="46" t="s">
        <v>28</v>
      </c>
      <c r="H111" s="46" t="s">
        <v>28</v>
      </c>
      <c r="I111" s="46" t="s">
        <v>28</v>
      </c>
      <c r="J111" s="46" t="s">
        <v>28</v>
      </c>
      <c r="K111" s="47">
        <v>1330.7924400299999</v>
      </c>
      <c r="L111" s="47">
        <v>1610.1014512699999</v>
      </c>
      <c r="M111" s="47">
        <v>1697.2224831200001</v>
      </c>
      <c r="N111" s="47">
        <v>1614.6167977600005</v>
      </c>
      <c r="O111" s="47">
        <f t="shared" si="54"/>
        <v>1534.20182112</v>
      </c>
      <c r="P111" s="47">
        <f t="shared" si="54"/>
        <v>1594.9740162400001</v>
      </c>
      <c r="Q111" s="47">
        <f t="shared" si="54"/>
        <v>1691.27318769</v>
      </c>
      <c r="R111" s="47">
        <f t="shared" si="54"/>
        <v>1832.59720629</v>
      </c>
      <c r="S111" s="47">
        <f t="shared" si="54"/>
        <v>1832</v>
      </c>
      <c r="T111" s="47">
        <f t="shared" si="54"/>
        <v>2113.0845738100002</v>
      </c>
      <c r="U111" s="47">
        <f t="shared" si="53"/>
        <v>2444.7775322000002</v>
      </c>
      <c r="V111" s="47">
        <v>2760.6</v>
      </c>
      <c r="W111" s="47">
        <v>2697.2999999999997</v>
      </c>
      <c r="X111" s="47">
        <f t="shared" ref="X111" si="57">X63</f>
        <v>2902.268</v>
      </c>
      <c r="Z111" s="46" t="s">
        <v>28</v>
      </c>
      <c r="AA111" s="47">
        <v>3514.4123227885602</v>
      </c>
      <c r="AB111" s="47">
        <v>6252.733172180001</v>
      </c>
      <c r="AC111" s="47">
        <v>6653.0462313400003</v>
      </c>
      <c r="AD111" s="47">
        <v>9150.4621060099998</v>
      </c>
    </row>
    <row r="112" spans="2:30" ht="14.25" customHeight="1" x14ac:dyDescent="0.35">
      <c r="B112" s="23" t="s">
        <v>58</v>
      </c>
      <c r="C112" s="46" t="s">
        <v>28</v>
      </c>
      <c r="D112" s="46" t="s">
        <v>28</v>
      </c>
      <c r="E112" s="46" t="s">
        <v>28</v>
      </c>
      <c r="F112" s="46" t="s">
        <v>28</v>
      </c>
      <c r="G112" s="46" t="s">
        <v>28</v>
      </c>
      <c r="H112" s="46" t="s">
        <v>28</v>
      </c>
      <c r="I112" s="46" t="s">
        <v>28</v>
      </c>
      <c r="J112" s="46" t="s">
        <v>28</v>
      </c>
      <c r="K112" s="47">
        <v>41.575661348273591</v>
      </c>
      <c r="L112" s="47">
        <v>44.767461206920004</v>
      </c>
      <c r="M112" s="47">
        <v>46.125531217340701</v>
      </c>
      <c r="N112" s="47">
        <v>43.304396118690697</v>
      </c>
      <c r="O112" s="47">
        <f t="shared" si="54"/>
        <v>64.514456851412689</v>
      </c>
      <c r="P112" s="47">
        <f t="shared" si="54"/>
        <v>64.928017820652315</v>
      </c>
      <c r="Q112" s="47">
        <f t="shared" si="54"/>
        <v>65.580801565124005</v>
      </c>
      <c r="R112" s="47">
        <f t="shared" si="54"/>
        <v>73.085521428619998</v>
      </c>
      <c r="S112" s="47">
        <f t="shared" si="54"/>
        <v>105.1</v>
      </c>
      <c r="T112" s="47">
        <f t="shared" si="54"/>
        <v>131.65715204309703</v>
      </c>
      <c r="U112" s="47">
        <f t="shared" si="53"/>
        <v>126.83835953043304</v>
      </c>
      <c r="V112" s="47">
        <v>112.4</v>
      </c>
      <c r="W112" s="47">
        <v>138.89000000000001</v>
      </c>
      <c r="X112" s="47">
        <f t="shared" ref="X112" si="58">X64</f>
        <v>167.2</v>
      </c>
      <c r="Z112" s="46" t="s">
        <v>28</v>
      </c>
      <c r="AA112" s="47">
        <v>149.49818208791999</v>
      </c>
      <c r="AB112" s="47">
        <v>175.77304989122499</v>
      </c>
      <c r="AC112" s="47">
        <v>268.10879766580899</v>
      </c>
      <c r="AD112" s="47">
        <v>475.79551157353012</v>
      </c>
    </row>
    <row r="113" spans="2:30" ht="14.25" customHeight="1" x14ac:dyDescent="0.35">
      <c r="B113" s="39" t="s">
        <v>59</v>
      </c>
      <c r="C113" s="40" t="s">
        <v>28</v>
      </c>
      <c r="D113" s="40" t="s">
        <v>28</v>
      </c>
      <c r="E113" s="40" t="s">
        <v>28</v>
      </c>
      <c r="F113" s="40" t="s">
        <v>28</v>
      </c>
      <c r="G113" s="40" t="s">
        <v>28</v>
      </c>
      <c r="H113" s="40" t="s">
        <v>28</v>
      </c>
      <c r="I113" s="40" t="s">
        <v>28</v>
      </c>
      <c r="J113" s="40" t="s">
        <v>28</v>
      </c>
      <c r="K113" s="40">
        <v>3426.9516367130236</v>
      </c>
      <c r="L113" s="40">
        <v>3910.5576167523677</v>
      </c>
      <c r="M113" s="40">
        <v>4035.4261785002154</v>
      </c>
      <c r="N113" s="40">
        <v>3961.9781857257763</v>
      </c>
      <c r="O113" s="40">
        <f t="shared" ref="O113:U113" si="59">SUM(O109:O112)</f>
        <v>3749.6703190674521</v>
      </c>
      <c r="P113" s="40">
        <f t="shared" si="59"/>
        <v>3825.9127723188635</v>
      </c>
      <c r="Q113" s="40">
        <f t="shared" si="59"/>
        <v>4026.1463157526237</v>
      </c>
      <c r="R113" s="40">
        <f t="shared" si="59"/>
        <v>4346.6113611698474</v>
      </c>
      <c r="S113" s="40">
        <f t="shared" si="59"/>
        <v>4306.4000000000005</v>
      </c>
      <c r="T113" s="40">
        <f t="shared" si="59"/>
        <v>4556.7068366544299</v>
      </c>
      <c r="U113" s="40">
        <f t="shared" si="59"/>
        <v>4831.4914511986444</v>
      </c>
      <c r="V113" s="40">
        <v>5115.0999999999995</v>
      </c>
      <c r="W113" s="40">
        <v>4850.1600000000008</v>
      </c>
      <c r="X113" s="40">
        <f t="shared" ref="X113" si="60">SUM(X109:X112)</f>
        <v>5058.1750000000002</v>
      </c>
      <c r="Z113" s="40" t="s">
        <v>28</v>
      </c>
      <c r="AA113" s="40">
        <v>10448.69208726</v>
      </c>
      <c r="AB113" s="40">
        <v>15334.914000000001</v>
      </c>
      <c r="AC113" s="40">
        <v>15948.401</v>
      </c>
      <c r="AD113" s="40">
        <v>18809.632000000001</v>
      </c>
    </row>
    <row r="114" spans="2:30" ht="14.25" customHeight="1" x14ac:dyDescent="0.35">
      <c r="B114" s="23" t="s">
        <v>86</v>
      </c>
      <c r="C114" s="46" t="s">
        <v>28</v>
      </c>
      <c r="D114" s="46" t="s">
        <v>28</v>
      </c>
      <c r="E114" s="46" t="s">
        <v>28</v>
      </c>
      <c r="F114" s="46" t="s">
        <v>28</v>
      </c>
      <c r="G114" s="46" t="s">
        <v>28</v>
      </c>
      <c r="H114" s="46" t="s">
        <v>28</v>
      </c>
      <c r="I114" s="46" t="s">
        <v>28</v>
      </c>
      <c r="J114" s="46" t="s">
        <v>28</v>
      </c>
      <c r="K114" s="47">
        <v>-1302.9783022702736</v>
      </c>
      <c r="L114" s="47">
        <v>-1414.2046547948698</v>
      </c>
      <c r="M114" s="47">
        <v>-1371.616829647784</v>
      </c>
      <c r="N114" s="47">
        <v>-1478.260653589706</v>
      </c>
      <c r="O114" s="47">
        <v>-1388.7597120633327</v>
      </c>
      <c r="P114" s="47">
        <v>-1414.229083863765</v>
      </c>
      <c r="Q114" s="47">
        <v>-1508.4405418065849</v>
      </c>
      <c r="R114" s="47">
        <v>-1644.6789234142159</v>
      </c>
      <c r="S114" s="47">
        <v>-1626.5413978819392</v>
      </c>
      <c r="T114" s="47">
        <v>-1760.9144882813698</v>
      </c>
      <c r="U114" s="47">
        <v>-1850.9271268866919</v>
      </c>
      <c r="V114" s="47">
        <v>-1959.7108673190701</v>
      </c>
      <c r="W114" s="47">
        <v>-1715.4242753760923</v>
      </c>
      <c r="X114" s="47">
        <v>-1735.904</v>
      </c>
      <c r="Z114" s="46" t="s">
        <v>28</v>
      </c>
      <c r="AA114" s="47">
        <v>-4321.1503767700005</v>
      </c>
      <c r="AB114" s="47">
        <v>-5566.9269999999997</v>
      </c>
      <c r="AC114" s="47">
        <v>-5956.1080000000002</v>
      </c>
      <c r="AD114" s="47">
        <v>-7198.0929999999998</v>
      </c>
    </row>
    <row r="115" spans="2:30" ht="14.25" customHeight="1" x14ac:dyDescent="0.35">
      <c r="B115" s="23" t="s">
        <v>65</v>
      </c>
      <c r="C115" s="46" t="s">
        <v>28</v>
      </c>
      <c r="D115" s="46" t="s">
        <v>28</v>
      </c>
      <c r="E115" s="46" t="s">
        <v>28</v>
      </c>
      <c r="F115" s="46" t="s">
        <v>28</v>
      </c>
      <c r="G115" s="46" t="s">
        <v>28</v>
      </c>
      <c r="H115" s="46" t="s">
        <v>28</v>
      </c>
      <c r="I115" s="46" t="s">
        <v>28</v>
      </c>
      <c r="J115" s="46" t="s">
        <v>28</v>
      </c>
      <c r="K115" s="47">
        <v>-620.62783420999995</v>
      </c>
      <c r="L115" s="47">
        <v>-755.55951044419521</v>
      </c>
      <c r="M115" s="47">
        <v>-920.65559389805776</v>
      </c>
      <c r="N115" s="47">
        <v>-854.70929850153209</v>
      </c>
      <c r="O115" s="47">
        <v>-812.97072458971468</v>
      </c>
      <c r="P115" s="47">
        <v>-795.62738407411825</v>
      </c>
      <c r="Q115" s="47">
        <v>-819.93723811680593</v>
      </c>
      <c r="R115" s="47">
        <v>-841.02085084668261</v>
      </c>
      <c r="S115" s="47">
        <v>-827.13272112797347</v>
      </c>
      <c r="T115" s="47">
        <v>-863.42093072595981</v>
      </c>
      <c r="U115" s="47">
        <v>-964.29900973928704</v>
      </c>
      <c r="V115" s="47">
        <v>-1091.8000000000002</v>
      </c>
      <c r="W115" s="47">
        <v>-1177.7638463346641</v>
      </c>
      <c r="X115" s="47">
        <v>-1279.617</v>
      </c>
      <c r="Z115" s="46" t="s">
        <v>28</v>
      </c>
      <c r="AA115" s="47">
        <v>-790.6353383500001</v>
      </c>
      <c r="AB115" s="47">
        <v>-3151.5520000000001</v>
      </c>
      <c r="AC115" s="47">
        <v>-3269.556</v>
      </c>
      <c r="AD115" s="47">
        <v>-3746.6880000000001</v>
      </c>
    </row>
    <row r="116" spans="2:30" ht="14.25" customHeight="1" x14ac:dyDescent="0.35">
      <c r="B116" s="23" t="s">
        <v>76</v>
      </c>
      <c r="C116" s="46" t="s">
        <v>28</v>
      </c>
      <c r="D116" s="46" t="s">
        <v>28</v>
      </c>
      <c r="E116" s="46" t="s">
        <v>28</v>
      </c>
      <c r="F116" s="46" t="s">
        <v>28</v>
      </c>
      <c r="G116" s="46" t="s">
        <v>28</v>
      </c>
      <c r="H116" s="46" t="s">
        <v>28</v>
      </c>
      <c r="I116" s="46" t="s">
        <v>28</v>
      </c>
      <c r="J116" s="46" t="s">
        <v>28</v>
      </c>
      <c r="K116" s="47">
        <v>-249.71464083999999</v>
      </c>
      <c r="L116" s="47">
        <v>-270.48382595791998</v>
      </c>
      <c r="M116" s="47">
        <v>-272.75183490207996</v>
      </c>
      <c r="N116" s="47">
        <v>-191.53634024999999</v>
      </c>
      <c r="O116" s="47">
        <v>-126.54382303</v>
      </c>
      <c r="P116" s="47">
        <v>-121.65799247</v>
      </c>
      <c r="Q116" s="47">
        <v>-165.26</v>
      </c>
      <c r="R116" s="47">
        <v>-122.58471010130081</v>
      </c>
      <c r="S116" s="47">
        <v>-102.73741299845999</v>
      </c>
      <c r="T116" s="47">
        <v>-112.956</v>
      </c>
      <c r="U116" s="47">
        <v>-119.64396086609598</v>
      </c>
      <c r="V116" s="47">
        <v>-120.69999999999999</v>
      </c>
      <c r="W116" s="47">
        <v>-83.451065724638994</v>
      </c>
      <c r="X116" s="47">
        <v>-97.548000000000002</v>
      </c>
      <c r="Z116" s="46" t="s">
        <v>28</v>
      </c>
      <c r="AA116" s="47">
        <v>-664.26797418000001</v>
      </c>
      <c r="AB116" s="47">
        <v>-984.48699999999997</v>
      </c>
      <c r="AC116" s="47">
        <v>-536.048</v>
      </c>
      <c r="AD116" s="47">
        <v>-456.07900000000001</v>
      </c>
    </row>
    <row r="117" spans="2:30" ht="14.25" customHeight="1" x14ac:dyDescent="0.35">
      <c r="B117" s="39" t="s">
        <v>77</v>
      </c>
      <c r="C117" s="40" t="s">
        <v>28</v>
      </c>
      <c r="D117" s="40" t="s">
        <v>28</v>
      </c>
      <c r="E117" s="40" t="s">
        <v>28</v>
      </c>
      <c r="F117" s="40" t="s">
        <v>28</v>
      </c>
      <c r="G117" s="40" t="s">
        <v>28</v>
      </c>
      <c r="H117" s="40" t="s">
        <v>28</v>
      </c>
      <c r="I117" s="40" t="s">
        <v>28</v>
      </c>
      <c r="J117" s="40" t="s">
        <v>28</v>
      </c>
      <c r="K117" s="40">
        <v>1253.6308593927502</v>
      </c>
      <c r="L117" s="40">
        <v>1470.3096255553828</v>
      </c>
      <c r="M117" s="40">
        <v>1470.4019200522935</v>
      </c>
      <c r="N117" s="40">
        <v>1437.4718933845379</v>
      </c>
      <c r="O117" s="40">
        <f t="shared" ref="O117:U117" si="61">SUM(O113:O116)</f>
        <v>1421.3960593844045</v>
      </c>
      <c r="P117" s="40">
        <f t="shared" si="61"/>
        <v>1494.3983119109803</v>
      </c>
      <c r="Q117" s="40">
        <f t="shared" si="61"/>
        <v>1532.5085358292329</v>
      </c>
      <c r="R117" s="40">
        <f t="shared" si="61"/>
        <v>1738.326876807648</v>
      </c>
      <c r="S117" s="40">
        <f t="shared" si="61"/>
        <v>1749.9884679916277</v>
      </c>
      <c r="T117" s="40">
        <f t="shared" si="61"/>
        <v>1819.4154176471004</v>
      </c>
      <c r="U117" s="40">
        <f t="shared" si="61"/>
        <v>1896.6213537065694</v>
      </c>
      <c r="V117" s="40">
        <v>1942.8891326809292</v>
      </c>
      <c r="W117" s="40">
        <v>1873.5208125646054</v>
      </c>
      <c r="X117" s="40">
        <f t="shared" ref="X117" si="62">SUM(X113:X116)</f>
        <v>1945.1060000000002</v>
      </c>
      <c r="Z117" s="40" t="s">
        <v>28</v>
      </c>
      <c r="AA117" s="40">
        <v>4672.6383979599996</v>
      </c>
      <c r="AB117" s="40">
        <v>5631.9480000000012</v>
      </c>
      <c r="AC117" s="40">
        <v>6186.6889999999994</v>
      </c>
      <c r="AD117" s="40">
        <v>7408.7720000000008</v>
      </c>
    </row>
    <row r="118" spans="2:30" ht="14.25" customHeight="1" x14ac:dyDescent="0.35">
      <c r="B118" s="23" t="s">
        <v>78</v>
      </c>
      <c r="C118" s="46" t="s">
        <v>28</v>
      </c>
      <c r="D118" s="46" t="s">
        <v>28</v>
      </c>
      <c r="E118" s="46" t="s">
        <v>28</v>
      </c>
      <c r="F118" s="46" t="s">
        <v>28</v>
      </c>
      <c r="G118" s="46" t="s">
        <v>28</v>
      </c>
      <c r="H118" s="46" t="s">
        <v>28</v>
      </c>
      <c r="I118" s="46" t="s">
        <v>28</v>
      </c>
      <c r="J118" s="46" t="s">
        <v>28</v>
      </c>
      <c r="K118" s="47">
        <v>-560.34529815143378</v>
      </c>
      <c r="L118" s="47">
        <v>-603.29881302186368</v>
      </c>
      <c r="M118" s="47">
        <v>-667.08758512413215</v>
      </c>
      <c r="N118" s="47">
        <v>-621.3271734867717</v>
      </c>
      <c r="O118" s="38">
        <v>-587.03310536598053</v>
      </c>
      <c r="P118" s="38">
        <v>-589.05131505512782</v>
      </c>
      <c r="Q118" s="38">
        <v>-583.1209850971303</v>
      </c>
      <c r="R118" s="38">
        <v>-700.01196866397527</v>
      </c>
      <c r="S118" s="38">
        <v>-708.4928500655293</v>
      </c>
      <c r="T118" s="38">
        <v>-772.51253249275157</v>
      </c>
      <c r="U118" s="38">
        <v>-811.96513134093982</v>
      </c>
      <c r="V118" s="38">
        <v>-821.64415706457135</v>
      </c>
      <c r="W118" s="38">
        <v>-794.20859158443886</v>
      </c>
      <c r="X118" s="38">
        <v>-820.44500000000005</v>
      </c>
      <c r="Z118" s="46" t="s">
        <v>28</v>
      </c>
      <c r="AA118" s="46" t="s">
        <v>28</v>
      </c>
      <c r="AB118" s="47">
        <v>-2452.0588697842013</v>
      </c>
      <c r="AC118" s="47">
        <v>-2459.2173741822144</v>
      </c>
      <c r="AD118" s="47">
        <v>-3114.6146709637924</v>
      </c>
    </row>
    <row r="119" spans="2:30" ht="14.25" customHeight="1" x14ac:dyDescent="0.35">
      <c r="B119" s="23" t="s">
        <v>79</v>
      </c>
      <c r="C119" s="46" t="s">
        <v>28</v>
      </c>
      <c r="D119" s="46" t="s">
        <v>28</v>
      </c>
      <c r="E119" s="46" t="s">
        <v>28</v>
      </c>
      <c r="F119" s="46" t="s">
        <v>28</v>
      </c>
      <c r="G119" s="46" t="s">
        <v>28</v>
      </c>
      <c r="H119" s="46" t="s">
        <v>28</v>
      </c>
      <c r="I119" s="46" t="s">
        <v>28</v>
      </c>
      <c r="J119" s="46" t="s">
        <v>28</v>
      </c>
      <c r="K119" s="47">
        <v>-244.44451568182447</v>
      </c>
      <c r="L119" s="47">
        <v>-369.09060032732958</v>
      </c>
      <c r="M119" s="47">
        <v>-331.00340360615405</v>
      </c>
      <c r="N119" s="47">
        <v>-335.76619773336495</v>
      </c>
      <c r="O119" s="38">
        <v>-364.86047465451782</v>
      </c>
      <c r="P119" s="38">
        <v>-374.30429751683812</v>
      </c>
      <c r="Q119" s="38">
        <v>-392.66166443103998</v>
      </c>
      <c r="R119" s="38">
        <v>-405.36411450637934</v>
      </c>
      <c r="S119" s="38">
        <v>-409.13285671739561</v>
      </c>
      <c r="T119" s="38">
        <v>-411.02922077677914</v>
      </c>
      <c r="U119" s="38">
        <v>-429.0271822702889</v>
      </c>
      <c r="V119" s="38">
        <v>-436.17766565582644</v>
      </c>
      <c r="W119" s="38">
        <v>-455.71902198498879</v>
      </c>
      <c r="X119" s="38">
        <v>-465.62799999999999</v>
      </c>
      <c r="Z119" s="46" t="s">
        <v>28</v>
      </c>
      <c r="AA119" s="46" t="s">
        <v>28</v>
      </c>
      <c r="AB119" s="47">
        <v>-1280.304717348673</v>
      </c>
      <c r="AC119" s="47">
        <v>-1537.1905511087753</v>
      </c>
      <c r="AD119" s="47">
        <v>-1685.36692542029</v>
      </c>
    </row>
    <row r="120" spans="2:30" ht="14.25" customHeight="1" x14ac:dyDescent="0.35">
      <c r="B120" s="43" t="s">
        <v>70</v>
      </c>
      <c r="C120" s="40" t="s">
        <v>28</v>
      </c>
      <c r="D120" s="40" t="s">
        <v>28</v>
      </c>
      <c r="E120" s="40" t="s">
        <v>28</v>
      </c>
      <c r="F120" s="40" t="s">
        <v>28</v>
      </c>
      <c r="G120" s="40" t="s">
        <v>28</v>
      </c>
      <c r="H120" s="40" t="s">
        <v>28</v>
      </c>
      <c r="I120" s="40" t="s">
        <v>28</v>
      </c>
      <c r="J120" s="40" t="s">
        <v>28</v>
      </c>
      <c r="K120" s="40">
        <v>448.8410455594917</v>
      </c>
      <c r="L120" s="40">
        <v>497.92021220618926</v>
      </c>
      <c r="M120" s="40">
        <v>472.31093132200704</v>
      </c>
      <c r="N120" s="40">
        <v>480.3785221644016</v>
      </c>
      <c r="O120" s="40">
        <f t="shared" ref="O120:U120" si="63">SUM(O117:O119)</f>
        <v>469.5024793639061</v>
      </c>
      <c r="P120" s="40">
        <f t="shared" si="63"/>
        <v>531.04269933901435</v>
      </c>
      <c r="Q120" s="40">
        <f t="shared" si="63"/>
        <v>556.72588630106259</v>
      </c>
      <c r="R120" s="40">
        <f t="shared" si="63"/>
        <v>632.95079363729337</v>
      </c>
      <c r="S120" s="40">
        <f t="shared" si="63"/>
        <v>632.36276120870286</v>
      </c>
      <c r="T120" s="40">
        <f t="shared" si="63"/>
        <v>635.87366437756987</v>
      </c>
      <c r="U120" s="40">
        <f t="shared" si="63"/>
        <v>655.62904009534077</v>
      </c>
      <c r="V120" s="40">
        <v>685.06730996053136</v>
      </c>
      <c r="W120" s="40">
        <v>623.59319899517777</v>
      </c>
      <c r="X120" s="40">
        <f t="shared" ref="X120" si="64">SUM(X117:X119)</f>
        <v>659.03300000000013</v>
      </c>
      <c r="Z120" s="40" t="s">
        <v>28</v>
      </c>
      <c r="AA120" s="40">
        <v>1880.4510227504215</v>
      </c>
      <c r="AB120" s="40">
        <v>1899.4507112520896</v>
      </c>
      <c r="AC120" s="40">
        <v>2190.2810747090098</v>
      </c>
      <c r="AD120" s="40">
        <v>2608.7904036159184</v>
      </c>
    </row>
    <row r="121" spans="2:30" ht="14.25" customHeight="1" x14ac:dyDescent="0.35">
      <c r="B121" s="23" t="s">
        <v>71</v>
      </c>
      <c r="C121" s="38" t="s">
        <v>28</v>
      </c>
      <c r="D121" s="38" t="s">
        <v>28</v>
      </c>
      <c r="E121" s="38" t="s">
        <v>28</v>
      </c>
      <c r="F121" s="38" t="s">
        <v>28</v>
      </c>
      <c r="G121" s="38" t="s">
        <v>28</v>
      </c>
      <c r="H121" s="38" t="s">
        <v>28</v>
      </c>
      <c r="I121" s="38" t="s">
        <v>28</v>
      </c>
      <c r="J121" s="38" t="s">
        <v>28</v>
      </c>
      <c r="K121" s="38">
        <v>-27.06713447445</v>
      </c>
      <c r="L121" s="38">
        <v>0.52970634000000061</v>
      </c>
      <c r="M121" s="38">
        <v>1.6036812300000012</v>
      </c>
      <c r="N121" s="38">
        <v>-34.200310139999999</v>
      </c>
      <c r="O121" s="38">
        <f t="shared" ref="O121:U122" si="65">O77</f>
        <v>-18.055750150000001</v>
      </c>
      <c r="P121" s="38">
        <f t="shared" si="65"/>
        <v>-42.238788030000002</v>
      </c>
      <c r="Q121" s="38">
        <f t="shared" si="65"/>
        <v>-16.83688190870496</v>
      </c>
      <c r="R121" s="38">
        <f t="shared" si="65"/>
        <v>-24.731198596931002</v>
      </c>
      <c r="S121" s="38">
        <f t="shared" si="65"/>
        <v>-23.3</v>
      </c>
      <c r="T121" s="38">
        <f t="shared" si="65"/>
        <v>-131.28900071058777</v>
      </c>
      <c r="U121" s="38">
        <f t="shared" si="65"/>
        <v>-11.153998387729771</v>
      </c>
      <c r="V121" s="38">
        <v>-95.385751149158779</v>
      </c>
      <c r="W121" s="38">
        <v>-149.66575114915878</v>
      </c>
      <c r="X121" s="38">
        <f t="shared" ref="X121" si="66">X77</f>
        <v>-139.84700000000001</v>
      </c>
      <c r="Z121" s="38" t="s">
        <v>28</v>
      </c>
      <c r="AA121" s="38">
        <v>-119.80125448999999</v>
      </c>
      <c r="AB121" s="38">
        <v>-59.134057044449996</v>
      </c>
      <c r="AC121" s="38">
        <v>-101.86261868563597</v>
      </c>
      <c r="AD121" s="38">
        <v>-261.1714968</v>
      </c>
    </row>
    <row r="122" spans="2:30" ht="14.25" customHeight="1" x14ac:dyDescent="0.35">
      <c r="B122" s="23" t="s">
        <v>72</v>
      </c>
      <c r="C122" s="38" t="s">
        <v>28</v>
      </c>
      <c r="D122" s="38" t="s">
        <v>28</v>
      </c>
      <c r="E122" s="38" t="s">
        <v>28</v>
      </c>
      <c r="F122" s="38" t="s">
        <v>28</v>
      </c>
      <c r="G122" s="38" t="s">
        <v>28</v>
      </c>
      <c r="H122" s="38" t="s">
        <v>28</v>
      </c>
      <c r="I122" s="38" t="s">
        <v>28</v>
      </c>
      <c r="J122" s="38" t="s">
        <v>28</v>
      </c>
      <c r="K122" s="38">
        <v>-50.4896310309</v>
      </c>
      <c r="L122" s="38">
        <v>-95.088695377949989</v>
      </c>
      <c r="M122" s="38">
        <v>-62.600576430117925</v>
      </c>
      <c r="N122" s="38">
        <v>-34.88064682109372</v>
      </c>
      <c r="O122" s="38">
        <f t="shared" si="65"/>
        <v>-59.556202133216487</v>
      </c>
      <c r="P122" s="38">
        <f t="shared" si="65"/>
        <v>-73.4814808361117</v>
      </c>
      <c r="Q122" s="38">
        <f t="shared" si="65"/>
        <v>-99.7173938026325</v>
      </c>
      <c r="R122" s="38">
        <f t="shared" si="65"/>
        <v>-87.722351596394844</v>
      </c>
      <c r="S122" s="38">
        <f t="shared" si="65"/>
        <v>-86.9</v>
      </c>
      <c r="T122" s="38">
        <f t="shared" si="65"/>
        <v>37.477841199310539</v>
      </c>
      <c r="U122" s="38">
        <f t="shared" si="65"/>
        <v>-72.318485289578547</v>
      </c>
      <c r="V122" s="38">
        <v>41.6</v>
      </c>
      <c r="W122" s="38">
        <v>80.02</v>
      </c>
      <c r="X122" s="38">
        <f t="shared" ref="X122" si="67">X78</f>
        <v>45.779000000000003</v>
      </c>
      <c r="Z122" s="38" t="s">
        <v>28</v>
      </c>
      <c r="AA122" s="38">
        <v>-335.36654812846257</v>
      </c>
      <c r="AB122" s="38">
        <v>-243.05954966006163</v>
      </c>
      <c r="AC122" s="38">
        <v>-320.4774283683555</v>
      </c>
      <c r="AD122" s="38">
        <v>-80.140644090268012</v>
      </c>
    </row>
    <row r="123" spans="2:30" ht="14.25" customHeight="1" x14ac:dyDescent="0.35">
      <c r="B123" s="43" t="s">
        <v>73</v>
      </c>
      <c r="C123" s="40" t="s">
        <v>28</v>
      </c>
      <c r="D123" s="40" t="s">
        <v>28</v>
      </c>
      <c r="E123" s="40" t="s">
        <v>28</v>
      </c>
      <c r="F123" s="40" t="s">
        <v>28</v>
      </c>
      <c r="G123" s="40" t="s">
        <v>28</v>
      </c>
      <c r="H123" s="40" t="s">
        <v>28</v>
      </c>
      <c r="I123" s="40" t="s">
        <v>28</v>
      </c>
      <c r="J123" s="40" t="s">
        <v>28</v>
      </c>
      <c r="K123" s="40">
        <v>-77.55676550535</v>
      </c>
      <c r="L123" s="40">
        <v>-94.558989037949985</v>
      </c>
      <c r="M123" s="40">
        <v>-60.996895200117926</v>
      </c>
      <c r="N123" s="40">
        <v>-69.080956961093719</v>
      </c>
      <c r="O123" s="40">
        <f t="shared" ref="O123:U123" si="68">SUM(O121:O122)</f>
        <v>-77.611952283216482</v>
      </c>
      <c r="P123" s="40">
        <f t="shared" si="68"/>
        <v>-115.7202688661117</v>
      </c>
      <c r="Q123" s="40">
        <f t="shared" si="68"/>
        <v>-116.55427571133745</v>
      </c>
      <c r="R123" s="40">
        <f t="shared" si="68"/>
        <v>-112.45355019332584</v>
      </c>
      <c r="S123" s="40">
        <f t="shared" si="68"/>
        <v>-110.2</v>
      </c>
      <c r="T123" s="40">
        <f t="shared" si="68"/>
        <v>-93.811159511277225</v>
      </c>
      <c r="U123" s="40">
        <f t="shared" si="68"/>
        <v>-83.472483677308318</v>
      </c>
      <c r="V123" s="40">
        <v>-53.785751149158777</v>
      </c>
      <c r="W123" s="40">
        <v>-69.645751149158784</v>
      </c>
      <c r="X123" s="40">
        <f t="shared" ref="X123" si="69">SUM(X121:X122)</f>
        <v>-94.068000000000012</v>
      </c>
      <c r="Z123" s="40" t="s">
        <v>28</v>
      </c>
      <c r="AA123" s="40">
        <v>-455.16780261846259</v>
      </c>
      <c r="AB123" s="40">
        <v>-302.19360670451164</v>
      </c>
      <c r="AC123" s="40">
        <v>-422.34004705399144</v>
      </c>
      <c r="AD123" s="40">
        <v>-341.26939433774436</v>
      </c>
    </row>
    <row r="124" spans="2:30" ht="14.25" customHeight="1" thickBot="1" x14ac:dyDescent="0.4">
      <c r="B124" s="53" t="s">
        <v>83</v>
      </c>
      <c r="C124" s="45" t="s">
        <v>28</v>
      </c>
      <c r="D124" s="45" t="s">
        <v>28</v>
      </c>
      <c r="E124" s="45" t="s">
        <v>28</v>
      </c>
      <c r="F124" s="45" t="s">
        <v>28</v>
      </c>
      <c r="G124" s="45" t="s">
        <v>28</v>
      </c>
      <c r="H124" s="45" t="s">
        <v>28</v>
      </c>
      <c r="I124" s="45" t="s">
        <v>28</v>
      </c>
      <c r="J124" s="45" t="s">
        <v>28</v>
      </c>
      <c r="K124" s="45">
        <f t="shared" ref="K124:U124" si="70">K80</f>
        <v>371.28428005414173</v>
      </c>
      <c r="L124" s="45">
        <f t="shared" si="70"/>
        <v>403.36122316823929</v>
      </c>
      <c r="M124" s="45">
        <f t="shared" si="70"/>
        <v>411.3140361218891</v>
      </c>
      <c r="N124" s="45">
        <f t="shared" si="70"/>
        <v>411.2975652033079</v>
      </c>
      <c r="O124" s="45">
        <f t="shared" si="70"/>
        <v>391.94879497818999</v>
      </c>
      <c r="P124" s="45">
        <f t="shared" si="70"/>
        <v>415.31526076290277</v>
      </c>
      <c r="Q124" s="45">
        <f t="shared" si="70"/>
        <v>440.17167549802173</v>
      </c>
      <c r="R124" s="45">
        <f t="shared" si="70"/>
        <v>520.49724344396714</v>
      </c>
      <c r="S124" s="45">
        <f t="shared" si="70"/>
        <v>522.2000000000005</v>
      </c>
      <c r="T124" s="45">
        <f t="shared" si="70"/>
        <v>541.98683061084887</v>
      </c>
      <c r="U124" s="45">
        <f t="shared" si="70"/>
        <v>572.12069267125128</v>
      </c>
      <c r="V124" s="45">
        <v>631.31424885084073</v>
      </c>
      <c r="W124" s="45">
        <v>553.92424885084188</v>
      </c>
      <c r="X124" s="45">
        <f t="shared" ref="X124" si="71">X80</f>
        <v>565.06900000000064</v>
      </c>
      <c r="Z124" s="45" t="s">
        <v>28</v>
      </c>
      <c r="AA124" s="45">
        <v>1425.2832201319588</v>
      </c>
      <c r="AB124" s="45">
        <v>1597.2571045475779</v>
      </c>
      <c r="AC124" s="45">
        <v>1767.9944349630812</v>
      </c>
      <c r="AD124" s="45">
        <v>2267.5790255804168</v>
      </c>
    </row>
    <row r="125" spans="2:30" ht="14.25" customHeight="1" x14ac:dyDescent="0.35">
      <c r="B125" s="196"/>
    </row>
    <row r="126" spans="2:30" ht="14.25" customHeight="1" thickBot="1" x14ac:dyDescent="0.4">
      <c r="B126" s="192" t="s">
        <v>456</v>
      </c>
      <c r="C126" s="189" t="s">
        <v>3</v>
      </c>
      <c r="D126" s="189" t="s">
        <v>4</v>
      </c>
      <c r="E126" s="189" t="s">
        <v>5</v>
      </c>
      <c r="F126" s="189" t="s">
        <v>6</v>
      </c>
      <c r="G126" s="189" t="s">
        <v>7</v>
      </c>
      <c r="H126" s="189" t="s">
        <v>8</v>
      </c>
      <c r="I126" s="189" t="s">
        <v>9</v>
      </c>
      <c r="J126" s="189" t="s">
        <v>10</v>
      </c>
      <c r="K126" s="189" t="s">
        <v>11</v>
      </c>
      <c r="L126" s="189" t="s">
        <v>12</v>
      </c>
      <c r="M126" s="189" t="s">
        <v>13</v>
      </c>
      <c r="N126" s="189" t="s">
        <v>14</v>
      </c>
      <c r="O126" s="189" t="s">
        <v>15</v>
      </c>
      <c r="P126" s="189" t="s">
        <v>16</v>
      </c>
      <c r="Q126" s="189" t="s">
        <v>17</v>
      </c>
      <c r="R126" s="189" t="s">
        <v>18</v>
      </c>
      <c r="S126" s="189" t="s">
        <v>19</v>
      </c>
      <c r="T126" s="189" t="str">
        <f>'Operating Metrics - Old_View'!$T$5</f>
        <v>2Q24</v>
      </c>
      <c r="U126" s="189" t="s">
        <v>21</v>
      </c>
      <c r="V126" s="189" t="s">
        <v>22</v>
      </c>
      <c r="W126" s="189" t="s">
        <v>457</v>
      </c>
      <c r="X126" s="189" t="s">
        <v>493</v>
      </c>
      <c r="Z126" s="189">
        <v>2020</v>
      </c>
      <c r="AA126" s="189">
        <v>2021</v>
      </c>
      <c r="AB126" s="189">
        <v>2022</v>
      </c>
      <c r="AC126" s="189">
        <v>2023</v>
      </c>
      <c r="AD126" s="189">
        <v>2024</v>
      </c>
    </row>
    <row r="127" spans="2:30" ht="14.25" customHeight="1" x14ac:dyDescent="0.35">
      <c r="B127" s="23" t="s">
        <v>452</v>
      </c>
      <c r="C127" s="38">
        <v>328.99961300000001</v>
      </c>
      <c r="D127" s="38">
        <v>329.00125700000001</v>
      </c>
      <c r="E127" s="38">
        <v>329.09022600000003</v>
      </c>
      <c r="F127" s="38">
        <v>329.29223999999999</v>
      </c>
      <c r="G127" s="38">
        <v>329.97265899999996</v>
      </c>
      <c r="H127" s="38">
        <v>330.09160100000003</v>
      </c>
      <c r="I127" s="38">
        <v>330.397738</v>
      </c>
      <c r="J127" s="38">
        <v>330.31078600000001</v>
      </c>
      <c r="K127" s="38">
        <v>331.07932</v>
      </c>
      <c r="L127" s="38">
        <v>331.79659000000004</v>
      </c>
      <c r="M127" s="38">
        <v>326.72405900000001</v>
      </c>
      <c r="N127" s="38">
        <v>327.11029500000001</v>
      </c>
      <c r="O127" s="38">
        <v>324.703913</v>
      </c>
      <c r="P127" s="38">
        <v>323.52206799999999</v>
      </c>
      <c r="Q127" s="38">
        <v>321.845506</v>
      </c>
      <c r="R127" s="38">
        <v>317.15443800000003</v>
      </c>
      <c r="S127" s="38">
        <v>316.93908299999998</v>
      </c>
      <c r="T127" s="38">
        <v>319.069299</v>
      </c>
      <c r="U127" s="38">
        <v>317.55202400000002</v>
      </c>
      <c r="V127" s="38">
        <v>310.8</v>
      </c>
      <c r="W127" s="38">
        <v>303.5809385</v>
      </c>
      <c r="X127" s="38">
        <v>297.69</v>
      </c>
      <c r="Z127" s="46">
        <v>329.29223999999999</v>
      </c>
      <c r="AA127" s="46">
        <v>330.31078600000001</v>
      </c>
      <c r="AB127" s="47">
        <v>327.11029500000001</v>
      </c>
      <c r="AC127" s="47">
        <v>321.80648000000002</v>
      </c>
      <c r="AD127" s="47">
        <v>316.09618499999999</v>
      </c>
    </row>
    <row r="128" spans="2:30" ht="14.25" customHeight="1" x14ac:dyDescent="0.35">
      <c r="B128" s="39" t="s">
        <v>453</v>
      </c>
      <c r="C128" s="40">
        <v>1.1155278326022726</v>
      </c>
      <c r="D128" s="40">
        <v>0.93309629308786124</v>
      </c>
      <c r="E128" s="40">
        <v>1.0039260270746919</v>
      </c>
      <c r="F128" s="40">
        <v>1.3059679013836381</v>
      </c>
      <c r="G128" s="40">
        <v>0.82227021500288744</v>
      </c>
      <c r="H128" s="40">
        <v>0.82435426938977552</v>
      </c>
      <c r="I128" s="40">
        <v>0.97321489812292217</v>
      </c>
      <c r="J128" s="40">
        <v>0.91207046083827481</v>
      </c>
      <c r="K128" s="40">
        <v>1.1214360354918627</v>
      </c>
      <c r="L128" s="40">
        <v>1.2156882720471578</v>
      </c>
      <c r="M128" s="40">
        <v>1.2589034226031364</v>
      </c>
      <c r="N128" s="40">
        <v>1.2573666175908891</v>
      </c>
      <c r="O128" s="207">
        <v>1.2072852822632589</v>
      </c>
      <c r="P128" s="207">
        <v>1.2837308543752965</v>
      </c>
      <c r="Q128" s="207">
        <v>1.367648972230862</v>
      </c>
      <c r="R128" s="207">
        <v>1.6174231278499025</v>
      </c>
      <c r="S128" s="207">
        <v>1.6476352334243347</v>
      </c>
      <c r="T128" s="207">
        <v>1.6986492661923229</v>
      </c>
      <c r="U128" s="207">
        <v>1.8016597263799876</v>
      </c>
      <c r="V128" s="207">
        <v>2.0312556269332069</v>
      </c>
      <c r="W128" s="207">
        <v>1.8246344832708983</v>
      </c>
      <c r="X128" s="207">
        <v>1.9</v>
      </c>
      <c r="Z128" s="40">
        <v>4.3560863058808597</v>
      </c>
      <c r="AA128" s="40">
        <v>4.3149763209123924</v>
      </c>
      <c r="AB128" s="40">
        <v>4.8829313199927746</v>
      </c>
      <c r="AC128" s="40">
        <v>5.4939677876066444</v>
      </c>
      <c r="AD128" s="40">
        <v>7.1738346735597025</v>
      </c>
    </row>
    <row r="129" spans="2:30" ht="14.25" customHeight="1" x14ac:dyDescent="0.35">
      <c r="B129" s="23" t="s">
        <v>454</v>
      </c>
      <c r="C129" s="38">
        <v>330.05688699999996</v>
      </c>
      <c r="D129" s="38">
        <v>329.93320500000004</v>
      </c>
      <c r="E129" s="38">
        <v>329.63769100000002</v>
      </c>
      <c r="F129" s="38">
        <v>329.81417700000003</v>
      </c>
      <c r="G129" s="38">
        <v>330.34972899999997</v>
      </c>
      <c r="H129" s="38">
        <v>330.39855299999999</v>
      </c>
      <c r="I129" s="38">
        <v>332.41197700000004</v>
      </c>
      <c r="J129" s="38">
        <v>332.174824</v>
      </c>
      <c r="K129" s="38">
        <v>333.13795199999998</v>
      </c>
      <c r="L129" s="38">
        <v>333.21203700000001</v>
      </c>
      <c r="M129" s="38">
        <v>328.89807000000002</v>
      </c>
      <c r="N129" s="38">
        <v>329.234692</v>
      </c>
      <c r="O129" s="38">
        <v>327.522243</v>
      </c>
      <c r="P129" s="38">
        <v>325.48043100000001</v>
      </c>
      <c r="Q129" s="38">
        <v>323.77363700000001</v>
      </c>
      <c r="R129" s="38">
        <v>319.08395000000002</v>
      </c>
      <c r="S129" s="38">
        <v>321.18566600000003</v>
      </c>
      <c r="T129" s="38">
        <v>323.10000000000002</v>
      </c>
      <c r="U129" s="38">
        <v>320.66723400000001</v>
      </c>
      <c r="V129" s="38">
        <v>313.89999999999998</v>
      </c>
      <c r="W129" s="38">
        <v>305.57460391900003</v>
      </c>
      <c r="X129" s="38">
        <v>300.69102658233334</v>
      </c>
      <c r="Z129" s="46">
        <v>329.81417700000003</v>
      </c>
      <c r="AA129" s="46">
        <v>332.174824</v>
      </c>
      <c r="AB129" s="47">
        <v>329.234692</v>
      </c>
      <c r="AC129" s="47">
        <v>323.95557700000001</v>
      </c>
      <c r="AD129" s="47">
        <v>319.51141899999999</v>
      </c>
    </row>
    <row r="130" spans="2:30" ht="14.25" customHeight="1" thickBot="1" x14ac:dyDescent="0.4">
      <c r="B130" s="44" t="s">
        <v>455</v>
      </c>
      <c r="C130" s="45">
        <v>1.1119544529209491</v>
      </c>
      <c r="D130" s="45">
        <v>0.9304606164994722</v>
      </c>
      <c r="E130" s="45">
        <v>1.0022586984365587</v>
      </c>
      <c r="F130" s="45">
        <v>1.303901183164474</v>
      </c>
      <c r="G130" s="45">
        <v>0.82133165382740325</v>
      </c>
      <c r="H130" s="45">
        <v>0.82358841497122515</v>
      </c>
      <c r="I130" s="45">
        <v>0.96731773574967761</v>
      </c>
      <c r="J130" s="45">
        <v>0.90695227043116533</v>
      </c>
      <c r="K130" s="45">
        <v>1.1145061012266226</v>
      </c>
      <c r="L130" s="45">
        <v>1.2105241659329351</v>
      </c>
      <c r="M130" s="45">
        <v>1.2505820910468981</v>
      </c>
      <c r="N130" s="45">
        <v>1.2492534207279344</v>
      </c>
      <c r="O130" s="110">
        <v>1.1968965883583964</v>
      </c>
      <c r="P130" s="110">
        <v>1.2760068538894824</v>
      </c>
      <c r="Q130" s="110">
        <v>1.3595043734151269</v>
      </c>
      <c r="R130" s="110">
        <v>1.6066932641322211</v>
      </c>
      <c r="S130" s="110">
        <v>1.6258508871314312</v>
      </c>
      <c r="T130" s="110">
        <v>1.6774584667621444</v>
      </c>
      <c r="U130" s="110">
        <v>1.7841570076699862</v>
      </c>
      <c r="V130" s="110">
        <v>2.0111954407481387</v>
      </c>
      <c r="W130" s="110">
        <v>1.8127299904728764</v>
      </c>
      <c r="X130" s="110">
        <v>1.88</v>
      </c>
      <c r="Z130" s="45">
        <v>4.3491927191984638</v>
      </c>
      <c r="AA130" s="45">
        <v>4.2907623249977567</v>
      </c>
      <c r="AB130" s="45">
        <v>4.8514240551162091</v>
      </c>
      <c r="AC130" s="45">
        <v>5.4575212173707444</v>
      </c>
      <c r="AD130" s="45">
        <v>7.0971540836634146</v>
      </c>
    </row>
    <row r="131" spans="2:30" ht="14.25" customHeight="1" x14ac:dyDescent="0.35">
      <c r="B131" s="217" t="s">
        <v>80</v>
      </c>
    </row>
    <row r="132" spans="2:30" ht="14.25" customHeight="1" x14ac:dyDescent="0.35">
      <c r="B132" s="218"/>
    </row>
    <row r="134" spans="2:30" ht="14.25" customHeight="1" x14ac:dyDescent="0.3">
      <c r="B134" s="13" t="s">
        <v>87</v>
      </c>
      <c r="C134" s="25"/>
      <c r="D134" s="25"/>
      <c r="E134" s="25"/>
      <c r="F134" s="25"/>
      <c r="G134" s="25"/>
      <c r="H134" s="25"/>
      <c r="I134" s="25"/>
      <c r="J134" s="25"/>
      <c r="K134" s="25"/>
      <c r="L134" s="25"/>
      <c r="M134" s="25"/>
      <c r="N134" s="25"/>
      <c r="O134" s="25"/>
      <c r="P134" s="25"/>
      <c r="Q134" s="25"/>
      <c r="R134" s="25"/>
    </row>
    <row r="135" spans="2:30" ht="14.25" customHeight="1" x14ac:dyDescent="0.3">
      <c r="B135" s="15" t="s">
        <v>1</v>
      </c>
      <c r="C135" s="26"/>
      <c r="D135" s="26"/>
      <c r="E135" s="26"/>
      <c r="F135" s="26"/>
      <c r="G135" s="26"/>
      <c r="H135" s="26"/>
      <c r="I135" s="26"/>
      <c r="J135" s="26"/>
      <c r="K135" s="26"/>
      <c r="L135" s="26"/>
      <c r="M135" s="26"/>
      <c r="N135" s="26"/>
      <c r="O135" s="25"/>
      <c r="P135" s="25"/>
      <c r="Q135" s="25"/>
      <c r="R135" s="25"/>
    </row>
    <row r="136" spans="2:30" ht="14.25" customHeight="1" x14ac:dyDescent="0.3">
      <c r="B136" s="25"/>
      <c r="C136" s="25"/>
      <c r="D136" s="25"/>
      <c r="E136" s="25"/>
      <c r="F136" s="25"/>
      <c r="G136" s="25"/>
      <c r="H136" s="25"/>
      <c r="I136" s="25"/>
      <c r="J136" s="25"/>
      <c r="K136" s="25"/>
      <c r="L136" s="25"/>
      <c r="M136" s="25"/>
      <c r="N136" s="25"/>
      <c r="O136" s="25"/>
      <c r="P136" s="25"/>
      <c r="Q136" s="25"/>
      <c r="R136" s="25"/>
    </row>
    <row r="137" spans="2:30" ht="14.25" customHeight="1" thickBot="1" x14ac:dyDescent="0.35">
      <c r="B137" s="191" t="s">
        <v>476</v>
      </c>
      <c r="C137" s="189"/>
      <c r="D137" s="189"/>
      <c r="E137" s="189"/>
      <c r="F137" s="189"/>
      <c r="G137" s="189"/>
      <c r="H137" s="189"/>
      <c r="I137" s="189"/>
      <c r="J137" s="189"/>
      <c r="K137" s="189" t="s">
        <v>11</v>
      </c>
      <c r="L137" s="189" t="s">
        <v>12</v>
      </c>
      <c r="M137" s="189" t="s">
        <v>13</v>
      </c>
      <c r="N137" s="189" t="s">
        <v>14</v>
      </c>
      <c r="O137" s="189" t="s">
        <v>15</v>
      </c>
      <c r="P137" s="189" t="s">
        <v>16</v>
      </c>
      <c r="Q137" s="189" t="s">
        <v>17</v>
      </c>
      <c r="R137" s="189" t="s">
        <v>18</v>
      </c>
      <c r="S137" s="189" t="s">
        <v>19</v>
      </c>
      <c r="T137" s="189" t="str">
        <f>'Operating Metrics - Old_View'!$T$5</f>
        <v>2Q24</v>
      </c>
      <c r="U137" s="189" t="str">
        <f>'Operating Metrics - Old_View'!U5</f>
        <v>3Q24</v>
      </c>
      <c r="V137" s="189" t="s">
        <v>22</v>
      </c>
      <c r="W137" s="189" t="s">
        <v>457</v>
      </c>
      <c r="X137" s="189" t="s">
        <v>493</v>
      </c>
      <c r="Y137" s="25"/>
      <c r="Z137" s="189"/>
      <c r="AA137" s="189"/>
      <c r="AB137" s="189">
        <v>2022</v>
      </c>
      <c r="AC137" s="189">
        <v>2023</v>
      </c>
      <c r="AD137" s="189">
        <v>2024</v>
      </c>
    </row>
    <row r="138" spans="2:30" ht="14.25" customHeight="1" x14ac:dyDescent="0.3">
      <c r="B138" s="23" t="s">
        <v>36</v>
      </c>
      <c r="C138" s="47"/>
      <c r="D138" s="47"/>
      <c r="E138" s="47"/>
      <c r="F138" s="47"/>
      <c r="G138" s="47"/>
      <c r="H138" s="47"/>
      <c r="I138" s="47"/>
      <c r="J138" s="47"/>
      <c r="K138" s="47">
        <f t="shared" ref="K138:X138" si="72">K140-K139</f>
        <v>3052.8101884206912</v>
      </c>
      <c r="L138" s="47">
        <f t="shared" si="72"/>
        <v>3522.027684054533</v>
      </c>
      <c r="M138" s="47">
        <f t="shared" si="72"/>
        <v>3613.5349657415118</v>
      </c>
      <c r="N138" s="47">
        <f t="shared" si="72"/>
        <v>3556.8803877398</v>
      </c>
      <c r="O138" s="47">
        <f t="shared" si="72"/>
        <v>3354.5585956158257</v>
      </c>
      <c r="P138" s="47">
        <f t="shared" si="72"/>
        <v>3517.9587734893735</v>
      </c>
      <c r="Q138" s="47">
        <f t="shared" si="72"/>
        <v>3700.454105057051</v>
      </c>
      <c r="R138" s="47">
        <f t="shared" si="72"/>
        <v>4021.6668230054556</v>
      </c>
      <c r="S138" s="47">
        <f t="shared" si="72"/>
        <v>3941.7009333179999</v>
      </c>
      <c r="T138" s="47">
        <f t="shared" si="72"/>
        <v>4122.3308533590234</v>
      </c>
      <c r="U138" s="47">
        <f t="shared" si="72"/>
        <v>4336.0211050710714</v>
      </c>
      <c r="V138" s="47">
        <v>4601.845640085241</v>
      </c>
      <c r="W138" s="47">
        <v>4267.7970625889266</v>
      </c>
      <c r="X138" s="47">
        <f t="shared" si="72"/>
        <v>4359.3559999999998</v>
      </c>
      <c r="Y138" s="25"/>
      <c r="Z138" s="47"/>
      <c r="AA138" s="47"/>
      <c r="AB138" s="47">
        <v>13745.253225956536</v>
      </c>
      <c r="AC138" s="47">
        <v>14594.698528858919</v>
      </c>
      <c r="AD138" s="47">
        <v>17001.832243980261</v>
      </c>
    </row>
    <row r="139" spans="2:30" ht="14.25" customHeight="1" x14ac:dyDescent="0.3">
      <c r="B139" s="23" t="s">
        <v>34</v>
      </c>
      <c r="C139" s="47"/>
      <c r="D139" s="47"/>
      <c r="E139" s="47"/>
      <c r="F139" s="47"/>
      <c r="G139" s="47"/>
      <c r="H139" s="47"/>
      <c r="I139" s="47"/>
      <c r="J139" s="47"/>
      <c r="K139" s="47">
        <v>374.14144829233226</v>
      </c>
      <c r="L139" s="47">
        <v>388.52993269783497</v>
      </c>
      <c r="M139" s="47">
        <v>421.89121275870355</v>
      </c>
      <c r="N139" s="47">
        <v>405.09779798597611</v>
      </c>
      <c r="O139" s="47">
        <v>395.1117234516264</v>
      </c>
      <c r="P139" s="47">
        <v>307.95399882949005</v>
      </c>
      <c r="Q139" s="47">
        <v>325.6922106955725</v>
      </c>
      <c r="R139" s="47">
        <v>324.94453816439199</v>
      </c>
      <c r="S139" s="47">
        <v>364.69906668200076</v>
      </c>
      <c r="T139" s="47">
        <v>434.37598329540623</v>
      </c>
      <c r="U139" s="47">
        <v>495.47034612757335</v>
      </c>
      <c r="V139" s="47">
        <v>513.25435991475831</v>
      </c>
      <c r="W139" s="47">
        <v>582.36293741107465</v>
      </c>
      <c r="X139" s="47">
        <v>698.81899999999996</v>
      </c>
      <c r="Y139" s="25"/>
      <c r="Z139" s="47"/>
      <c r="AA139" s="47"/>
      <c r="AB139" s="47">
        <v>1589.6603917348468</v>
      </c>
      <c r="AC139" s="47">
        <v>1353.7024711410809</v>
      </c>
      <c r="AD139" s="47">
        <v>1807.7997560197387</v>
      </c>
    </row>
    <row r="140" spans="2:30" ht="14.25" customHeight="1" x14ac:dyDescent="0.3">
      <c r="B140" s="39" t="s">
        <v>59</v>
      </c>
      <c r="C140" s="75"/>
      <c r="D140" s="75"/>
      <c r="E140" s="75"/>
      <c r="F140" s="75"/>
      <c r="G140" s="75"/>
      <c r="H140" s="75"/>
      <c r="I140" s="75"/>
      <c r="J140" s="75"/>
      <c r="K140" s="75">
        <f>'Income Statement'!K113</f>
        <v>3426.9516367130236</v>
      </c>
      <c r="L140" s="75">
        <f>'Income Statement'!L113</f>
        <v>3910.5576167523677</v>
      </c>
      <c r="M140" s="75">
        <f>'Income Statement'!M113</f>
        <v>4035.4261785002154</v>
      </c>
      <c r="N140" s="75">
        <f>'Income Statement'!N113</f>
        <v>3961.9781857257763</v>
      </c>
      <c r="O140" s="75">
        <f>'Income Statement'!O113</f>
        <v>3749.6703190674521</v>
      </c>
      <c r="P140" s="75">
        <f>'Income Statement'!P113</f>
        <v>3825.9127723188635</v>
      </c>
      <c r="Q140" s="75">
        <f>'Income Statement'!Q113</f>
        <v>4026.1463157526237</v>
      </c>
      <c r="R140" s="75">
        <f>'Income Statement'!R113</f>
        <v>4346.6113611698474</v>
      </c>
      <c r="S140" s="75">
        <f>'Income Statement'!S113</f>
        <v>4306.4000000000005</v>
      </c>
      <c r="T140" s="75">
        <f>'Income Statement'!T113</f>
        <v>4556.7068366544299</v>
      </c>
      <c r="U140" s="75">
        <f>'Income Statement'!U113</f>
        <v>4831.4914511986444</v>
      </c>
      <c r="V140" s="75">
        <v>5115.0999999999995</v>
      </c>
      <c r="W140" s="75">
        <v>4850.1600000000008</v>
      </c>
      <c r="X140" s="75">
        <f>'Income Statement'!X113</f>
        <v>5058.1750000000002</v>
      </c>
      <c r="Y140" s="25"/>
      <c r="Z140" s="75"/>
      <c r="AA140" s="75"/>
      <c r="AB140" s="75">
        <v>15334.914000000001</v>
      </c>
      <c r="AC140" s="75">
        <v>15948.401</v>
      </c>
      <c r="AD140" s="75">
        <v>18809.632000000001</v>
      </c>
    </row>
    <row r="141" spans="2:30" ht="14.25" customHeight="1" x14ac:dyDescent="0.3">
      <c r="B141" s="23" t="s">
        <v>75</v>
      </c>
      <c r="C141" s="47"/>
      <c r="D141" s="47"/>
      <c r="E141" s="47"/>
      <c r="F141" s="47"/>
      <c r="G141" s="47"/>
      <c r="H141" s="47"/>
      <c r="I141" s="47"/>
      <c r="J141" s="47"/>
      <c r="K141" s="47">
        <f>'Income Statement'!K114</f>
        <v>-1302.9783022702736</v>
      </c>
      <c r="L141" s="47">
        <f>'Income Statement'!L114</f>
        <v>-1414.2046547948698</v>
      </c>
      <c r="M141" s="47">
        <f>'Income Statement'!M114</f>
        <v>-1371.616829647784</v>
      </c>
      <c r="N141" s="47">
        <f>'Income Statement'!N114</f>
        <v>-1478.260653589706</v>
      </c>
      <c r="O141" s="47">
        <f>'Income Statement'!O114</f>
        <v>-1388.7597120633327</v>
      </c>
      <c r="P141" s="47">
        <f>'Income Statement'!P114</f>
        <v>-1414.229083863765</v>
      </c>
      <c r="Q141" s="47">
        <f>'Income Statement'!Q114</f>
        <v>-1508.4405418065849</v>
      </c>
      <c r="R141" s="47">
        <f>'Income Statement'!R114</f>
        <v>-1644.6789234142159</v>
      </c>
      <c r="S141" s="47">
        <f>'Income Statement'!S114</f>
        <v>-1626.5413978819392</v>
      </c>
      <c r="T141" s="47">
        <f>'Income Statement'!T114</f>
        <v>-1760.9144882813698</v>
      </c>
      <c r="U141" s="47">
        <f>'Income Statement'!U114</f>
        <v>-1850.9271268866919</v>
      </c>
      <c r="V141" s="47">
        <v>-1959.7108673190701</v>
      </c>
      <c r="W141" s="47">
        <v>-1715.4242753760923</v>
      </c>
      <c r="X141" s="47">
        <f>'Income Statement'!X114</f>
        <v>-1735.904</v>
      </c>
      <c r="Y141" s="25"/>
      <c r="Z141" s="47"/>
      <c r="AA141" s="47"/>
      <c r="AB141" s="47">
        <v>-5567.0604403026337</v>
      </c>
      <c r="AC141" s="47">
        <v>-5956.1080000000002</v>
      </c>
      <c r="AD141" s="47">
        <v>-7198.0929999999998</v>
      </c>
    </row>
    <row r="142" spans="2:30" ht="14.25" customHeight="1" x14ac:dyDescent="0.3">
      <c r="B142" s="23" t="s">
        <v>65</v>
      </c>
      <c r="C142" s="47"/>
      <c r="D142" s="47"/>
      <c r="E142" s="47"/>
      <c r="F142" s="47"/>
      <c r="G142" s="47"/>
      <c r="H142" s="47"/>
      <c r="I142" s="47"/>
      <c r="J142" s="47"/>
      <c r="K142" s="47">
        <f>'Income Statement'!K115</f>
        <v>-620.62783420999995</v>
      </c>
      <c r="L142" s="47">
        <f>'Income Statement'!L115</f>
        <v>-755.55951044419521</v>
      </c>
      <c r="M142" s="47">
        <f>'Income Statement'!M115</f>
        <v>-920.65559389805776</v>
      </c>
      <c r="N142" s="47">
        <f>'Income Statement'!N115</f>
        <v>-854.70929850153209</v>
      </c>
      <c r="O142" s="47">
        <f>'Income Statement'!O115</f>
        <v>-812.97072458971468</v>
      </c>
      <c r="P142" s="47">
        <f>'Income Statement'!P115</f>
        <v>-795.62738407411825</v>
      </c>
      <c r="Q142" s="47">
        <f>'Income Statement'!Q115</f>
        <v>-819.93723811680593</v>
      </c>
      <c r="R142" s="47">
        <f>'Income Statement'!R115</f>
        <v>-841.02085084668261</v>
      </c>
      <c r="S142" s="47">
        <f>'Income Statement'!S115</f>
        <v>-827.13272112797347</v>
      </c>
      <c r="T142" s="47">
        <f>'Income Statement'!T115</f>
        <v>-863.42093072595981</v>
      </c>
      <c r="U142" s="47">
        <f>'Income Statement'!U115</f>
        <v>-964.29900973928704</v>
      </c>
      <c r="V142" s="47">
        <v>-1091.8000000000002</v>
      </c>
      <c r="W142" s="47">
        <v>-1177.7638463346641</v>
      </c>
      <c r="X142" s="47">
        <f>'Income Statement'!X115</f>
        <v>-1279.617</v>
      </c>
      <c r="Y142" s="25"/>
      <c r="Z142" s="47"/>
      <c r="AA142" s="47"/>
      <c r="AB142" s="47">
        <v>-3151.5522370537851</v>
      </c>
      <c r="AC142" s="47">
        <v>-3269.556</v>
      </c>
      <c r="AD142" s="47">
        <v>-3746.6880000000001</v>
      </c>
    </row>
    <row r="143" spans="2:30" ht="14.25" customHeight="1" x14ac:dyDescent="0.3">
      <c r="B143" s="23" t="s">
        <v>76</v>
      </c>
      <c r="C143" s="47"/>
      <c r="D143" s="47"/>
      <c r="E143" s="47"/>
      <c r="F143" s="47"/>
      <c r="G143" s="47"/>
      <c r="H143" s="47"/>
      <c r="I143" s="47"/>
      <c r="J143" s="47"/>
      <c r="K143" s="47">
        <f>'Income Statement'!K116</f>
        <v>-249.71464083999999</v>
      </c>
      <c r="L143" s="47">
        <f>'Income Statement'!L116</f>
        <v>-270.48382595791998</v>
      </c>
      <c r="M143" s="47">
        <f>'Income Statement'!M116</f>
        <v>-272.75183490207996</v>
      </c>
      <c r="N143" s="47">
        <f>'Income Statement'!N116</f>
        <v>-191.53634024999999</v>
      </c>
      <c r="O143" s="47">
        <f>'Income Statement'!O116</f>
        <v>-126.54382303</v>
      </c>
      <c r="P143" s="47">
        <f>'Income Statement'!P116</f>
        <v>-121.65799247</v>
      </c>
      <c r="Q143" s="47">
        <f>'Income Statement'!Q116</f>
        <v>-165.26</v>
      </c>
      <c r="R143" s="47">
        <f>'Income Statement'!R116</f>
        <v>-122.58471010130081</v>
      </c>
      <c r="S143" s="47">
        <f>'Income Statement'!S116</f>
        <v>-102.73741299845999</v>
      </c>
      <c r="T143" s="47">
        <f>'Income Statement'!T116</f>
        <v>-112.956</v>
      </c>
      <c r="U143" s="47">
        <f>'Income Statement'!U116</f>
        <v>-119.64396086609598</v>
      </c>
      <c r="V143" s="47">
        <v>-120.69999999999999</v>
      </c>
      <c r="W143" s="47">
        <v>-83.451065724638994</v>
      </c>
      <c r="X143" s="47">
        <f>'Income Statement'!X116</f>
        <v>-97.548000000000002</v>
      </c>
      <c r="Y143" s="25"/>
      <c r="Z143" s="47"/>
      <c r="AA143" s="47"/>
      <c r="AB143" s="47">
        <v>-984.48664194999992</v>
      </c>
      <c r="AC143" s="47">
        <v>-536.048</v>
      </c>
      <c r="AD143" s="47">
        <v>-456.07900000000001</v>
      </c>
    </row>
    <row r="144" spans="2:30" ht="14.25" customHeight="1" x14ac:dyDescent="0.3">
      <c r="B144" s="39" t="s">
        <v>88</v>
      </c>
      <c r="C144" s="40"/>
      <c r="D144" s="40"/>
      <c r="E144" s="40"/>
      <c r="F144" s="40"/>
      <c r="G144" s="40"/>
      <c r="H144" s="40"/>
      <c r="I144" s="40"/>
      <c r="J144" s="40"/>
      <c r="K144" s="40">
        <f>K140+SUM(K141:K143)</f>
        <v>1253.6308593927502</v>
      </c>
      <c r="L144" s="40">
        <f>L140+SUM(L141:L143)</f>
        <v>1470.3096255553828</v>
      </c>
      <c r="M144" s="40">
        <f>M140+SUM(M141:M143)</f>
        <v>1470.4019200522935</v>
      </c>
      <c r="N144" s="40">
        <f>N140+SUM(N141:N143)</f>
        <v>1437.4718933845379</v>
      </c>
      <c r="O144" s="40">
        <f t="shared" ref="O144:X144" si="73">SUM(O140:O143)</f>
        <v>1421.3960593844045</v>
      </c>
      <c r="P144" s="40">
        <f t="shared" si="73"/>
        <v>1494.3983119109803</v>
      </c>
      <c r="Q144" s="40">
        <f t="shared" si="73"/>
        <v>1532.5085358292329</v>
      </c>
      <c r="R144" s="40">
        <f t="shared" si="73"/>
        <v>1738.326876807648</v>
      </c>
      <c r="S144" s="40">
        <f t="shared" si="73"/>
        <v>1749.9884679916277</v>
      </c>
      <c r="T144" s="40">
        <f t="shared" si="73"/>
        <v>1819.4154176471004</v>
      </c>
      <c r="U144" s="40">
        <f t="shared" si="73"/>
        <v>1896.6213537065694</v>
      </c>
      <c r="V144" s="40">
        <v>1942.8891326809292</v>
      </c>
      <c r="W144" s="40">
        <v>1873.5208125646054</v>
      </c>
      <c r="X144" s="40">
        <f t="shared" si="73"/>
        <v>1945.1060000000002</v>
      </c>
      <c r="Y144" s="25"/>
      <c r="Z144" s="40"/>
      <c r="AA144" s="40"/>
      <c r="AB144" s="40">
        <v>5631.9480000000012</v>
      </c>
      <c r="AC144" s="40">
        <v>6186.6889999999994</v>
      </c>
      <c r="AD144" s="40">
        <v>7408.7720000000008</v>
      </c>
    </row>
    <row r="145" spans="2:30" ht="14.25" customHeight="1" x14ac:dyDescent="0.3">
      <c r="B145" s="23" t="s">
        <v>36</v>
      </c>
      <c r="C145" s="47"/>
      <c r="D145" s="47"/>
      <c r="E145" s="47"/>
      <c r="F145" s="47"/>
      <c r="G145" s="47"/>
      <c r="H145" s="47"/>
      <c r="I145" s="47"/>
      <c r="J145" s="47"/>
      <c r="K145" s="47">
        <f t="shared" ref="K145:U145" si="74">K144-K147</f>
        <v>1164.1067203732923</v>
      </c>
      <c r="L145" s="47">
        <f t="shared" si="74"/>
        <v>1355.077405272677</v>
      </c>
      <c r="M145" s="47">
        <f t="shared" si="74"/>
        <v>1311.7548971315359</v>
      </c>
      <c r="N145" s="47">
        <f t="shared" si="74"/>
        <v>1230.5743845508066</v>
      </c>
      <c r="O145" s="47">
        <f t="shared" si="74"/>
        <v>1178.1628672425593</v>
      </c>
      <c r="P145" s="47">
        <f t="shared" si="74"/>
        <v>1318.7265899568401</v>
      </c>
      <c r="Q145" s="47">
        <f t="shared" si="74"/>
        <v>1366.2658531639561</v>
      </c>
      <c r="R145" s="47">
        <f t="shared" si="74"/>
        <v>1541.7089358470962</v>
      </c>
      <c r="S145" s="47">
        <f t="shared" si="74"/>
        <v>1529.5431942702144</v>
      </c>
      <c r="T145" s="47">
        <f t="shared" si="74"/>
        <v>1558.642582728703</v>
      </c>
      <c r="U145" s="47">
        <f t="shared" si="74"/>
        <v>1558.8586673526775</v>
      </c>
      <c r="V145" s="47">
        <v>1589.2142319595196</v>
      </c>
      <c r="W145" s="47">
        <v>1465.0080019779796</v>
      </c>
      <c r="X145" s="47">
        <f t="shared" ref="X145" si="75">X144-X147</f>
        <v>1431.2540000000004</v>
      </c>
      <c r="Y145" s="25"/>
      <c r="Z145" s="47"/>
      <c r="AA145" s="47"/>
      <c r="AB145" s="47">
        <v>5061.5134073283116</v>
      </c>
      <c r="AC145" s="47">
        <v>5404.9234622781851</v>
      </c>
      <c r="AD145" s="47">
        <v>6236.1163042848884</v>
      </c>
    </row>
    <row r="146" spans="2:30" ht="14.25" customHeight="1" x14ac:dyDescent="0.3">
      <c r="B146" s="76" t="s">
        <v>89</v>
      </c>
      <c r="C146" s="77"/>
      <c r="D146" s="77"/>
      <c r="E146" s="77"/>
      <c r="F146" s="77"/>
      <c r="G146" s="77"/>
      <c r="H146" s="77"/>
      <c r="I146" s="77"/>
      <c r="J146" s="77"/>
      <c r="K146" s="77">
        <f t="shared" ref="K146:U146" si="76">K145/K138</f>
        <v>0.38132299374155293</v>
      </c>
      <c r="L146" s="77">
        <f t="shared" si="76"/>
        <v>0.38474354174091036</v>
      </c>
      <c r="M146" s="77">
        <f t="shared" si="76"/>
        <v>0.36301154121041102</v>
      </c>
      <c r="N146" s="77">
        <f t="shared" si="76"/>
        <v>0.34597013405130789</v>
      </c>
      <c r="O146" s="77">
        <f t="shared" si="76"/>
        <v>0.35121248702656022</v>
      </c>
      <c r="P146" s="77">
        <f t="shared" si="76"/>
        <v>0.37485561226427588</v>
      </c>
      <c r="Q146" s="77">
        <f t="shared" si="76"/>
        <v>0.36921572714462619</v>
      </c>
      <c r="R146" s="77">
        <f t="shared" si="76"/>
        <v>0.38335073582623452</v>
      </c>
      <c r="S146" s="77">
        <f t="shared" si="76"/>
        <v>0.38804141160011674</v>
      </c>
      <c r="T146" s="77">
        <f t="shared" si="76"/>
        <v>0.3780974012453816</v>
      </c>
      <c r="U146" s="77">
        <f t="shared" si="76"/>
        <v>0.35951362541329845</v>
      </c>
      <c r="V146" s="77">
        <v>0.34534279422942188</v>
      </c>
      <c r="W146" s="77">
        <v>0.3432703056150655</v>
      </c>
      <c r="X146" s="77">
        <f t="shared" ref="X146" si="77">X145/X138</f>
        <v>0.32831776069676355</v>
      </c>
      <c r="Y146" s="25"/>
      <c r="Z146" s="77"/>
      <c r="AA146" s="77"/>
      <c r="AB146" s="77">
        <v>0.37622370012242956</v>
      </c>
      <c r="AC146" s="77">
        <v>0.37033471103159316</v>
      </c>
      <c r="AD146" s="77">
        <v>0.36679083846935812</v>
      </c>
    </row>
    <row r="147" spans="2:30" ht="14.25" customHeight="1" x14ac:dyDescent="0.3">
      <c r="B147" s="23" t="s">
        <v>34</v>
      </c>
      <c r="C147" s="47"/>
      <c r="D147" s="47"/>
      <c r="E147" s="47"/>
      <c r="F147" s="47"/>
      <c r="G147" s="47"/>
      <c r="H147" s="47"/>
      <c r="I147" s="47"/>
      <c r="J147" s="47"/>
      <c r="K147" s="47">
        <v>89.524139019457948</v>
      </c>
      <c r="L147" s="47">
        <v>115.23222028270595</v>
      </c>
      <c r="M147" s="47">
        <v>158.64702292075748</v>
      </c>
      <c r="N147" s="47">
        <v>206.89750883373137</v>
      </c>
      <c r="O147" s="47">
        <v>243.23319214184511</v>
      </c>
      <c r="P147" s="47">
        <v>175.6717219541402</v>
      </c>
      <c r="Q147" s="47">
        <v>166.24268266527687</v>
      </c>
      <c r="R147" s="47">
        <v>196.61794096055189</v>
      </c>
      <c r="S147" s="47">
        <v>220.4452737214134</v>
      </c>
      <c r="T147" s="47">
        <v>260.77283491839751</v>
      </c>
      <c r="U147" s="47">
        <v>337.76268635389187</v>
      </c>
      <c r="V147" s="47">
        <v>353.6749007214097</v>
      </c>
      <c r="W147" s="47">
        <v>408.51281058662585</v>
      </c>
      <c r="X147" s="47">
        <v>513.85199999999998</v>
      </c>
      <c r="Y147" s="25"/>
      <c r="Z147" s="47"/>
      <c r="AA147" s="47"/>
      <c r="AB147" s="47">
        <v>570.30089105665274</v>
      </c>
      <c r="AC147" s="47">
        <v>781.76553772181398</v>
      </c>
      <c r="AD147" s="47">
        <v>1172.6556957151124</v>
      </c>
    </row>
    <row r="148" spans="2:30" ht="14.25" customHeight="1" x14ac:dyDescent="0.3">
      <c r="B148" s="78" t="s">
        <v>90</v>
      </c>
      <c r="C148" s="79"/>
      <c r="D148" s="79"/>
      <c r="E148" s="79"/>
      <c r="F148" s="79"/>
      <c r="G148" s="79"/>
      <c r="H148" s="79"/>
      <c r="I148" s="79"/>
      <c r="J148" s="79"/>
      <c r="K148" s="79">
        <f t="shared" ref="K148:U148" si="78">K147/K139</f>
        <v>0.23927885944758789</v>
      </c>
      <c r="L148" s="79">
        <f t="shared" si="78"/>
        <v>0.29658518066437783</v>
      </c>
      <c r="M148" s="79">
        <f t="shared" si="78"/>
        <v>0.37603775125672989</v>
      </c>
      <c r="N148" s="79">
        <f t="shared" si="78"/>
        <v>0.51073471606699239</v>
      </c>
      <c r="O148" s="79">
        <f t="shared" si="78"/>
        <v>0.61560611266353427</v>
      </c>
      <c r="P148" s="79">
        <f t="shared" si="78"/>
        <v>0.57044793255439186</v>
      </c>
      <c r="Q148" s="79">
        <f t="shared" si="78"/>
        <v>0.51042879505848981</v>
      </c>
      <c r="R148" s="79">
        <f t="shared" si="78"/>
        <v>0.60508153813338239</v>
      </c>
      <c r="S148" s="79">
        <f t="shared" si="78"/>
        <v>0.60445801445834402</v>
      </c>
      <c r="T148" s="79">
        <f t="shared" si="78"/>
        <v>0.60033898039214018</v>
      </c>
      <c r="U148" s="79">
        <f t="shared" si="78"/>
        <v>0.68170111287936686</v>
      </c>
      <c r="V148" s="79">
        <v>0.68908309084826536</v>
      </c>
      <c r="W148" s="79">
        <v>0.70147460345380364</v>
      </c>
      <c r="X148" s="79">
        <f t="shared" ref="X148" si="79">X147/X139</f>
        <v>0.7353148669397942</v>
      </c>
      <c r="Y148" s="25"/>
      <c r="Z148" s="79"/>
      <c r="AA148" s="79"/>
      <c r="AB148" s="79">
        <v>0.27903767824315329</v>
      </c>
      <c r="AC148" s="79">
        <v>0.57750174383802211</v>
      </c>
      <c r="AD148" s="79">
        <v>0.64866459452177772</v>
      </c>
    </row>
    <row r="149" spans="2:30" ht="14.25" customHeight="1" x14ac:dyDescent="0.3">
      <c r="B149" s="80" t="s">
        <v>91</v>
      </c>
      <c r="C149" s="81"/>
      <c r="D149" s="81"/>
      <c r="E149" s="81"/>
      <c r="F149" s="81"/>
      <c r="G149" s="81"/>
      <c r="H149" s="81"/>
      <c r="I149" s="81"/>
      <c r="J149" s="81"/>
      <c r="K149" s="81"/>
      <c r="L149" s="81"/>
      <c r="M149" s="81"/>
      <c r="N149" s="81"/>
      <c r="O149" s="81"/>
      <c r="P149" s="81"/>
      <c r="Q149" s="81"/>
      <c r="R149" s="81"/>
      <c r="S149" s="81"/>
      <c r="T149" s="81"/>
      <c r="U149" s="81"/>
      <c r="V149" s="81"/>
      <c r="W149" s="81"/>
      <c r="X149" s="81"/>
      <c r="Y149" s="25"/>
      <c r="Z149" s="81"/>
      <c r="AA149" s="81"/>
      <c r="AB149" s="81"/>
      <c r="AC149" s="81"/>
      <c r="AD149" s="81"/>
    </row>
    <row r="150" spans="2:30" ht="14.25" customHeight="1" x14ac:dyDescent="0.3">
      <c r="B150" s="82" t="s">
        <v>92</v>
      </c>
      <c r="C150" s="70"/>
      <c r="D150" s="70"/>
      <c r="E150" s="70"/>
      <c r="F150" s="70"/>
      <c r="G150" s="70"/>
      <c r="H150" s="70"/>
      <c r="I150" s="70"/>
      <c r="J150" s="70"/>
      <c r="K150" s="70">
        <f t="shared" ref="K150:U150" si="80">IFERROR(K144/K153,"-")</f>
        <v>1.5650822214641074E-2</v>
      </c>
      <c r="L150" s="70">
        <f t="shared" si="80"/>
        <v>1.6483291766315952E-2</v>
      </c>
      <c r="M150" s="70">
        <f t="shared" si="80"/>
        <v>1.6283520709327724E-2</v>
      </c>
      <c r="N150" s="70">
        <f t="shared" si="80"/>
        <v>1.5248042886556687E-2</v>
      </c>
      <c r="O150" s="70">
        <f t="shared" si="80"/>
        <v>1.6069054972334077E-2</v>
      </c>
      <c r="P150" s="70">
        <f t="shared" si="80"/>
        <v>1.6058268693049625E-2</v>
      </c>
      <c r="Q150" s="70">
        <f t="shared" si="80"/>
        <v>1.5350191943867995E-2</v>
      </c>
      <c r="R150" s="70">
        <f t="shared" si="80"/>
        <v>1.5287253493561085E-2</v>
      </c>
      <c r="S150" s="70">
        <f t="shared" si="80"/>
        <v>1.5661712471120793E-2</v>
      </c>
      <c r="T150" s="70">
        <f t="shared" si="80"/>
        <v>1.4626644335266524E-2</v>
      </c>
      <c r="U150" s="70">
        <f t="shared" si="80"/>
        <v>1.3916513208685649E-2</v>
      </c>
      <c r="V150" s="70">
        <v>1.3306847571246751E-2</v>
      </c>
      <c r="W150" s="70">
        <v>1.4497474568321586E-2</v>
      </c>
      <c r="X150" s="70">
        <f t="shared" ref="X150" si="81">IFERROR(X144/X153,"-")</f>
        <v>1.5008533950617282E-2</v>
      </c>
      <c r="Y150" s="83"/>
      <c r="Z150" s="70"/>
      <c r="AA150" s="70"/>
      <c r="AB150" s="70">
        <v>1.5913953094094376E-2</v>
      </c>
      <c r="AC150" s="70">
        <v>1.5690309409079381E-2</v>
      </c>
      <c r="AD150" s="70">
        <v>1.4291612654320988E-2</v>
      </c>
    </row>
    <row r="151" spans="2:30" ht="14.25" customHeight="1" thickBot="1" x14ac:dyDescent="0.35">
      <c r="B151" s="84" t="s">
        <v>93</v>
      </c>
      <c r="C151" s="72"/>
      <c r="D151" s="72"/>
      <c r="E151" s="72"/>
      <c r="F151" s="72"/>
      <c r="G151" s="72"/>
      <c r="H151" s="72"/>
      <c r="I151" s="72"/>
      <c r="J151" s="72"/>
      <c r="K151" s="72">
        <f t="shared" ref="K151:U151" si="82">IFERROR(K144/K140,"-")</f>
        <v>0.36581515944449566</v>
      </c>
      <c r="L151" s="72">
        <f t="shared" si="82"/>
        <v>0.3759846471144549</v>
      </c>
      <c r="M151" s="72">
        <f t="shared" si="82"/>
        <v>0.36437339081711934</v>
      </c>
      <c r="N151" s="72">
        <f t="shared" si="82"/>
        <v>0.36281671074400784</v>
      </c>
      <c r="O151" s="72">
        <f t="shared" si="82"/>
        <v>0.37907227527616549</v>
      </c>
      <c r="P151" s="72">
        <f t="shared" si="82"/>
        <v>0.39059915916620186</v>
      </c>
      <c r="Q151" s="72">
        <f t="shared" si="82"/>
        <v>0.38063905671613796</v>
      </c>
      <c r="R151" s="72">
        <f t="shared" si="82"/>
        <v>0.39992691601942404</v>
      </c>
      <c r="S151" s="72">
        <f t="shared" si="82"/>
        <v>0.40636923369673683</v>
      </c>
      <c r="T151" s="72">
        <f t="shared" si="82"/>
        <v>0.39928296527913776</v>
      </c>
      <c r="U151" s="72">
        <f t="shared" si="82"/>
        <v>0.39255401212311714</v>
      </c>
      <c r="V151" s="72">
        <v>0.37983404677932581</v>
      </c>
      <c r="W151" s="72">
        <v>0.38628020777966193</v>
      </c>
      <c r="X151" s="72">
        <f t="shared" ref="X151" si="83">IFERROR(X144/X140,"-")</f>
        <v>0.38454699570497269</v>
      </c>
      <c r="Y151" s="83"/>
      <c r="Z151" s="72"/>
      <c r="AA151" s="72"/>
      <c r="AB151" s="72">
        <v>0.3672630964868796</v>
      </c>
      <c r="AC151" s="72">
        <v>0.38791907727928332</v>
      </c>
      <c r="AD151" s="72">
        <v>0.39388181544434259</v>
      </c>
    </row>
    <row r="152" spans="2:30" ht="14.25" customHeight="1" x14ac:dyDescent="0.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2:30" ht="14.25" customHeight="1" x14ac:dyDescent="0.3">
      <c r="B153" s="39" t="s">
        <v>94</v>
      </c>
      <c r="C153" s="85"/>
      <c r="D153" s="85"/>
      <c r="E153" s="85"/>
      <c r="F153" s="85"/>
      <c r="G153" s="85"/>
      <c r="H153" s="85"/>
      <c r="I153" s="85"/>
      <c r="J153" s="85"/>
      <c r="K153" s="85">
        <f>'Operating Metrics - Old_View'!K7*1000</f>
        <v>80100</v>
      </c>
      <c r="L153" s="85">
        <f>'Operating Metrics - Old_View'!L7*1000</f>
        <v>89200</v>
      </c>
      <c r="M153" s="85">
        <f>'Operating Metrics - Old_View'!M7*1000</f>
        <v>90300</v>
      </c>
      <c r="N153" s="85">
        <f>'Operating Metrics - Old_View'!N7*1000</f>
        <v>94272.55052199999</v>
      </c>
      <c r="O153" s="85">
        <f>'Operating Metrics - Old_View'!O7*1000</f>
        <v>88455.485517449983</v>
      </c>
      <c r="P153" s="85">
        <f>'Operating Metrics - Old_View'!P7*1000</f>
        <v>93060.985619065454</v>
      </c>
      <c r="Q153" s="85">
        <f>'Operating Metrics - Old_View'!Q7*1000</f>
        <v>99836.441227135947</v>
      </c>
      <c r="R153" s="85">
        <f>'Operating Metrics - Old_View'!R7*1000</f>
        <v>113710.86883198624</v>
      </c>
      <c r="S153" s="85">
        <f>'Operating Metrics - Old_View'!S7*1000</f>
        <v>111736.725547637</v>
      </c>
      <c r="T153" s="85">
        <f>'Operating Metrics - Old_View'!T7*1000</f>
        <v>124390.48738337612</v>
      </c>
      <c r="U153" s="85">
        <f>'Operating Metrics - Old_View'!U7*1000</f>
        <v>136285.67193992529</v>
      </c>
      <c r="V153" s="85">
        <v>146006.71738955638</v>
      </c>
      <c r="W153" s="85">
        <v>129230.839739387</v>
      </c>
      <c r="X153" s="85">
        <f>'Operating Metrics - New_View'!X16*1000</f>
        <v>129600.00000000003</v>
      </c>
      <c r="Y153" s="25"/>
      <c r="Z153" s="85"/>
      <c r="AA153" s="85"/>
      <c r="AB153" s="85">
        <v>353900.00000000006</v>
      </c>
      <c r="AC153" s="85">
        <v>394300</v>
      </c>
      <c r="AD153" s="85">
        <v>518400</v>
      </c>
    </row>
  </sheetData>
  <mergeCells count="2">
    <mergeCell ref="B53:B54"/>
    <mergeCell ref="B131:B132"/>
  </mergeCells>
  <hyperlinks>
    <hyperlink ref="B3" r:id="rId1" xr:uid="{237DBF1F-FBE8-4055-9365-5BD99DDE4471}"/>
    <hyperlink ref="B28" r:id="rId2" xr:uid="{79197569-40FE-41E5-93AF-C346DC4488FB}"/>
    <hyperlink ref="B58" r:id="rId3" xr:uid="{5C7A07E9-FA37-4DE2-A5B8-A21CC06A0DBD}"/>
    <hyperlink ref="B106" r:id="rId4" xr:uid="{362250EF-6D73-49CB-97E8-8D399F4EAA97}"/>
    <hyperlink ref="B135" r:id="rId5" xr:uid="{F4E73BB0-83C1-4EE8-8577-EB766718A80A}"/>
  </hyperlinks>
  <pageMargins left="0.511811024" right="0.511811024" top="0.78740157499999996" bottom="0.78740157499999996" header="0.31496062000000002" footer="0.31496062000000002"/>
  <pageSetup paperSize="9" orientation="portrait" r:id="rId6"/>
  <ignoredErrors>
    <ignoredError sqref="A49:V52 A20:V20 A22:V23 A139:V139 A147:V147 A36:V38 A118:V119 A68:V72 A75:V75 A77:V78 A127:V130 A114:V116 A6:V11 A13:V17 A25:V25 A40:V42 Y1:XFD137 A26:V35 A18:V19 A131:V137 A79:V113 A76:V76 A73:V74 A120:V126 A117:V117 A43:V48 A154:V1048576 A140:V146 A39:V39 A24:V24 A21:V21 A53:V67 A12:V12 A3:N3 A138:V138 A148:V153 Y146:XFD146 Y144 AB144:XFD144 A5:V5 A4:P4 A1:N1 A2:N2 Y140:XFD140 Y138:AA138 AC138:XFD138 Y139:AA139 AC139:XFD139 Y143:AA143 Y141:AA141 AC141:XFD141 Y142:AA142 AC142:XFD142 AC143:XFD143 Y145:AA145 AC145:XFD145 Y148:XFD1048576 Y147:AA147 AC147:XFD14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C1AE-48A3-4010-B0FB-E137FD933F2C}">
  <sheetPr>
    <tabColor rgb="FFFFE72D"/>
  </sheetPr>
  <dimension ref="A2:AE13"/>
  <sheetViews>
    <sheetView workbookViewId="0">
      <selection activeCell="X3" sqref="X3"/>
    </sheetView>
  </sheetViews>
  <sheetFormatPr defaultColWidth="0" defaultRowHeight="14.5" x14ac:dyDescent="0.35"/>
  <cols>
    <col min="1" max="1" width="8.7265625" style="208" customWidth="1"/>
    <col min="2" max="2" width="20.1796875" style="208" bestFit="1" customWidth="1"/>
    <col min="3" max="14" width="4.453125" style="208" hidden="1" customWidth="1"/>
    <col min="15" max="15" width="7.1796875" style="208" bestFit="1" customWidth="1"/>
    <col min="16" max="25" width="8.7265625" style="208" customWidth="1"/>
    <col min="26" max="27" width="4.08984375" style="208" hidden="1" customWidth="1"/>
    <col min="28" max="28" width="7.1796875" style="208" hidden="1" customWidth="1"/>
    <col min="29" max="29" width="7.1796875" style="208" bestFit="1" customWidth="1"/>
    <col min="30" max="31" width="8.7265625" style="208" customWidth="1"/>
    <col min="32" max="16384" width="8.7265625" hidden="1"/>
  </cols>
  <sheetData>
    <row r="2" spans="1:31" x14ac:dyDescent="0.35">
      <c r="B2" s="209" t="s">
        <v>500</v>
      </c>
    </row>
    <row r="3" spans="1:31" x14ac:dyDescent="0.35">
      <c r="B3" s="210" t="s">
        <v>1</v>
      </c>
    </row>
    <row r="5" spans="1:31" ht="15" thickBot="1" x14ac:dyDescent="0.4">
      <c r="B5" s="192" t="s">
        <v>54</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
        <v>20</v>
      </c>
      <c r="U5" s="189" t="s">
        <v>21</v>
      </c>
      <c r="V5" s="189" t="s">
        <v>22</v>
      </c>
      <c r="W5" s="189" t="s">
        <v>457</v>
      </c>
      <c r="X5" s="189" t="s">
        <v>493</v>
      </c>
      <c r="Y5" s="24"/>
      <c r="Z5" s="189">
        <v>2020</v>
      </c>
      <c r="AA5" s="189">
        <v>2021</v>
      </c>
      <c r="AB5" s="189">
        <v>2022</v>
      </c>
      <c r="AC5" s="189">
        <v>2023</v>
      </c>
      <c r="AD5" s="189">
        <v>2024</v>
      </c>
    </row>
    <row r="6" spans="1:31" x14ac:dyDescent="0.35">
      <c r="B6" s="88" t="s">
        <v>74</v>
      </c>
      <c r="C6" s="89"/>
      <c r="D6" s="89"/>
      <c r="E6" s="89"/>
      <c r="F6" s="89"/>
      <c r="G6" s="89"/>
      <c r="H6" s="89"/>
      <c r="I6" s="89"/>
      <c r="J6" s="89"/>
      <c r="K6" s="89">
        <f>'Income Statement'!K25</f>
        <v>349.92185616199185</v>
      </c>
      <c r="L6" s="89">
        <f>'Income Statement'!L25</f>
        <v>366.92150524868975</v>
      </c>
      <c r="M6" s="89">
        <f>'Income Statement'!M25</f>
        <v>380.28737281989561</v>
      </c>
      <c r="N6" s="89">
        <f>'Income Statement'!N25</f>
        <v>407.63665890015562</v>
      </c>
      <c r="O6" s="89">
        <f>'Income Statement'!O25</f>
        <v>369.78267675915237</v>
      </c>
      <c r="P6" s="89">
        <f>'Income Statement'!P25</f>
        <v>385.11624165577734</v>
      </c>
      <c r="Q6" s="89">
        <f>'Income Statement'!Q25</f>
        <v>410.72529730824618</v>
      </c>
      <c r="R6" s="89">
        <f>'Income Statement'!R25</f>
        <v>488.04072590626004</v>
      </c>
      <c r="S6" s="89">
        <f>'Income Statement'!S25</f>
        <v>482.60000000000099</v>
      </c>
      <c r="T6" s="89">
        <f>'Income Statement'!T25</f>
        <v>503.64470232704144</v>
      </c>
      <c r="U6" s="89">
        <f>'Income Statement'!U25</f>
        <v>531.1505753059339</v>
      </c>
      <c r="V6" s="89">
        <f>'Income Statement'!V25</f>
        <v>598.89999999999895</v>
      </c>
      <c r="W6" s="89">
        <f>'Income Statement'!W25</f>
        <v>525.20000000000073</v>
      </c>
      <c r="X6" s="89">
        <f>'Income Statement'!X25</f>
        <v>536.76</v>
      </c>
      <c r="Y6" s="24"/>
      <c r="Z6" s="89"/>
      <c r="AA6" s="89"/>
      <c r="AB6" s="89">
        <f>'Income Statement'!AB25</f>
        <v>1504.768</v>
      </c>
      <c r="AC6" s="89">
        <f>'Income Statement'!AC25</f>
        <v>1653.684</v>
      </c>
      <c r="AD6" s="89">
        <f>'Income Statement'!AD25</f>
        <v>2116.3679999999999</v>
      </c>
    </row>
    <row r="7" spans="1:31" ht="14.25" customHeight="1" x14ac:dyDescent="0.35">
      <c r="A7" s="1"/>
      <c r="B7" s="88" t="s">
        <v>206</v>
      </c>
      <c r="C7" s="89"/>
      <c r="D7" s="89"/>
      <c r="E7" s="89"/>
      <c r="F7" s="89"/>
      <c r="G7" s="89"/>
      <c r="H7" s="89"/>
      <c r="I7" s="89"/>
      <c r="J7" s="89"/>
      <c r="K7" s="89">
        <f>'Balance Sheet'!K52</f>
        <v>10791.263349625491</v>
      </c>
      <c r="L7" s="89">
        <f>'Balance Sheet'!L52</f>
        <v>11189.330418713182</v>
      </c>
      <c r="M7" s="89">
        <f>'Balance Sheet'!M52</f>
        <v>11511.623577646082</v>
      </c>
      <c r="N7" s="89">
        <f>'Balance Sheet'!N52</f>
        <v>11842.150063744242</v>
      </c>
      <c r="O7" s="89">
        <f>'Balance Sheet'!O52</f>
        <v>12207.165892041974</v>
      </c>
      <c r="P7" s="89">
        <f>'Balance Sheet'!P52</f>
        <v>12525.545872744922</v>
      </c>
      <c r="Q7" s="89">
        <f>'Balance Sheet'!Q52</f>
        <v>12868.207507000001</v>
      </c>
      <c r="R7" s="89">
        <f>'Balance Sheet'!R52</f>
        <v>13240.684999999999</v>
      </c>
      <c r="S7" s="89">
        <f>'Balance Sheet'!S52</f>
        <v>13769.351641969999</v>
      </c>
      <c r="T7" s="89">
        <f>'Balance Sheet'!T52</f>
        <v>14317.891017293545</v>
      </c>
      <c r="U7" s="89">
        <f>'Balance Sheet'!U52</f>
        <v>14442.819891760668</v>
      </c>
      <c r="V7" s="89">
        <f>'Balance Sheet'!V52</f>
        <v>14668.371999999999</v>
      </c>
      <c r="W7" s="89">
        <f>'Balance Sheet'!W52</f>
        <v>14942.8478</v>
      </c>
      <c r="X7" s="89">
        <f>'Balance Sheet'!X52</f>
        <v>14583.7</v>
      </c>
      <c r="Y7" s="24"/>
      <c r="Z7" s="89"/>
      <c r="AA7" s="89"/>
      <c r="AB7" s="89">
        <f>'Balance Sheet'!AB52</f>
        <v>11842.150063744242</v>
      </c>
      <c r="AC7" s="89">
        <f>'Balance Sheet'!AC52</f>
        <v>13240.684999999999</v>
      </c>
      <c r="AD7" s="89">
        <f>'Balance Sheet'!AD52</f>
        <v>14668.371999999999</v>
      </c>
      <c r="AE7" s="86"/>
    </row>
    <row r="8" spans="1:31" x14ac:dyDescent="0.35">
      <c r="B8" s="213" t="s">
        <v>209</v>
      </c>
      <c r="K8" s="214">
        <f>'Balance Sheet'!K55</f>
        <v>6014.2159830399996</v>
      </c>
      <c r="L8" s="214">
        <f>'Balance Sheet'!L55</f>
        <v>6054.0134391400006</v>
      </c>
      <c r="M8" s="214">
        <f>'Balance Sheet'!M55</f>
        <v>6089.3598179499995</v>
      </c>
      <c r="N8" s="214">
        <f>'Balance Sheet'!N55</f>
        <v>6102.572433280001</v>
      </c>
      <c r="O8" s="214">
        <f>'Balance Sheet'!O55</f>
        <v>6029.4365499899995</v>
      </c>
      <c r="P8" s="214">
        <f>'Balance Sheet'!P55</f>
        <v>6062.30303508</v>
      </c>
      <c r="Q8" s="214">
        <f>'Balance Sheet'!Q55</f>
        <v>6097.3909129999993</v>
      </c>
      <c r="R8" s="214">
        <f>'Balance Sheet'!R55</f>
        <v>6132.7458467400002</v>
      </c>
      <c r="S8" s="214">
        <f>'Balance Sheet'!S55</f>
        <v>6002.4136859999999</v>
      </c>
      <c r="T8" s="214">
        <f>'Balance Sheet'!T55</f>
        <v>6046.550698770001</v>
      </c>
      <c r="U8" s="214">
        <f>'Balance Sheet'!U55</f>
        <v>6090.6208054600002</v>
      </c>
      <c r="V8" s="214">
        <f>'Balance Sheet'!V55</f>
        <v>6133.8633</v>
      </c>
      <c r="W8" s="214">
        <f>'Balance Sheet'!W55</f>
        <v>6003.2910000000002</v>
      </c>
      <c r="X8" s="214">
        <f>'Balance Sheet'!X55</f>
        <v>4821.9750000000004</v>
      </c>
      <c r="Y8" s="214"/>
      <c r="Z8" s="214"/>
      <c r="AA8" s="214"/>
      <c r="AB8" s="214">
        <f>'Balance Sheet'!AB55</f>
        <v>6102.572433280001</v>
      </c>
      <c r="AC8" s="214">
        <f>'Balance Sheet'!AC55</f>
        <v>6132.7458467400002</v>
      </c>
      <c r="AD8" s="214">
        <f>'Balance Sheet'!AD55</f>
        <v>6133.8633</v>
      </c>
    </row>
    <row r="9" spans="1:31" x14ac:dyDescent="0.35">
      <c r="B9" s="213" t="s">
        <v>496</v>
      </c>
      <c r="K9" s="214">
        <f>'Balance Sheet'!K59</f>
        <v>5082.5420697934933</v>
      </c>
      <c r="L9" s="214">
        <f>'Balance Sheet'!L59</f>
        <v>5449.4635754811825</v>
      </c>
      <c r="M9" s="214">
        <f>'Balance Sheet'!M59</f>
        <v>5829.7509467940827</v>
      </c>
      <c r="N9" s="214">
        <f>'Balance Sheet'!N59</f>
        <v>6237.3876070122415</v>
      </c>
      <c r="O9" s="214">
        <f>'Balance Sheet'!O59</f>
        <v>6607.235697659974</v>
      </c>
      <c r="P9" s="214">
        <f>'Balance Sheet'!P59</f>
        <v>6992.3263394929209</v>
      </c>
      <c r="Q9" s="214">
        <f>'Balance Sheet'!Q59</f>
        <v>7403.0564680000007</v>
      </c>
      <c r="R9" s="214">
        <f>'Balance Sheet'!R59</f>
        <v>7891.0761938368205</v>
      </c>
      <c r="S9" s="214">
        <f>'Balance Sheet'!S59</f>
        <v>8373.6221069999992</v>
      </c>
      <c r="T9" s="214">
        <f>'Balance Sheet'!T59</f>
        <v>8877.2667613515441</v>
      </c>
      <c r="U9" s="214">
        <f>'Balance Sheet'!U59</f>
        <v>9408.419345768667</v>
      </c>
      <c r="V9" s="214">
        <f>'Balance Sheet'!V59</f>
        <v>10007.444300000001</v>
      </c>
      <c r="W9" s="214">
        <f>'Balance Sheet'!W59</f>
        <v>10532.536</v>
      </c>
      <c r="X9" s="214">
        <f>'Balance Sheet'!X59</f>
        <v>10642.125</v>
      </c>
      <c r="Y9" s="214"/>
      <c r="Z9" s="214"/>
      <c r="AA9" s="214"/>
      <c r="AB9" s="214">
        <f>'Balance Sheet'!AB59</f>
        <v>6237.3876070122415</v>
      </c>
      <c r="AC9" s="214">
        <f>'Balance Sheet'!AC59</f>
        <v>7891.0761938368205</v>
      </c>
      <c r="AD9" s="214">
        <f>'Balance Sheet'!AD59</f>
        <v>10007.444300000001</v>
      </c>
    </row>
    <row r="10" spans="1:31" x14ac:dyDescent="0.35">
      <c r="B10" s="213" t="s">
        <v>120</v>
      </c>
      <c r="K10" s="52">
        <f>'Balance Sheet'!K61</f>
        <v>-280.55476389</v>
      </c>
      <c r="L10" s="52">
        <f>'Balance Sheet'!L61</f>
        <v>-280.20441489000001</v>
      </c>
      <c r="M10" s="52">
        <f>'Balance Sheet'!M61</f>
        <v>-376.59753338999997</v>
      </c>
      <c r="N10" s="52">
        <f>'Balance Sheet'!N61</f>
        <v>-475.35140545000002</v>
      </c>
      <c r="O10" s="52">
        <f>'Balance Sheet'!O61</f>
        <v>-407.33747187</v>
      </c>
      <c r="P10" s="52">
        <f>'Balance Sheet'!P61</f>
        <v>-505.63767668999998</v>
      </c>
      <c r="Q10" s="52">
        <f>'Balance Sheet'!Q61</f>
        <v>-609.82446400000003</v>
      </c>
      <c r="R10" s="52">
        <f>'Balance Sheet'!R61</f>
        <v>-760.3170859600001</v>
      </c>
      <c r="S10" s="52">
        <f>'Balance Sheet'!S61</f>
        <v>-583.22006700000009</v>
      </c>
      <c r="T10" s="52">
        <f>'Balance Sheet'!T61</f>
        <v>-583.22006707000014</v>
      </c>
      <c r="U10" s="52">
        <f>'Balance Sheet'!U61</f>
        <v>-1010.93907187</v>
      </c>
      <c r="V10" s="52">
        <f>'Balance Sheet'!V61</f>
        <v>-1367.6773000000001</v>
      </c>
      <c r="W10" s="52">
        <f>'Balance Sheet'!W61</f>
        <v>-1436.1443000000002</v>
      </c>
      <c r="X10" s="52">
        <f>'Balance Sheet'!X61</f>
        <v>-695.36099999999999</v>
      </c>
      <c r="Y10" s="211"/>
      <c r="Z10" s="211"/>
      <c r="AA10" s="211"/>
      <c r="AB10" s="52">
        <f>'Balance Sheet'!AB61</f>
        <v>-475.35140545000002</v>
      </c>
      <c r="AC10" s="52">
        <f>'Balance Sheet'!AC61</f>
        <v>-760.3170859600001</v>
      </c>
      <c r="AD10" s="52">
        <f>'Balance Sheet'!AD61</f>
        <v>-1367.6773000000001</v>
      </c>
    </row>
    <row r="11" spans="1:31" ht="14.25" customHeight="1" x14ac:dyDescent="0.35">
      <c r="A11" s="1"/>
      <c r="B11" s="88" t="s">
        <v>497</v>
      </c>
      <c r="C11" s="89"/>
      <c r="D11" s="89"/>
      <c r="E11" s="89"/>
      <c r="F11" s="89"/>
      <c r="G11" s="89"/>
      <c r="H11" s="89"/>
      <c r="I11" s="89"/>
      <c r="J11" s="89"/>
      <c r="K11" s="89"/>
      <c r="L11" s="89"/>
      <c r="M11" s="89"/>
      <c r="N11" s="89"/>
      <c r="O11" s="215">
        <f t="shared" ref="O11:W11" si="0">O6*4/AVERAGE(O7,N7)</f>
        <v>0.12300813127125419</v>
      </c>
      <c r="P11" s="215">
        <f t="shared" si="0"/>
        <v>0.12456903078588742</v>
      </c>
      <c r="Q11" s="215">
        <f t="shared" si="0"/>
        <v>0.12939412025190641</v>
      </c>
      <c r="R11" s="215">
        <f t="shared" si="0"/>
        <v>0.14954007743542932</v>
      </c>
      <c r="S11" s="215">
        <f t="shared" si="0"/>
        <v>0.14293945806799976</v>
      </c>
      <c r="T11" s="215">
        <f t="shared" si="0"/>
        <v>0.14345151880857418</v>
      </c>
      <c r="U11" s="215">
        <f t="shared" si="0"/>
        <v>0.14774337866279136</v>
      </c>
      <c r="V11" s="215">
        <f t="shared" si="0"/>
        <v>0.16458274940491335</v>
      </c>
      <c r="W11" s="215">
        <f t="shared" si="0"/>
        <v>0.14189216210539243</v>
      </c>
      <c r="X11" s="215">
        <f>X6*4/AVERAGE(X7,W7)</f>
        <v>0.14543115670298579</v>
      </c>
      <c r="Y11" s="24"/>
      <c r="Z11" s="89"/>
      <c r="AA11" s="89"/>
      <c r="AB11" s="89"/>
      <c r="AC11" s="215">
        <f>AC6/AVERAGE(AB7:AC7)</f>
        <v>0.13185782195652218</v>
      </c>
      <c r="AD11" s="215">
        <f>AD6/AVERAGE(AC7:AD7)</f>
        <v>0.151661734755137</v>
      </c>
      <c r="AE11" s="86"/>
    </row>
    <row r="12" spans="1:31" x14ac:dyDescent="0.35">
      <c r="B12" s="212" t="s">
        <v>498</v>
      </c>
      <c r="O12" s="216">
        <f t="shared" ref="O12:W12" si="1">SUM(L6:O6)/AVERAGE(O7,K7)</f>
        <v>0.13258542117873373</v>
      </c>
      <c r="P12" s="216">
        <f t="shared" si="1"/>
        <v>0.13011435785483669</v>
      </c>
      <c r="Q12" s="216">
        <f t="shared" si="1"/>
        <v>0.12906249179176135</v>
      </c>
      <c r="R12" s="216">
        <f t="shared" si="1"/>
        <v>0.13185630232203782</v>
      </c>
      <c r="S12" s="216">
        <f t="shared" si="1"/>
        <v>0.13600608800293318</v>
      </c>
      <c r="T12" s="216">
        <f t="shared" si="1"/>
        <v>0.1404448121351459</v>
      </c>
      <c r="U12" s="216">
        <f t="shared" si="1"/>
        <v>0.14685906716422098</v>
      </c>
      <c r="V12" s="216">
        <f t="shared" si="1"/>
        <v>0.15165652337396962</v>
      </c>
      <c r="W12" s="216">
        <f t="shared" si="1"/>
        <v>0.15038174153089884</v>
      </c>
      <c r="X12" s="216">
        <f>SUM(U6:X6)/AVERAGE(X7,T7)</f>
        <v>0.15168788278778997</v>
      </c>
      <c r="Y12" s="211"/>
      <c r="Z12" s="211"/>
      <c r="AA12" s="211"/>
      <c r="AB12" s="211"/>
      <c r="AC12" s="216">
        <f>AC6/AVERAGE(AB7:AC7)</f>
        <v>0.13185782195652218</v>
      </c>
      <c r="AD12" s="216">
        <f>AD6/AVERAGE(AC7:AD7)</f>
        <v>0.151661734755137</v>
      </c>
    </row>
    <row r="13" spans="1:31" ht="14.25" customHeight="1" x14ac:dyDescent="0.35">
      <c r="A13" s="1"/>
      <c r="B13" s="88" t="s">
        <v>499</v>
      </c>
      <c r="C13" s="89"/>
      <c r="D13" s="89"/>
      <c r="E13" s="89"/>
      <c r="F13" s="89"/>
      <c r="G13" s="89"/>
      <c r="H13" s="89"/>
      <c r="I13" s="89"/>
      <c r="J13" s="89"/>
      <c r="K13" s="89"/>
      <c r="L13" s="89"/>
      <c r="M13" s="89"/>
      <c r="N13" s="89"/>
      <c r="O13" s="215" t="s">
        <v>28</v>
      </c>
      <c r="P13" s="215" t="s">
        <v>28</v>
      </c>
      <c r="Q13" s="215">
        <v>0.34860000000000002</v>
      </c>
      <c r="R13" s="215">
        <v>0.3327</v>
      </c>
      <c r="S13" s="215">
        <v>0.30530000000000002</v>
      </c>
      <c r="T13" s="215">
        <v>0.33360000000000001</v>
      </c>
      <c r="U13" s="215">
        <v>0.30559999999999998</v>
      </c>
      <c r="V13" s="215">
        <v>0.2838</v>
      </c>
      <c r="W13" s="215">
        <v>0.27389999999999998</v>
      </c>
      <c r="X13" s="215">
        <v>0.29599999999999999</v>
      </c>
      <c r="Y13" s="24"/>
      <c r="Z13" s="89"/>
      <c r="AA13" s="89"/>
      <c r="AB13" s="89"/>
      <c r="AC13" s="215">
        <f>R13</f>
        <v>0.3327</v>
      </c>
      <c r="AD13" s="215">
        <f>V13</f>
        <v>0.2838</v>
      </c>
      <c r="AE13" s="86"/>
    </row>
  </sheetData>
  <hyperlinks>
    <hyperlink ref="B3" r:id="rId1" xr:uid="{D18A33B8-ADA2-4C97-9B96-CE513E9924E9}"/>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0678-0DB4-4FF6-B2B5-031F36D427FC}">
  <sheetPr codeName="Planilha6">
    <tabColor rgb="FFFFE72D"/>
  </sheetPr>
  <dimension ref="A1:BE132"/>
  <sheetViews>
    <sheetView showGridLines="0" zoomScaleNormal="100" workbookViewId="0">
      <pane xSplit="2" ySplit="5" topLeftCell="T48" activePane="bottomRight" state="frozen"/>
      <selection pane="topRight" activeCell="AG27" sqref="AG27"/>
      <selection pane="bottomLeft" activeCell="AG27" sqref="AG27"/>
      <selection pane="bottomRight" activeCell="X61" sqref="X61"/>
    </sheetView>
  </sheetViews>
  <sheetFormatPr defaultColWidth="0" defaultRowHeight="14.25" customHeight="1" outlineLevelRow="1" outlineLevelCol="1" x14ac:dyDescent="0.35"/>
  <cols>
    <col min="1" max="1" width="2.54296875" style="1" customWidth="1"/>
    <col min="2" max="2" width="60.54296875" style="24" customWidth="1"/>
    <col min="3" max="3" width="10.54296875" style="24" hidden="1" customWidth="1" outlineLevel="1" collapsed="1"/>
    <col min="4" max="6" width="10.54296875" style="24" hidden="1" customWidth="1" outlineLevel="1"/>
    <col min="7" max="7" width="10.54296875" style="24" hidden="1" customWidth="1" outlineLevel="1" collapsed="1"/>
    <col min="8" max="14" width="10.54296875" style="24" hidden="1" customWidth="1" outlineLevel="1"/>
    <col min="15" max="15" width="10.54296875" style="24" customWidth="1" collapsed="1"/>
    <col min="16" max="24" width="10.54296875" style="24" customWidth="1"/>
    <col min="25" max="25" width="2.54296875" style="24" customWidth="1"/>
    <col min="26" max="26" width="10.54296875" style="24" customWidth="1" collapsed="1"/>
    <col min="27" max="30" width="10.54296875" style="24" customWidth="1"/>
    <col min="31" max="31" width="2.54296875" style="24" customWidth="1"/>
    <col min="32" max="40" width="0" style="1" hidden="1" customWidth="1"/>
    <col min="41" max="46" width="10.54296875" style="1" hidden="1" customWidth="1"/>
    <col min="47" max="57" width="0" style="1" hidden="1" customWidth="1"/>
    <col min="58" max="16384" width="10.54296875" style="1" hidden="1"/>
  </cols>
  <sheetData>
    <row r="1" spans="1:32" ht="14.25" customHeight="1" x14ac:dyDescent="0.35">
      <c r="C1" s="86"/>
      <c r="D1" s="86"/>
      <c r="E1" s="86"/>
      <c r="F1" s="86"/>
      <c r="G1" s="86"/>
      <c r="H1" s="86"/>
      <c r="I1" s="86"/>
      <c r="J1" s="86"/>
      <c r="K1" s="86"/>
      <c r="L1" s="86"/>
      <c r="M1" s="86"/>
      <c r="N1" s="86"/>
      <c r="O1" s="86"/>
      <c r="P1" s="86"/>
      <c r="Q1" s="86"/>
      <c r="R1" s="86"/>
      <c r="S1" s="86"/>
      <c r="T1" s="86"/>
      <c r="U1" s="86"/>
      <c r="V1" s="86"/>
      <c r="W1" s="86"/>
      <c r="X1" s="86"/>
      <c r="Z1" s="86"/>
      <c r="AA1" s="86"/>
      <c r="AB1" s="86"/>
      <c r="AC1" s="86"/>
      <c r="AD1" s="86"/>
      <c r="AE1" s="86"/>
      <c r="AF1" s="2"/>
    </row>
    <row r="2" spans="1:32" ht="14.25" customHeight="1" x14ac:dyDescent="0.35">
      <c r="B2" s="13" t="s">
        <v>123</v>
      </c>
      <c r="C2" s="86"/>
      <c r="D2" s="86"/>
      <c r="E2" s="86"/>
      <c r="F2" s="86"/>
      <c r="G2" s="86"/>
      <c r="H2" s="86"/>
      <c r="I2" s="86"/>
      <c r="J2" s="86"/>
      <c r="K2" s="86"/>
      <c r="L2" s="86"/>
      <c r="M2" s="86"/>
      <c r="N2" s="86"/>
      <c r="O2" s="86"/>
      <c r="P2" s="86"/>
      <c r="Q2" s="86"/>
      <c r="R2" s="86"/>
      <c r="S2" s="86"/>
      <c r="T2" s="86"/>
      <c r="U2" s="86"/>
      <c r="V2" s="86"/>
      <c r="W2" s="86"/>
      <c r="X2" s="86"/>
      <c r="Z2" s="47"/>
      <c r="AA2" s="47"/>
      <c r="AB2" s="47"/>
      <c r="AC2" s="47"/>
      <c r="AD2" s="47"/>
      <c r="AE2" s="86"/>
      <c r="AF2" s="2"/>
    </row>
    <row r="3" spans="1:32" ht="14.25" customHeight="1" x14ac:dyDescent="0.35">
      <c r="B3" s="15" t="s">
        <v>1</v>
      </c>
      <c r="C3" s="47"/>
      <c r="D3" s="47"/>
      <c r="E3" s="47"/>
      <c r="F3" s="47"/>
      <c r="G3" s="47"/>
      <c r="H3" s="47"/>
      <c r="I3" s="47"/>
      <c r="J3" s="47"/>
      <c r="K3" s="47"/>
      <c r="L3" s="86"/>
      <c r="M3" s="86"/>
      <c r="N3" s="86"/>
      <c r="O3" s="86"/>
      <c r="P3" s="86"/>
      <c r="Q3" s="86"/>
      <c r="R3" s="86"/>
      <c r="S3" s="86"/>
      <c r="T3" s="86"/>
      <c r="U3" s="86"/>
      <c r="V3" s="86"/>
      <c r="W3" s="86"/>
      <c r="X3" s="86"/>
      <c r="Z3" s="38"/>
      <c r="AA3" s="38"/>
      <c r="AB3" s="38"/>
      <c r="AC3" s="38"/>
      <c r="AD3" s="38"/>
      <c r="AE3" s="86"/>
      <c r="AF3" s="2"/>
    </row>
    <row r="4" spans="1:32" ht="14.25" customHeight="1" x14ac:dyDescent="0.35">
      <c r="B4" s="55"/>
      <c r="C4" s="47"/>
      <c r="D4" s="47"/>
      <c r="E4" s="47"/>
      <c r="F4" s="47"/>
      <c r="G4" s="47"/>
      <c r="H4" s="47"/>
      <c r="I4" s="47"/>
      <c r="J4" s="47"/>
      <c r="K4" s="47"/>
      <c r="L4" s="47"/>
      <c r="M4" s="47"/>
      <c r="N4" s="47"/>
      <c r="O4" s="47"/>
      <c r="P4" s="47"/>
      <c r="Q4" s="47"/>
      <c r="R4" s="47"/>
      <c r="S4" s="47"/>
      <c r="T4" s="47"/>
      <c r="U4" s="47"/>
      <c r="V4" s="47"/>
      <c r="W4" s="47"/>
      <c r="X4" s="47"/>
      <c r="Z4" s="86"/>
      <c r="AA4" s="86"/>
      <c r="AB4" s="86"/>
      <c r="AC4" s="86"/>
      <c r="AD4" s="86"/>
      <c r="AE4" s="86"/>
      <c r="AF4" s="2"/>
    </row>
    <row r="5" spans="1:32" ht="14.25" customHeight="1" thickBot="1" x14ac:dyDescent="0.4">
      <c r="A5" s="2"/>
      <c r="B5" s="193" t="s">
        <v>54</v>
      </c>
      <c r="C5" s="194" t="s">
        <v>3</v>
      </c>
      <c r="D5" s="194" t="s">
        <v>124</v>
      </c>
      <c r="E5" s="194" t="s">
        <v>125</v>
      </c>
      <c r="F5" s="194">
        <v>2020</v>
      </c>
      <c r="G5" s="194" t="s">
        <v>7</v>
      </c>
      <c r="H5" s="194" t="s">
        <v>126</v>
      </c>
      <c r="I5" s="194" t="s">
        <v>127</v>
      </c>
      <c r="J5" s="194">
        <v>2021</v>
      </c>
      <c r="K5" s="194" t="s">
        <v>11</v>
      </c>
      <c r="L5" s="194" t="s">
        <v>128</v>
      </c>
      <c r="M5" s="194" t="s">
        <v>129</v>
      </c>
      <c r="N5" s="194">
        <v>2022</v>
      </c>
      <c r="O5" s="189" t="s">
        <v>15</v>
      </c>
      <c r="P5" s="194" t="s">
        <v>130</v>
      </c>
      <c r="Q5" s="194" t="s">
        <v>131</v>
      </c>
      <c r="R5" s="194">
        <v>2023</v>
      </c>
      <c r="S5" s="194" t="s">
        <v>19</v>
      </c>
      <c r="T5" s="194" t="s">
        <v>132</v>
      </c>
      <c r="U5" s="194" t="s">
        <v>133</v>
      </c>
      <c r="V5" s="194">
        <v>2024</v>
      </c>
      <c r="W5" s="194" t="s">
        <v>457</v>
      </c>
      <c r="X5" s="194" t="s">
        <v>493</v>
      </c>
      <c r="Z5" s="194">
        <v>2020</v>
      </c>
      <c r="AA5" s="194">
        <v>2021</v>
      </c>
      <c r="AB5" s="194">
        <v>2022</v>
      </c>
      <c r="AC5" s="194">
        <v>2023</v>
      </c>
      <c r="AD5" s="194">
        <v>2024</v>
      </c>
      <c r="AE5" s="86"/>
      <c r="AF5" s="2"/>
    </row>
    <row r="6" spans="1:32" ht="14.25" customHeight="1" x14ac:dyDescent="0.35">
      <c r="A6" s="3"/>
      <c r="B6" s="95" t="s">
        <v>134</v>
      </c>
      <c r="C6" s="57">
        <v>496.154</v>
      </c>
      <c r="D6" s="57">
        <v>908.59</v>
      </c>
      <c r="E6" s="57">
        <v>1260.7809999999999</v>
      </c>
      <c r="F6" s="57">
        <v>1774.691</v>
      </c>
      <c r="G6" s="57">
        <v>360.35199999999998</v>
      </c>
      <c r="H6" s="57">
        <v>698.52800000000002</v>
      </c>
      <c r="I6" s="57">
        <v>1119.7090000000001</v>
      </c>
      <c r="J6" s="57">
        <v>1488.027</v>
      </c>
      <c r="K6" s="57">
        <v>416.47199999999998</v>
      </c>
      <c r="L6" s="57">
        <v>859.18299999999999</v>
      </c>
      <c r="M6" s="57">
        <v>1284.4839999999999</v>
      </c>
      <c r="N6" s="57">
        <v>1759.316</v>
      </c>
      <c r="O6" s="57">
        <v>436.03800000000001</v>
      </c>
      <c r="P6" s="57">
        <v>921.30100000000004</v>
      </c>
      <c r="Q6" s="57">
        <v>1433.365</v>
      </c>
      <c r="R6" s="57">
        <v>2017.107</v>
      </c>
      <c r="S6" s="57">
        <v>572.36800000000005</v>
      </c>
      <c r="T6" s="57">
        <v>1150.0940000000001</v>
      </c>
      <c r="U6" s="57">
        <v>1743.634</v>
      </c>
      <c r="V6" s="57">
        <v>2379.9290000000001</v>
      </c>
      <c r="W6" s="57">
        <v>579.90708970881451</v>
      </c>
      <c r="X6" s="57">
        <v>616.24900000000002</v>
      </c>
      <c r="Z6" s="57">
        <v>1774.691</v>
      </c>
      <c r="AA6" s="57">
        <v>1488.027</v>
      </c>
      <c r="AB6" s="57">
        <v>1759.316</v>
      </c>
      <c r="AC6" s="57">
        <v>2017.107</v>
      </c>
      <c r="AD6" s="57">
        <v>2379.9290000000001</v>
      </c>
      <c r="AE6" s="86"/>
    </row>
    <row r="7" spans="1:32" ht="14.25" customHeight="1" outlineLevel="1" x14ac:dyDescent="0.35">
      <c r="A7" s="8"/>
      <c r="B7" s="96" t="s">
        <v>135</v>
      </c>
      <c r="C7" s="40">
        <v>142.99384669991542</v>
      </c>
      <c r="D7" s="40">
        <v>311.42940438423972</v>
      </c>
      <c r="E7" s="40">
        <v>433.34543469179323</v>
      </c>
      <c r="F7" s="40">
        <v>728.13162172171917</v>
      </c>
      <c r="G7" s="40">
        <v>400.79325538059851</v>
      </c>
      <c r="H7" s="40">
        <v>879.36124861481517</v>
      </c>
      <c r="I7" s="40">
        <v>1416.5792316976319</v>
      </c>
      <c r="J7" s="40">
        <v>2193.3571027075805</v>
      </c>
      <c r="K7" s="40">
        <v>756.40655175113409</v>
      </c>
      <c r="L7" s="40">
        <v>1788.1358105440463</v>
      </c>
      <c r="M7" s="40">
        <v>3025.9040000000005</v>
      </c>
      <c r="N7" s="40">
        <v>3171.5336285428561</v>
      </c>
      <c r="O7" s="40">
        <v>705.95456607406993</v>
      </c>
      <c r="P7" s="40">
        <v>1307.5900000000001</v>
      </c>
      <c r="Q7" s="40">
        <v>2133.9949999999999</v>
      </c>
      <c r="R7" s="40">
        <v>2976.6790000000005</v>
      </c>
      <c r="S7" s="40">
        <v>872.17199999999991</v>
      </c>
      <c r="T7" s="40">
        <v>1860.2488707314938</v>
      </c>
      <c r="U7" s="40">
        <v>2473.972914629891</v>
      </c>
      <c r="V7" s="40">
        <v>3615.5399999999995</v>
      </c>
      <c r="W7" s="40">
        <v>990.52499999999998</v>
      </c>
      <c r="X7" s="40">
        <v>1143.9910000000002</v>
      </c>
      <c r="Z7" s="40">
        <v>728.13162172171917</v>
      </c>
      <c r="AA7" s="40">
        <v>2193.3571027075805</v>
      </c>
      <c r="AB7" s="40">
        <v>3171.5336285428561</v>
      </c>
      <c r="AC7" s="40">
        <v>2976.6790000000005</v>
      </c>
      <c r="AD7" s="40">
        <v>3615.5399999999995</v>
      </c>
      <c r="AE7" s="86"/>
    </row>
    <row r="8" spans="1:32" ht="14.25" customHeight="1" outlineLevel="1" x14ac:dyDescent="0.35">
      <c r="A8" s="3"/>
      <c r="B8" s="97" t="s">
        <v>69</v>
      </c>
      <c r="C8" s="38">
        <v>59.5938835459594</v>
      </c>
      <c r="D8" s="38">
        <v>140.98539404423968</v>
      </c>
      <c r="E8" s="38">
        <v>242.51337465237799</v>
      </c>
      <c r="F8" s="38">
        <v>376.33515681748304</v>
      </c>
      <c r="G8" s="38">
        <v>158.30187700049461</v>
      </c>
      <c r="H8" s="38">
        <v>339.82606899000001</v>
      </c>
      <c r="I8" s="38">
        <v>543.12599999999998</v>
      </c>
      <c r="J8" s="38">
        <v>768.59299999999996</v>
      </c>
      <c r="K8" s="38">
        <v>249.02193445682451</v>
      </c>
      <c r="L8" s="38">
        <v>529.58779357165406</v>
      </c>
      <c r="M8" s="38">
        <v>824.00400000000002</v>
      </c>
      <c r="N8" s="38">
        <v>1130.6901499999999</v>
      </c>
      <c r="O8" s="38">
        <v>317.42598864927214</v>
      </c>
      <c r="P8" s="38">
        <v>642.99800000000005</v>
      </c>
      <c r="Q8" s="38">
        <v>989.47699999999998</v>
      </c>
      <c r="R8" s="38">
        <v>1355.653</v>
      </c>
      <c r="S8" s="38">
        <v>371.51400000000001</v>
      </c>
      <c r="T8" s="38">
        <v>762.68570820424986</v>
      </c>
      <c r="U8" s="38">
        <v>1175.7120953199999</v>
      </c>
      <c r="V8" s="38">
        <v>1600.932</v>
      </c>
      <c r="W8" s="38">
        <v>439.00799999999998</v>
      </c>
      <c r="X8" s="38">
        <v>451.84600000000006</v>
      </c>
      <c r="Y8" s="90"/>
      <c r="Z8" s="38">
        <v>376.33515681748304</v>
      </c>
      <c r="AA8" s="38">
        <v>768.59299999999996</v>
      </c>
      <c r="AB8" s="38">
        <v>1130.6901499999999</v>
      </c>
      <c r="AC8" s="38">
        <v>1355.653</v>
      </c>
      <c r="AD8" s="38">
        <v>1600.932</v>
      </c>
      <c r="AE8" s="86"/>
    </row>
    <row r="9" spans="1:32" ht="14.25" customHeight="1" outlineLevel="1" x14ac:dyDescent="0.35">
      <c r="A9" s="3"/>
      <c r="B9" s="97" t="s">
        <v>76</v>
      </c>
      <c r="C9" s="38">
        <v>70.171495870000001</v>
      </c>
      <c r="D9" s="38">
        <v>130.49592222999999</v>
      </c>
      <c r="E9" s="38">
        <v>0</v>
      </c>
      <c r="F9" s="38">
        <v>288.30903783999997</v>
      </c>
      <c r="G9" s="38">
        <v>173.13273331999997</v>
      </c>
      <c r="H9" s="38">
        <v>320.15991940999999</v>
      </c>
      <c r="I9" s="38">
        <v>450.05099999999999</v>
      </c>
      <c r="J9" s="38">
        <v>664.26797418000001</v>
      </c>
      <c r="K9" s="38">
        <v>249.71464084000002</v>
      </c>
      <c r="L9" s="38">
        <v>520.19846679791999</v>
      </c>
      <c r="M9" s="38">
        <v>792.95</v>
      </c>
      <c r="N9" s="38">
        <v>984.48699999999997</v>
      </c>
      <c r="O9" s="38">
        <v>126.48627216</v>
      </c>
      <c r="P9" s="38">
        <v>248.203</v>
      </c>
      <c r="Q9" s="38">
        <v>413.46300000000002</v>
      </c>
      <c r="R9" s="38">
        <v>536.048</v>
      </c>
      <c r="S9" s="38">
        <v>102.73699999999999</v>
      </c>
      <c r="T9" s="38">
        <v>215.75760673390403</v>
      </c>
      <c r="U9" s="38">
        <v>335.40156760000008</v>
      </c>
      <c r="V9" s="38">
        <v>456.07900000000001</v>
      </c>
      <c r="W9" s="38">
        <v>83.450999999999993</v>
      </c>
      <c r="X9" s="38">
        <v>97.549000000000007</v>
      </c>
      <c r="Z9" s="38">
        <v>288.30903783999997</v>
      </c>
      <c r="AA9" s="38">
        <v>664.26797418000001</v>
      </c>
      <c r="AB9" s="38">
        <v>984.48699999999997</v>
      </c>
      <c r="AC9" s="38">
        <v>536.048</v>
      </c>
      <c r="AD9" s="38">
        <v>456.07900000000001</v>
      </c>
      <c r="AE9" s="86"/>
    </row>
    <row r="10" spans="1:32" ht="14.25" customHeight="1" outlineLevel="1" x14ac:dyDescent="0.35">
      <c r="A10" s="8"/>
      <c r="B10" s="97" t="s">
        <v>136</v>
      </c>
      <c r="C10" s="38">
        <v>4.3835901039560508</v>
      </c>
      <c r="D10" s="38">
        <v>5.1402929200000003</v>
      </c>
      <c r="E10" s="38">
        <v>212.96927056999999</v>
      </c>
      <c r="F10" s="38">
        <v>6.4088777599999958</v>
      </c>
      <c r="G10" s="38">
        <v>5.3573453100000004</v>
      </c>
      <c r="H10" s="38">
        <v>12.575087169999996</v>
      </c>
      <c r="I10" s="38">
        <v>19.910589000000002</v>
      </c>
      <c r="J10" s="38">
        <v>25.938438689999995</v>
      </c>
      <c r="K10" s="38">
        <v>5.9284864099999997</v>
      </c>
      <c r="L10" s="38">
        <v>10.522358629999992</v>
      </c>
      <c r="M10" s="38">
        <v>27.969000000000001</v>
      </c>
      <c r="N10" s="38">
        <v>37.276228599999627</v>
      </c>
      <c r="O10" s="38">
        <v>9.7241992400000239</v>
      </c>
      <c r="P10" s="38">
        <v>13.378</v>
      </c>
      <c r="Q10" s="38">
        <v>23.385000000000002</v>
      </c>
      <c r="R10" s="38">
        <v>59.197000000000003</v>
      </c>
      <c r="S10" s="38">
        <v>14.234</v>
      </c>
      <c r="T10" s="38">
        <v>31.892685710000105</v>
      </c>
      <c r="U10" s="38">
        <v>21.978166000002588</v>
      </c>
      <c r="V10" s="38">
        <v>45.707000000000001</v>
      </c>
      <c r="W10" s="38">
        <v>21.962</v>
      </c>
      <c r="X10" s="38">
        <v>28.590999999999998</v>
      </c>
      <c r="Z10" s="38">
        <v>6.4088777599999958</v>
      </c>
      <c r="AA10" s="38">
        <v>25.938438689999995</v>
      </c>
      <c r="AB10" s="38">
        <v>37.276228599999627</v>
      </c>
      <c r="AC10" s="38">
        <v>59.197000000000003</v>
      </c>
      <c r="AD10" s="38">
        <v>45.707000000000001</v>
      </c>
      <c r="AE10" s="86"/>
    </row>
    <row r="11" spans="1:32" ht="14.25" customHeight="1" outlineLevel="1" x14ac:dyDescent="0.35">
      <c r="A11" s="3"/>
      <c r="B11" s="97" t="s">
        <v>137</v>
      </c>
      <c r="C11" s="38">
        <v>0</v>
      </c>
      <c r="D11" s="38">
        <v>0</v>
      </c>
      <c r="E11" s="38">
        <v>1.9705913099999994</v>
      </c>
      <c r="F11" s="38">
        <v>-84.294394579999988</v>
      </c>
      <c r="G11" s="38">
        <v>-29.114254320000001</v>
      </c>
      <c r="H11" s="38">
        <v>-29.114254320000001</v>
      </c>
      <c r="I11" s="38">
        <v>-29.114254320000001</v>
      </c>
      <c r="J11" s="38">
        <v>-4.6382543199999997</v>
      </c>
      <c r="K11" s="38">
        <v>0</v>
      </c>
      <c r="L11" s="38">
        <v>0</v>
      </c>
      <c r="M11" s="38">
        <v>0</v>
      </c>
      <c r="N11" s="38">
        <v>0</v>
      </c>
      <c r="O11" s="38">
        <v>0</v>
      </c>
      <c r="P11" s="38">
        <v>0</v>
      </c>
      <c r="Q11" s="38">
        <v>0</v>
      </c>
      <c r="R11" s="38">
        <v>0</v>
      </c>
      <c r="S11" s="38">
        <v>0</v>
      </c>
      <c r="T11" s="38">
        <v>0</v>
      </c>
      <c r="U11" s="38">
        <v>0</v>
      </c>
      <c r="V11" s="38">
        <v>0</v>
      </c>
      <c r="W11" s="38">
        <v>0</v>
      </c>
      <c r="X11" s="38">
        <v>0</v>
      </c>
      <c r="Z11" s="38">
        <v>-84.294394579999988</v>
      </c>
      <c r="AA11" s="38">
        <v>-4.6382543199999997</v>
      </c>
      <c r="AB11" s="38">
        <v>0</v>
      </c>
      <c r="AC11" s="38">
        <v>0</v>
      </c>
      <c r="AD11" s="38">
        <v>0</v>
      </c>
      <c r="AE11" s="86"/>
    </row>
    <row r="12" spans="1:32" ht="14.25" customHeight="1" outlineLevel="1" x14ac:dyDescent="0.35">
      <c r="A12" s="3"/>
      <c r="B12" s="97" t="s">
        <v>138</v>
      </c>
      <c r="C12" s="38">
        <v>11.952583599999999</v>
      </c>
      <c r="D12" s="38">
        <v>30.333143890000002</v>
      </c>
      <c r="E12" s="38">
        <v>-84.294394579999988</v>
      </c>
      <c r="F12" s="38">
        <v>122.86990054423624</v>
      </c>
      <c r="G12" s="38">
        <v>79.67055407010389</v>
      </c>
      <c r="H12" s="38">
        <v>185.42542736481522</v>
      </c>
      <c r="I12" s="38">
        <v>326.28227626765363</v>
      </c>
      <c r="J12" s="38">
        <v>370.62897799689694</v>
      </c>
      <c r="K12" s="38">
        <v>35.998966519999996</v>
      </c>
      <c r="L12" s="38">
        <v>76.146771619999996</v>
      </c>
      <c r="M12" s="38">
        <v>113.307</v>
      </c>
      <c r="N12" s="38">
        <v>127.38872406000002</v>
      </c>
      <c r="O12" s="38">
        <v>40.227170939999986</v>
      </c>
      <c r="P12" s="38">
        <v>73.116</v>
      </c>
      <c r="Q12" s="38">
        <v>109.172</v>
      </c>
      <c r="R12" s="38">
        <v>144.61699999999999</v>
      </c>
      <c r="S12" s="38">
        <v>46.767000000000003</v>
      </c>
      <c r="T12" s="38">
        <v>90.903870919999989</v>
      </c>
      <c r="U12" s="38">
        <v>135.01314169000003</v>
      </c>
      <c r="V12" s="38">
        <v>178.69200000000001</v>
      </c>
      <c r="W12" s="38">
        <v>29.79</v>
      </c>
      <c r="X12" s="38">
        <v>27.941000000000003</v>
      </c>
      <c r="Y12" s="90"/>
      <c r="Z12" s="38">
        <v>122.86990054423624</v>
      </c>
      <c r="AA12" s="38">
        <v>370.62897799689694</v>
      </c>
      <c r="AB12" s="38">
        <v>127.38872406000002</v>
      </c>
      <c r="AC12" s="38">
        <v>144.61699999999999</v>
      </c>
      <c r="AD12" s="38">
        <v>178.69200000000001</v>
      </c>
      <c r="AE12" s="86"/>
    </row>
    <row r="13" spans="1:32" ht="14.25" customHeight="1" outlineLevel="1" x14ac:dyDescent="0.35">
      <c r="A13" s="8"/>
      <c r="B13" s="97" t="s">
        <v>139</v>
      </c>
      <c r="C13" s="38">
        <v>0</v>
      </c>
      <c r="D13" s="38">
        <v>0</v>
      </c>
      <c r="E13" s="38">
        <v>47.499246579415214</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Z13" s="38">
        <v>0</v>
      </c>
      <c r="AA13" s="38">
        <v>0</v>
      </c>
      <c r="AB13" s="38">
        <v>0</v>
      </c>
      <c r="AC13" s="38">
        <v>0</v>
      </c>
      <c r="AD13" s="38">
        <v>0</v>
      </c>
      <c r="AE13" s="86"/>
    </row>
    <row r="14" spans="1:32" ht="14.25" customHeight="1" outlineLevel="1" x14ac:dyDescent="0.35">
      <c r="A14" s="3"/>
      <c r="B14" s="97" t="s">
        <v>140</v>
      </c>
      <c r="C14" s="38">
        <v>0</v>
      </c>
      <c r="D14" s="38">
        <v>0</v>
      </c>
      <c r="E14" s="38">
        <v>0</v>
      </c>
      <c r="F14" s="38">
        <v>0</v>
      </c>
      <c r="G14" s="38">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Z14" s="38">
        <v>0</v>
      </c>
      <c r="AA14" s="38">
        <v>0</v>
      </c>
      <c r="AB14" s="38">
        <v>0</v>
      </c>
      <c r="AC14" s="38">
        <v>0</v>
      </c>
      <c r="AD14" s="38">
        <v>0</v>
      </c>
      <c r="AE14" s="86"/>
    </row>
    <row r="15" spans="1:32" ht="14.25" customHeight="1" outlineLevel="1" x14ac:dyDescent="0.35">
      <c r="A15" s="3"/>
      <c r="B15" s="97" t="s">
        <v>141</v>
      </c>
      <c r="C15" s="38">
        <v>0</v>
      </c>
      <c r="D15" s="38">
        <v>0</v>
      </c>
      <c r="E15" s="38">
        <v>0</v>
      </c>
      <c r="F15" s="38">
        <v>0</v>
      </c>
      <c r="G15" s="38">
        <v>4.6449999999999996</v>
      </c>
      <c r="H15" s="38">
        <v>12.206</v>
      </c>
      <c r="I15" s="38">
        <v>20.443999999999999</v>
      </c>
      <c r="J15" s="38">
        <v>28.393000000000001</v>
      </c>
      <c r="K15" s="38">
        <v>2.3450000000000002</v>
      </c>
      <c r="L15" s="38">
        <v>104.958</v>
      </c>
      <c r="M15" s="38">
        <v>189.30799999999999</v>
      </c>
      <c r="N15" s="38">
        <v>270.90149285000001</v>
      </c>
      <c r="O15" s="38">
        <v>63.137296220000003</v>
      </c>
      <c r="P15" s="38">
        <v>130.92699999999999</v>
      </c>
      <c r="Q15" s="38">
        <v>208.52799999999999</v>
      </c>
      <c r="R15" s="38">
        <v>295.98899999999998</v>
      </c>
      <c r="S15" s="38">
        <v>45.625</v>
      </c>
      <c r="T15" s="38">
        <v>97.215999999999994</v>
      </c>
      <c r="U15" s="38">
        <v>136.494</v>
      </c>
      <c r="V15" s="38">
        <v>207.506</v>
      </c>
      <c r="W15" s="38">
        <v>39.204999999999998</v>
      </c>
      <c r="X15" s="38">
        <v>44.466999999999999</v>
      </c>
      <c r="Z15" s="38">
        <v>0</v>
      </c>
      <c r="AA15" s="38">
        <v>28.393000000000001</v>
      </c>
      <c r="AB15" s="38">
        <v>270.90149285000001</v>
      </c>
      <c r="AC15" s="38">
        <v>295.98899999999998</v>
      </c>
      <c r="AD15" s="38">
        <v>207.506</v>
      </c>
      <c r="AE15" s="86"/>
    </row>
    <row r="16" spans="1:32" ht="14.25" customHeight="1" outlineLevel="1" x14ac:dyDescent="0.35">
      <c r="A16" s="3"/>
      <c r="B16" s="97" t="s">
        <v>142</v>
      </c>
      <c r="C16" s="38">
        <v>0</v>
      </c>
      <c r="D16" s="38">
        <v>0</v>
      </c>
      <c r="E16" s="38">
        <v>0</v>
      </c>
      <c r="F16" s="38">
        <v>0</v>
      </c>
      <c r="G16" s="38">
        <v>0</v>
      </c>
      <c r="H16" s="38">
        <v>0</v>
      </c>
      <c r="I16" s="38">
        <v>0</v>
      </c>
      <c r="J16" s="38">
        <v>5.9520655699999994</v>
      </c>
      <c r="K16" s="38">
        <v>0</v>
      </c>
      <c r="L16" s="38">
        <v>0</v>
      </c>
      <c r="M16" s="38">
        <v>0</v>
      </c>
      <c r="N16" s="38">
        <v>22.289287829999999</v>
      </c>
      <c r="O16" s="38">
        <v>-1.6021427099999981</v>
      </c>
      <c r="P16" s="38">
        <v>-10.923</v>
      </c>
      <c r="Q16" s="38">
        <v>-2.488</v>
      </c>
      <c r="R16" s="38">
        <v>1.0249999999999999</v>
      </c>
      <c r="S16" s="38">
        <v>-6.0110000000000001</v>
      </c>
      <c r="T16" s="38">
        <v>-15.423111920000002</v>
      </c>
      <c r="U16" s="38">
        <v>-0.95371671000006064</v>
      </c>
      <c r="V16" s="38">
        <v>52.802</v>
      </c>
      <c r="W16" s="38">
        <v>35.491999999999997</v>
      </c>
      <c r="X16" s="38">
        <v>-44.092999999999996</v>
      </c>
      <c r="Z16" s="38">
        <v>0</v>
      </c>
      <c r="AA16" s="38">
        <v>5.9520655699999994</v>
      </c>
      <c r="AB16" s="38">
        <v>22.289287829999999</v>
      </c>
      <c r="AC16" s="38">
        <v>1.0249999999999999</v>
      </c>
      <c r="AD16" s="38">
        <v>52.802</v>
      </c>
      <c r="AE16" s="86"/>
    </row>
    <row r="17" spans="1:31" ht="14.25" customHeight="1" outlineLevel="1" x14ac:dyDescent="0.35">
      <c r="A17" s="3"/>
      <c r="B17" s="97" t="s">
        <v>143</v>
      </c>
      <c r="C17" s="38">
        <v>0</v>
      </c>
      <c r="D17" s="38">
        <v>0</v>
      </c>
      <c r="E17" s="38">
        <v>0</v>
      </c>
      <c r="F17" s="38">
        <v>0</v>
      </c>
      <c r="G17" s="38">
        <v>12.6</v>
      </c>
      <c r="H17" s="38">
        <v>43.08</v>
      </c>
      <c r="I17" s="38">
        <v>84.400045380000009</v>
      </c>
      <c r="J17" s="38">
        <v>230.55522414000004</v>
      </c>
      <c r="K17" s="38">
        <v>218.08154686</v>
      </c>
      <c r="L17" s="38">
        <v>554.43777797999985</v>
      </c>
      <c r="M17" s="38">
        <v>1063.441</v>
      </c>
      <c r="N17" s="38">
        <v>592.14553632989407</v>
      </c>
      <c r="O17" s="38">
        <v>149.77548065999991</v>
      </c>
      <c r="P17" s="38">
        <v>208.66300000000001</v>
      </c>
      <c r="Q17" s="38">
        <v>393.05599999999998</v>
      </c>
      <c r="R17" s="38">
        <v>585.9</v>
      </c>
      <c r="S17" s="38">
        <v>297.63600000000002</v>
      </c>
      <c r="T17" s="38">
        <v>675.25745627333981</v>
      </c>
      <c r="U17" s="38">
        <v>667.9321744798882</v>
      </c>
      <c r="V17" s="38">
        <v>1072.588</v>
      </c>
      <c r="W17" s="38">
        <v>342.87200000000001</v>
      </c>
      <c r="X17" s="38">
        <v>537.74099999999999</v>
      </c>
      <c r="Z17" s="38">
        <v>0</v>
      </c>
      <c r="AA17" s="38">
        <v>230.55522414000004</v>
      </c>
      <c r="AB17" s="38">
        <v>592.14553632989407</v>
      </c>
      <c r="AC17" s="38">
        <v>585.9</v>
      </c>
      <c r="AD17" s="38">
        <v>1072.588</v>
      </c>
      <c r="AE17" s="86"/>
    </row>
    <row r="18" spans="1:31" ht="14.25" customHeight="1" outlineLevel="1" x14ac:dyDescent="0.35">
      <c r="A18" s="8"/>
      <c r="B18" s="97" t="s">
        <v>459</v>
      </c>
      <c r="C18" s="38">
        <v>-3.1077064200000022</v>
      </c>
      <c r="D18" s="38">
        <v>4.4746513000000814</v>
      </c>
      <c r="E18" s="38">
        <v>12.687346160000018</v>
      </c>
      <c r="F18" s="38">
        <v>18.503043339999973</v>
      </c>
      <c r="G18" s="38">
        <v>-3.8</v>
      </c>
      <c r="H18" s="38">
        <v>-4.7969999999999997</v>
      </c>
      <c r="I18" s="38">
        <v>1.4795753699783971</v>
      </c>
      <c r="J18" s="38">
        <v>103.66667645068358</v>
      </c>
      <c r="K18" s="38">
        <v>-4.6840233356903962</v>
      </c>
      <c r="L18" s="38">
        <v>-7.715358055527795</v>
      </c>
      <c r="M18" s="38">
        <v>14.925000000000001</v>
      </c>
      <c r="N18" s="38">
        <v>6.3552088729620007</v>
      </c>
      <c r="O18" s="38">
        <v>0.78030091479770025</v>
      </c>
      <c r="P18" s="38">
        <v>1.228</v>
      </c>
      <c r="Q18" s="38">
        <v>-0.59799999999999998</v>
      </c>
      <c r="R18" s="38">
        <v>-1.75</v>
      </c>
      <c r="S18" s="38">
        <v>-0.33</v>
      </c>
      <c r="T18" s="38">
        <v>1.9586548099999983</v>
      </c>
      <c r="U18" s="38">
        <v>2.395486250000038</v>
      </c>
      <c r="V18" s="38">
        <v>1.234</v>
      </c>
      <c r="W18" s="38">
        <v>-1.2549999999999999</v>
      </c>
      <c r="X18" s="38">
        <v>-5.0999999999999997E-2</v>
      </c>
      <c r="Z18" s="38">
        <v>18.503043339999973</v>
      </c>
      <c r="AA18" s="38">
        <v>103.66667645068358</v>
      </c>
      <c r="AB18" s="38">
        <v>6.3552088729620007</v>
      </c>
      <c r="AC18" s="38">
        <v>-1.75</v>
      </c>
      <c r="AD18" s="38">
        <v>1.234</v>
      </c>
      <c r="AE18" s="86"/>
    </row>
    <row r="19" spans="1:31" ht="14.25" customHeight="1" outlineLevel="1" x14ac:dyDescent="0.35">
      <c r="A19" s="3"/>
      <c r="B19" s="96" t="s">
        <v>144</v>
      </c>
      <c r="C19" s="40">
        <v>317.63462092488959</v>
      </c>
      <c r="D19" s="40">
        <v>-164.66954674567177</v>
      </c>
      <c r="E19" s="40">
        <v>-948.08645804067521</v>
      </c>
      <c r="F19" s="40">
        <v>-570.49506271657663</v>
      </c>
      <c r="G19" s="40">
        <v>-866.74522996349162</v>
      </c>
      <c r="H19" s="40">
        <v>-1378.9380972933486</v>
      </c>
      <c r="I19" s="40">
        <v>-2256.7600082295612</v>
      </c>
      <c r="J19" s="40">
        <v>-3775.045362159708</v>
      </c>
      <c r="K19" s="40">
        <v>-1523.3211978946367</v>
      </c>
      <c r="L19" s="40">
        <v>-3612.7675233890691</v>
      </c>
      <c r="M19" s="40">
        <v>-5160.3939999999993</v>
      </c>
      <c r="N19" s="40">
        <v>-3998.3635899747055</v>
      </c>
      <c r="O19" s="40">
        <v>-1279.6789818010566</v>
      </c>
      <c r="P19" s="40">
        <v>-2367.614</v>
      </c>
      <c r="Q19" s="40">
        <v>-3404.2077771344975</v>
      </c>
      <c r="R19" s="40">
        <v>-3487.7829915604611</v>
      </c>
      <c r="S19" s="40">
        <v>451.32440000000037</v>
      </c>
      <c r="T19" s="40">
        <v>-5773.5810159824769</v>
      </c>
      <c r="U19" s="40">
        <v>-8333.2471371750962</v>
      </c>
      <c r="V19" s="40">
        <v>-11064.178000000004</v>
      </c>
      <c r="W19" s="40">
        <v>-985.14800000000025</v>
      </c>
      <c r="X19" s="40">
        <v>-410.86799999999988</v>
      </c>
      <c r="Z19" s="40">
        <v>-570.49506271657663</v>
      </c>
      <c r="AA19" s="40">
        <v>-3775.045362159708</v>
      </c>
      <c r="AB19" s="40">
        <v>-3998.3635899747055</v>
      </c>
      <c r="AC19" s="40">
        <v>-3487.7829915604611</v>
      </c>
      <c r="AD19" s="40">
        <v>-11064.178000000004</v>
      </c>
      <c r="AE19" s="86"/>
    </row>
    <row r="20" spans="1:31" ht="14.25" customHeight="1" outlineLevel="1" x14ac:dyDescent="0.35">
      <c r="A20" s="3"/>
      <c r="B20" s="97" t="s">
        <v>145</v>
      </c>
      <c r="C20" s="38">
        <v>1047.3826861558393</v>
      </c>
      <c r="D20" s="38">
        <v>-646.28926441228441</v>
      </c>
      <c r="E20" s="38">
        <v>-3446.6578645899485</v>
      </c>
      <c r="F20" s="38">
        <v>-5586.9194353430048</v>
      </c>
      <c r="G20" s="38">
        <v>-78.299848010375769</v>
      </c>
      <c r="H20" s="38">
        <v>-2196.8759717469261</v>
      </c>
      <c r="I20" s="38">
        <v>-5194.1076591251203</v>
      </c>
      <c r="J20" s="38">
        <v>-9303.0595236520876</v>
      </c>
      <c r="K20" s="38">
        <v>-3181.3790105818498</v>
      </c>
      <c r="L20" s="38">
        <v>-9956.8144536758173</v>
      </c>
      <c r="M20" s="38">
        <v>-14955.359</v>
      </c>
      <c r="N20" s="38">
        <v>-17853.688852509727</v>
      </c>
      <c r="O20" s="38">
        <v>1109.5838968749629</v>
      </c>
      <c r="P20" s="38">
        <v>441.202</v>
      </c>
      <c r="Q20" s="38">
        <v>-4944.3980000000001</v>
      </c>
      <c r="R20" s="38">
        <v>-10531.495000000001</v>
      </c>
      <c r="S20" s="38">
        <v>-2447.7420000000002</v>
      </c>
      <c r="T20" s="38">
        <v>-13115.645486643321</v>
      </c>
      <c r="U20" s="38">
        <v>-15646.034132405701</v>
      </c>
      <c r="V20" s="38">
        <v>-21418.996999999999</v>
      </c>
      <c r="W20" s="38">
        <v>2168.9679999999998</v>
      </c>
      <c r="X20" s="38">
        <v>-3118.011</v>
      </c>
      <c r="Z20" s="38">
        <v>-5586.9194353430048</v>
      </c>
      <c r="AA20" s="38">
        <v>-9303.0595236520876</v>
      </c>
      <c r="AB20" s="38">
        <v>-17853.688852509727</v>
      </c>
      <c r="AC20" s="38">
        <v>-10531.495000000001</v>
      </c>
      <c r="AD20" s="38">
        <v>-21418.996999999999</v>
      </c>
      <c r="AE20" s="86"/>
    </row>
    <row r="21" spans="1:31" ht="14.25" customHeight="1" outlineLevel="1" x14ac:dyDescent="0.35">
      <c r="A21" s="8"/>
      <c r="B21" s="97" t="s">
        <v>458</v>
      </c>
      <c r="C21" s="38">
        <v>-120.78651606000001</v>
      </c>
      <c r="D21" s="38">
        <v>-128.44220809000001</v>
      </c>
      <c r="E21" s="38">
        <v>-127.83246153</v>
      </c>
      <c r="F21" s="38">
        <v>43.22912539</v>
      </c>
      <c r="G21" s="38">
        <v>-20.592132000000007</v>
      </c>
      <c r="H21" s="38">
        <v>20.60642996</v>
      </c>
      <c r="I21" s="38">
        <v>2.0691121899999998</v>
      </c>
      <c r="J21" s="38">
        <v>-84.534169789999979</v>
      </c>
      <c r="K21" s="38">
        <v>-257.70748093000003</v>
      </c>
      <c r="L21" s="38">
        <v>-209.22139673000001</v>
      </c>
      <c r="M21" s="38">
        <v>-209.55600000000001</v>
      </c>
      <c r="N21" s="38">
        <v>-157.41946093000013</v>
      </c>
      <c r="O21" s="38">
        <v>223.48369377000006</v>
      </c>
      <c r="P21" s="38">
        <v>213.86099999999999</v>
      </c>
      <c r="Q21" s="38">
        <v>229.46100000000001</v>
      </c>
      <c r="R21" s="38">
        <v>-1274.173</v>
      </c>
      <c r="S21" s="38">
        <v>93.558000000000007</v>
      </c>
      <c r="T21" s="38">
        <v>-943.67902308999965</v>
      </c>
      <c r="U21" s="38">
        <v>-1418.2548434199998</v>
      </c>
      <c r="V21" s="38">
        <v>-1947.17</v>
      </c>
      <c r="W21" s="38">
        <v>862.4</v>
      </c>
      <c r="X21" s="38">
        <v>-263.62299999999993</v>
      </c>
      <c r="Z21" s="38">
        <v>43.22912539</v>
      </c>
      <c r="AA21" s="38">
        <v>-84.534169789999979</v>
      </c>
      <c r="AB21" s="38">
        <v>-157.41946093000013</v>
      </c>
      <c r="AC21" s="38">
        <v>-1274.173</v>
      </c>
      <c r="AD21" s="38">
        <v>-1947.17</v>
      </c>
      <c r="AE21" s="86"/>
    </row>
    <row r="22" spans="1:31" ht="14.25" customHeight="1" outlineLevel="1" x14ac:dyDescent="0.35">
      <c r="A22" s="3"/>
      <c r="B22" s="97" t="s">
        <v>146</v>
      </c>
      <c r="C22" s="38">
        <v>-8.274950660000016</v>
      </c>
      <c r="D22" s="38">
        <v>-11.688182939999999</v>
      </c>
      <c r="E22" s="38">
        <v>27.045999999999999</v>
      </c>
      <c r="F22" s="38">
        <v>31.601781310000003</v>
      </c>
      <c r="G22" s="38">
        <v>-22.617126620000001</v>
      </c>
      <c r="H22" s="38">
        <v>-42.541846320000012</v>
      </c>
      <c r="I22" s="38">
        <v>-64.403391590000012</v>
      </c>
      <c r="J22" s="38">
        <v>-132.39755371999999</v>
      </c>
      <c r="K22" s="38">
        <v>0.26335849000001327</v>
      </c>
      <c r="L22" s="38">
        <v>1.6471723800000035</v>
      </c>
      <c r="M22" s="38">
        <v>-2.5249999999999999</v>
      </c>
      <c r="N22" s="38">
        <v>36.256786500000011</v>
      </c>
      <c r="O22" s="38">
        <v>-8.3327922200000053</v>
      </c>
      <c r="P22" s="38">
        <v>-19.509</v>
      </c>
      <c r="Q22" s="38">
        <v>-12.914999999999999</v>
      </c>
      <c r="R22" s="38">
        <v>-20.256</v>
      </c>
      <c r="S22" s="38">
        <v>6.3041999999999998</v>
      </c>
      <c r="T22" s="38">
        <v>3.5895583466666738</v>
      </c>
      <c r="U22" s="38">
        <v>4.0582693966666756</v>
      </c>
      <c r="V22" s="38">
        <v>5.2249999999999996</v>
      </c>
      <c r="W22" s="38">
        <v>0</v>
      </c>
      <c r="X22" s="38">
        <v>0</v>
      </c>
      <c r="Z22" s="38">
        <v>31.601781310000003</v>
      </c>
      <c r="AA22" s="38">
        <v>-132.39755371999999</v>
      </c>
      <c r="AB22" s="38">
        <v>36.256786500000011</v>
      </c>
      <c r="AC22" s="38">
        <v>-20.256</v>
      </c>
      <c r="AD22" s="38">
        <v>5.2249999999999996</v>
      </c>
      <c r="AE22" s="86"/>
    </row>
    <row r="23" spans="1:31" ht="14.25" customHeight="1" outlineLevel="1" x14ac:dyDescent="0.35">
      <c r="A23" s="3"/>
      <c r="B23" s="97" t="s">
        <v>460</v>
      </c>
      <c r="C23" s="38">
        <v>-18.136846579999983</v>
      </c>
      <c r="D23" s="38">
        <v>-75.404318370000041</v>
      </c>
      <c r="E23" s="38">
        <v>-103.69286872000002</v>
      </c>
      <c r="F23" s="38">
        <v>-206.22112443579999</v>
      </c>
      <c r="G23" s="38">
        <v>25.276752819999999</v>
      </c>
      <c r="H23" s="38">
        <v>-134.30490653999999</v>
      </c>
      <c r="I23" s="38">
        <v>-97.709760450000005</v>
      </c>
      <c r="J23" s="38">
        <v>-36.565408609999992</v>
      </c>
      <c r="K23" s="38">
        <v>51.162111779999989</v>
      </c>
      <c r="L23" s="38">
        <v>88.801561737904109</v>
      </c>
      <c r="M23" s="38">
        <v>102.90900000000001</v>
      </c>
      <c r="N23" s="38">
        <v>154.27256009000001</v>
      </c>
      <c r="O23" s="38">
        <v>-14.290458509049218</v>
      </c>
      <c r="P23" s="38">
        <v>46.585999999999999</v>
      </c>
      <c r="Q23" s="38">
        <v>105.616</v>
      </c>
      <c r="R23" s="38">
        <v>-59.927</v>
      </c>
      <c r="S23" s="38">
        <v>2.972</v>
      </c>
      <c r="T23" s="38">
        <v>-47.863631652174526</v>
      </c>
      <c r="U23" s="38">
        <v>-56.328785355662724</v>
      </c>
      <c r="V23" s="38">
        <v>-167.291</v>
      </c>
      <c r="W23" s="38">
        <v>-84.956000000000003</v>
      </c>
      <c r="X23" s="38">
        <v>15.50500000000001</v>
      </c>
      <c r="Z23" s="38">
        <v>-206.22112443579999</v>
      </c>
      <c r="AA23" s="38">
        <v>-36.565408609999992</v>
      </c>
      <c r="AB23" s="38">
        <v>154.27256009000001</v>
      </c>
      <c r="AC23" s="38">
        <v>-59.927</v>
      </c>
      <c r="AD23" s="38">
        <v>-167.291</v>
      </c>
    </row>
    <row r="24" spans="1:31" ht="14.25" customHeight="1" outlineLevel="1" x14ac:dyDescent="0.35">
      <c r="A24" s="8"/>
      <c r="B24" s="97" t="s">
        <v>148</v>
      </c>
      <c r="C24" s="38">
        <v>11.67979121000004</v>
      </c>
      <c r="D24" s="38">
        <v>21.05963197000009</v>
      </c>
      <c r="E24" s="38">
        <v>16.78452133</v>
      </c>
      <c r="F24" s="38">
        <v>-78.744312880000066</v>
      </c>
      <c r="G24" s="38">
        <v>-21.984848519999883</v>
      </c>
      <c r="H24" s="38">
        <v>-4.1322424899999515</v>
      </c>
      <c r="I24" s="38">
        <v>2.5121264600000415</v>
      </c>
      <c r="J24" s="38">
        <v>-62.084416279999907</v>
      </c>
      <c r="K24" s="38">
        <v>-47.250065770000013</v>
      </c>
      <c r="L24" s="38">
        <v>-17.721004560000086</v>
      </c>
      <c r="M24" s="38">
        <v>38.186999999999998</v>
      </c>
      <c r="N24" s="38">
        <v>26.049903453609993</v>
      </c>
      <c r="O24" s="38">
        <v>20.648169461380945</v>
      </c>
      <c r="P24" s="38">
        <v>14.632999999999999</v>
      </c>
      <c r="Q24" s="38">
        <v>-8.1110000000000007</v>
      </c>
      <c r="R24" s="38">
        <v>-9.85</v>
      </c>
      <c r="S24" s="38">
        <v>-3.7358000000000002</v>
      </c>
      <c r="T24" s="38">
        <v>-70.193308013396631</v>
      </c>
      <c r="U24" s="38">
        <v>-86.079529811333103</v>
      </c>
      <c r="V24" s="38">
        <v>-101.614</v>
      </c>
      <c r="W24" s="38">
        <v>-18.978999999999999</v>
      </c>
      <c r="X24" s="38">
        <v>16.695999999999998</v>
      </c>
      <c r="Z24" s="38">
        <v>-78.744312880000066</v>
      </c>
      <c r="AA24" s="38">
        <v>-62.084416279999907</v>
      </c>
      <c r="AB24" s="38">
        <v>26.049903453609993</v>
      </c>
      <c r="AC24" s="38">
        <v>-9.85</v>
      </c>
      <c r="AD24" s="38">
        <v>-101.614</v>
      </c>
    </row>
    <row r="25" spans="1:31" ht="14.25" customHeight="1" outlineLevel="1" x14ac:dyDescent="0.35">
      <c r="A25" s="3"/>
      <c r="B25" s="97" t="s">
        <v>149</v>
      </c>
      <c r="C25" s="38">
        <v>0</v>
      </c>
      <c r="D25" s="38">
        <v>0</v>
      </c>
      <c r="E25" s="38">
        <v>0</v>
      </c>
      <c r="F25" s="38">
        <v>145.00534479980004</v>
      </c>
      <c r="G25" s="38">
        <v>5.6993904502000019</v>
      </c>
      <c r="H25" s="38">
        <v>8.4543660006999559</v>
      </c>
      <c r="I25" s="38">
        <v>-10.694721195180009</v>
      </c>
      <c r="J25" s="38">
        <v>-33.689058538420021</v>
      </c>
      <c r="K25" s="38">
        <v>-15.626406541380016</v>
      </c>
      <c r="L25" s="38">
        <v>-22.413354631854013</v>
      </c>
      <c r="M25" s="38">
        <v>-28.872</v>
      </c>
      <c r="N25" s="38">
        <v>-36.338008440087116</v>
      </c>
      <c r="O25" s="38">
        <v>-0.39657184265378803</v>
      </c>
      <c r="P25" s="38">
        <v>-0.75800000000000001</v>
      </c>
      <c r="Q25" s="38">
        <v>-0.187</v>
      </c>
      <c r="R25" s="38">
        <v>2.1230000000000002</v>
      </c>
      <c r="S25" s="38">
        <v>4.4649999999999999</v>
      </c>
      <c r="T25" s="38">
        <v>9.2802873751758419</v>
      </c>
      <c r="U25" s="38">
        <v>6.9624139809558123</v>
      </c>
      <c r="V25" s="38">
        <v>-0.75600000000000001</v>
      </c>
      <c r="W25" s="38">
        <v>-12.204000000000001</v>
      </c>
      <c r="X25" s="38">
        <v>-10.294</v>
      </c>
      <c r="Z25" s="38">
        <v>145.00534479980004</v>
      </c>
      <c r="AA25" s="38">
        <v>-33.689058538420021</v>
      </c>
      <c r="AB25" s="38">
        <v>-36.338008440087116</v>
      </c>
      <c r="AC25" s="38">
        <v>2.1230000000000002</v>
      </c>
      <c r="AD25" s="38">
        <v>-0.75600000000000001</v>
      </c>
    </row>
    <row r="26" spans="1:31" ht="14.25" customHeight="1" outlineLevel="1" x14ac:dyDescent="0.35">
      <c r="A26" s="3"/>
      <c r="B26" s="97" t="s">
        <v>150</v>
      </c>
      <c r="C26" s="38">
        <v>41.992835330454547</v>
      </c>
      <c r="D26" s="38">
        <v>77.112834890879938</v>
      </c>
      <c r="E26" s="38">
        <v>135.76883336397128</v>
      </c>
      <c r="F26" s="38">
        <v>67.668853600000006</v>
      </c>
      <c r="G26" s="38">
        <v>-58.358251530000004</v>
      </c>
      <c r="H26" s="38">
        <v>23.08824847</v>
      </c>
      <c r="I26" s="38">
        <v>-13.820530060000005</v>
      </c>
      <c r="J26" s="38">
        <v>-17.312325657640006</v>
      </c>
      <c r="K26" s="38">
        <v>-34.520003869279996</v>
      </c>
      <c r="L26" s="38">
        <v>-34.613310808959987</v>
      </c>
      <c r="M26" s="38">
        <v>-35.478000000000002</v>
      </c>
      <c r="N26" s="38">
        <v>68.265667710480017</v>
      </c>
      <c r="O26" s="38">
        <v>-1.8000334429629947</v>
      </c>
      <c r="P26" s="38">
        <v>7.3330000000000002</v>
      </c>
      <c r="Q26" s="38">
        <v>2.7240000000000002</v>
      </c>
      <c r="R26" s="38">
        <v>8.3520000000000003</v>
      </c>
      <c r="S26" s="38">
        <v>8.52</v>
      </c>
      <c r="T26" s="38">
        <v>-0.9076343972356572</v>
      </c>
      <c r="U26" s="38">
        <v>19.288421489583044</v>
      </c>
      <c r="V26" s="38">
        <v>58.356000000000002</v>
      </c>
      <c r="W26" s="38">
        <v>-1.86</v>
      </c>
      <c r="X26" s="38">
        <v>-13.405000000000001</v>
      </c>
      <c r="Z26" s="38">
        <v>67.668853600000006</v>
      </c>
      <c r="AA26" s="38">
        <v>-17.312325657640006</v>
      </c>
      <c r="AB26" s="38">
        <v>68.265667710480017</v>
      </c>
      <c r="AC26" s="38">
        <v>8.3520000000000003</v>
      </c>
      <c r="AD26" s="38">
        <v>58.356000000000002</v>
      </c>
    </row>
    <row r="27" spans="1:31" ht="14.25" customHeight="1" outlineLevel="1" x14ac:dyDescent="0.35">
      <c r="A27" s="8"/>
      <c r="B27" s="97" t="s">
        <v>151</v>
      </c>
      <c r="C27" s="38">
        <v>-643.83686793000072</v>
      </c>
      <c r="D27" s="38">
        <v>303.59436710000074</v>
      </c>
      <c r="E27" s="38">
        <v>2307.5970316900002</v>
      </c>
      <c r="F27" s="38">
        <v>4173.2644885099971</v>
      </c>
      <c r="G27" s="38">
        <v>-1363.4422394299988</v>
      </c>
      <c r="H27" s="38">
        <v>-315.81687596999757</v>
      </c>
      <c r="I27" s="38">
        <v>883.00444650000145</v>
      </c>
      <c r="J27" s="38">
        <v>2940.7390909000028</v>
      </c>
      <c r="K27" s="38">
        <v>-192.61961795198059</v>
      </c>
      <c r="L27" s="38">
        <v>-221.27221609</v>
      </c>
      <c r="M27" s="38">
        <v>1124.71</v>
      </c>
      <c r="N27" s="38">
        <v>4847.6294728374542</v>
      </c>
      <c r="O27" s="38">
        <v>-373.252324882057</v>
      </c>
      <c r="P27" s="38">
        <v>-687.40099999999995</v>
      </c>
      <c r="Q27" s="38">
        <v>23.097803455506799</v>
      </c>
      <c r="R27" s="38">
        <v>962.40498016954905</v>
      </c>
      <c r="S27" s="38">
        <v>-87.899000000000001</v>
      </c>
      <c r="T27" s="38">
        <v>855.63370297347876</v>
      </c>
      <c r="U27" s="38">
        <v>739.0924192010915</v>
      </c>
      <c r="V27" s="38">
        <v>1488.877</v>
      </c>
      <c r="W27" s="38">
        <v>-1308.952</v>
      </c>
      <c r="X27" s="38">
        <v>-88.40300000000002</v>
      </c>
      <c r="Z27" s="38">
        <v>4173.2644885099971</v>
      </c>
      <c r="AA27" s="38">
        <v>2940.7390909000028</v>
      </c>
      <c r="AB27" s="38">
        <v>4847.6294728374542</v>
      </c>
      <c r="AC27" s="38">
        <v>962.40498016954905</v>
      </c>
      <c r="AD27" s="38">
        <v>1488.877</v>
      </c>
    </row>
    <row r="28" spans="1:31" ht="14.25" customHeight="1" outlineLevel="1" x14ac:dyDescent="0.35">
      <c r="A28" s="5"/>
      <c r="B28" s="97" t="s">
        <v>152</v>
      </c>
      <c r="C28" s="38">
        <v>21.602026242000168</v>
      </c>
      <c r="D28" s="38">
        <v>-28.221806330343039</v>
      </c>
      <c r="E28" s="38">
        <v>-44.914447150000001</v>
      </c>
      <c r="F28" s="38">
        <v>72.328044294224583</v>
      </c>
      <c r="G28" s="38">
        <v>-29.834653948070073</v>
      </c>
      <c r="H28" s="38">
        <v>9.200402926546289</v>
      </c>
      <c r="I28" s="38">
        <v>42.465826676851272</v>
      </c>
      <c r="J28" s="38">
        <v>243.58510440123121</v>
      </c>
      <c r="K28" s="38">
        <v>-21.942813516295747</v>
      </c>
      <c r="L28" s="38">
        <v>-73.525324200267903</v>
      </c>
      <c r="M28" s="38">
        <v>-219.71</v>
      </c>
      <c r="N28" s="38">
        <v>-133.84531986053398</v>
      </c>
      <c r="O28" s="38">
        <v>-12.524944415014412</v>
      </c>
      <c r="P28" s="38">
        <v>14.581</v>
      </c>
      <c r="Q28" s="38">
        <v>-12.212</v>
      </c>
      <c r="R28" s="38">
        <v>63.497999999999998</v>
      </c>
      <c r="S28" s="38">
        <v>12.734999999999999</v>
      </c>
      <c r="T28" s="38">
        <v>125.22674647266004</v>
      </c>
      <c r="U28" s="38">
        <v>92.136413136017055</v>
      </c>
      <c r="V28" s="38">
        <v>148.601</v>
      </c>
      <c r="W28" s="38">
        <v>-102.962</v>
      </c>
      <c r="X28" s="38">
        <v>-22.790999999999997</v>
      </c>
      <c r="Z28" s="38">
        <v>72.328044294224583</v>
      </c>
      <c r="AA28" s="38">
        <v>243.58510440123121</v>
      </c>
      <c r="AB28" s="38">
        <v>-133.84531986053398</v>
      </c>
      <c r="AC28" s="38">
        <v>63.497999999999998</v>
      </c>
      <c r="AD28" s="38">
        <v>148.601</v>
      </c>
    </row>
    <row r="29" spans="1:31" ht="14.25" customHeight="1" outlineLevel="1" x14ac:dyDescent="0.35">
      <c r="A29" s="5"/>
      <c r="B29" s="97" t="s">
        <v>153</v>
      </c>
      <c r="C29" s="38">
        <v>13.580433555122166</v>
      </c>
      <c r="D29" s="38">
        <v>119.02389054273215</v>
      </c>
      <c r="E29" s="38">
        <v>107.37642797000001</v>
      </c>
      <c r="F29" s="38">
        <v>38.249871850000446</v>
      </c>
      <c r="G29" s="38">
        <v>21.317684180000004</v>
      </c>
      <c r="H29" s="38">
        <v>229.83345504996868</v>
      </c>
      <c r="I29" s="38">
        <v>311.16515234996865</v>
      </c>
      <c r="J29" s="38">
        <v>471.58502393996861</v>
      </c>
      <c r="K29" s="38">
        <v>-270.74009843996913</v>
      </c>
      <c r="L29" s="38">
        <v>-289.5058689399691</v>
      </c>
      <c r="M29" s="38">
        <v>-118.883</v>
      </c>
      <c r="N29" s="38">
        <v>9.7874336330309593</v>
      </c>
      <c r="O29" s="38">
        <v>-74.873702993000109</v>
      </c>
      <c r="P29" s="38">
        <v>-406.64800000000002</v>
      </c>
      <c r="Q29" s="38">
        <v>-296.77699999999999</v>
      </c>
      <c r="R29" s="38">
        <v>-191.81200000000001</v>
      </c>
      <c r="S29" s="38">
        <v>-90.638999999999996</v>
      </c>
      <c r="T29" s="38">
        <v>276.76192671591002</v>
      </c>
      <c r="U29" s="38">
        <v>533.63346742590988</v>
      </c>
      <c r="V29" s="38">
        <v>583.48599999999999</v>
      </c>
      <c r="W29" s="38">
        <v>-103.574</v>
      </c>
      <c r="X29" s="38">
        <v>5.4210000000000003</v>
      </c>
      <c r="Z29" s="38">
        <v>38.249871850000446</v>
      </c>
      <c r="AA29" s="38">
        <v>471.58502393996861</v>
      </c>
      <c r="AB29" s="38">
        <v>9.7874336330309593</v>
      </c>
      <c r="AC29" s="38">
        <v>-191.81200000000001</v>
      </c>
      <c r="AD29" s="38">
        <v>583.48599999999999</v>
      </c>
    </row>
    <row r="30" spans="1:31" ht="14.25" customHeight="1" outlineLevel="1" x14ac:dyDescent="0.35">
      <c r="A30" s="8"/>
      <c r="B30" s="97" t="s">
        <v>44</v>
      </c>
      <c r="C30" s="38">
        <v>0</v>
      </c>
      <c r="D30" s="38">
        <v>0</v>
      </c>
      <c r="E30" s="38">
        <v>0</v>
      </c>
      <c r="F30" s="38">
        <v>0</v>
      </c>
      <c r="G30" s="38">
        <v>0</v>
      </c>
      <c r="H30" s="38">
        <v>0</v>
      </c>
      <c r="I30" s="38">
        <v>0</v>
      </c>
      <c r="J30" s="38">
        <v>0</v>
      </c>
      <c r="K30" s="38">
        <v>0</v>
      </c>
      <c r="L30" s="38">
        <v>0</v>
      </c>
      <c r="M30" s="38">
        <v>0</v>
      </c>
      <c r="N30" s="38">
        <v>0</v>
      </c>
      <c r="O30" s="38">
        <v>-962.49917204000496</v>
      </c>
      <c r="P30" s="38">
        <v>-626.41200000000003</v>
      </c>
      <c r="Q30" s="38">
        <v>745.20041940999602</v>
      </c>
      <c r="R30" s="38">
        <v>2468.08802826999</v>
      </c>
      <c r="S30" s="38">
        <v>-699.94600000000003</v>
      </c>
      <c r="T30" s="38">
        <v>-235.58449486999913</v>
      </c>
      <c r="U30" s="38">
        <v>-1013.2234102297798</v>
      </c>
      <c r="V30" s="38">
        <v>343.09500000000003</v>
      </c>
      <c r="W30" s="38">
        <v>-1923.4110000000001</v>
      </c>
      <c r="X30" s="38">
        <v>-20.867999999999999</v>
      </c>
      <c r="Z30" s="38">
        <v>758.00294513999995</v>
      </c>
      <c r="AA30" s="38">
        <v>2276.0405267199999</v>
      </c>
      <c r="AB30" s="38">
        <v>9006.0175028899976</v>
      </c>
      <c r="AC30" s="38">
        <v>2468.08802826999</v>
      </c>
      <c r="AD30" s="38">
        <v>343.09500000000003</v>
      </c>
    </row>
    <row r="31" spans="1:31" ht="14.25" customHeight="1" outlineLevel="1" x14ac:dyDescent="0.35">
      <c r="A31" s="3"/>
      <c r="B31" s="97" t="s">
        <v>45</v>
      </c>
      <c r="C31" s="38">
        <v>0</v>
      </c>
      <c r="D31" s="38">
        <v>317.78606474999998</v>
      </c>
      <c r="E31" s="38">
        <v>193.64230089</v>
      </c>
      <c r="F31" s="38">
        <v>758.00294513999995</v>
      </c>
      <c r="G31" s="38">
        <v>672.91877696000006</v>
      </c>
      <c r="H31" s="38">
        <v>999.78321064999977</v>
      </c>
      <c r="I31" s="38">
        <v>1854.9356836499999</v>
      </c>
      <c r="J31" s="38">
        <v>2276.0405267199999</v>
      </c>
      <c r="K31" s="38">
        <v>2524.7196633899998</v>
      </c>
      <c r="L31" s="38">
        <v>6104.3714278799998</v>
      </c>
      <c r="M31" s="38">
        <v>9096.6720000000005</v>
      </c>
      <c r="N31" s="38">
        <v>9006.0175028899976</v>
      </c>
      <c r="O31" s="38">
        <v>-1094.6780012999996</v>
      </c>
      <c r="P31" s="38">
        <v>-1314.9970000000001</v>
      </c>
      <c r="Q31" s="38">
        <v>759.67600000000004</v>
      </c>
      <c r="R31" s="38">
        <v>4945.183</v>
      </c>
      <c r="S31" s="38">
        <v>3750.6759999999999</v>
      </c>
      <c r="T31" s="38">
        <v>7442.0647410699985</v>
      </c>
      <c r="U31" s="38">
        <v>8526.2003884399983</v>
      </c>
      <c r="V31" s="38">
        <v>9017.2990000000009</v>
      </c>
      <c r="W31" s="38">
        <v>-204.98699999999999</v>
      </c>
      <c r="X31" s="38">
        <v>3122.0840000000003</v>
      </c>
      <c r="Z31" s="38">
        <v>7.604603899999991</v>
      </c>
      <c r="AA31" s="38">
        <v>-8.0906548156892963</v>
      </c>
      <c r="AB31" s="38">
        <v>33.053866690439932</v>
      </c>
      <c r="AC31" s="38">
        <v>4945.183</v>
      </c>
      <c r="AD31" s="38">
        <v>9017.2990000000009</v>
      </c>
    </row>
    <row r="32" spans="1:31" ht="14.25" customHeight="1" outlineLevel="1" x14ac:dyDescent="0.35">
      <c r="A32" s="3"/>
      <c r="B32" s="97" t="s">
        <v>154</v>
      </c>
      <c r="C32" s="38">
        <v>-21.149090449999996</v>
      </c>
      <c r="D32" s="38">
        <v>3.1524579999999731</v>
      </c>
      <c r="E32" s="38">
        <v>14.038493569999989</v>
      </c>
      <c r="F32" s="38">
        <v>7.604603899999991</v>
      </c>
      <c r="G32" s="38">
        <v>-20.724674579999999</v>
      </c>
      <c r="H32" s="38">
        <v>-4.3437213266334149</v>
      </c>
      <c r="I32" s="38">
        <v>9.4599748011386549</v>
      </c>
      <c r="J32" s="38">
        <v>-8.0906548156892963</v>
      </c>
      <c r="K32" s="38">
        <v>-76.749744899999996</v>
      </c>
      <c r="L32" s="38">
        <v>-8.2943136562000142</v>
      </c>
      <c r="M32" s="38">
        <v>41.034999999999997</v>
      </c>
      <c r="N32" s="38">
        <v>33.053866690439932</v>
      </c>
      <c r="O32" s="38">
        <v>-87.600789391754347</v>
      </c>
      <c r="P32" s="38">
        <v>-16.324000000000002</v>
      </c>
      <c r="Q32" s="38">
        <v>40.057000000000002</v>
      </c>
      <c r="R32" s="38">
        <v>51.457000000000001</v>
      </c>
      <c r="S32" s="38">
        <v>-112.908</v>
      </c>
      <c r="T32" s="38">
        <v>-33.323116241098262</v>
      </c>
      <c r="U32" s="38">
        <v>47.618972140318071</v>
      </c>
      <c r="V32" s="38">
        <v>57.396000000000001</v>
      </c>
      <c r="W32" s="38">
        <v>-140.714</v>
      </c>
      <c r="X32" s="38">
        <v>75.376999999999995</v>
      </c>
      <c r="Z32" s="38"/>
      <c r="AA32" s="38"/>
      <c r="AB32" s="38"/>
      <c r="AC32" s="38">
        <v>51.457000000000001</v>
      </c>
      <c r="AD32" s="38">
        <v>57.396000000000001</v>
      </c>
    </row>
    <row r="33" spans="1:30" ht="14.25" customHeight="1" outlineLevel="1" x14ac:dyDescent="0.35">
      <c r="A33" s="3"/>
      <c r="B33" s="97" t="s">
        <v>155</v>
      </c>
      <c r="C33" s="38">
        <v>-4.7643386804198613</v>
      </c>
      <c r="D33" s="38">
        <v>-112.4738456866571</v>
      </c>
      <c r="E33" s="38">
        <v>-26.142546934698096</v>
      </c>
      <c r="F33" s="38">
        <v>-34.438169771793937</v>
      </c>
      <c r="G33" s="38">
        <v>25.802652844752963</v>
      </c>
      <c r="H33" s="38">
        <v>38.047652262994013</v>
      </c>
      <c r="I33" s="38">
        <v>31.357600562780064</v>
      </c>
      <c r="J33" s="38">
        <v>-11.499003137071433</v>
      </c>
      <c r="K33" s="38">
        <v>3.1219105161197214</v>
      </c>
      <c r="L33" s="38">
        <v>14.524271050187718</v>
      </c>
      <c r="M33" s="38">
        <v>23.614999999999998</v>
      </c>
      <c r="N33" s="38">
        <v>25.828594380632186</v>
      </c>
      <c r="O33" s="38">
        <v>0.51892960909588459</v>
      </c>
      <c r="P33" s="38">
        <v>-24.213000000000001</v>
      </c>
      <c r="Q33" s="38">
        <v>-24.082999999999998</v>
      </c>
      <c r="R33" s="38">
        <v>127.276</v>
      </c>
      <c r="S33" s="38">
        <v>22.952000000000002</v>
      </c>
      <c r="T33" s="38">
        <v>-18.597082769138666</v>
      </c>
      <c r="U33" s="38">
        <v>-56.109235283160622</v>
      </c>
      <c r="V33" s="38">
        <v>-95.394000000000005</v>
      </c>
      <c r="W33" s="38">
        <v>-105.73399999999999</v>
      </c>
      <c r="X33" s="38">
        <v>-95.391000000000005</v>
      </c>
      <c r="Z33" s="38">
        <v>-34.438169771793937</v>
      </c>
      <c r="AA33" s="38">
        <v>-11.499003137071433</v>
      </c>
      <c r="AB33" s="38">
        <v>25.828594380632186</v>
      </c>
      <c r="AC33" s="38">
        <v>127.276</v>
      </c>
      <c r="AD33" s="38">
        <v>-95.394000000000005</v>
      </c>
    </row>
    <row r="34" spans="1:30" ht="14.25" customHeight="1" outlineLevel="1" x14ac:dyDescent="0.35">
      <c r="A34" s="8"/>
      <c r="B34" s="97" t="s">
        <v>156</v>
      </c>
      <c r="C34" s="38">
        <v>-1.6545412081060045</v>
      </c>
      <c r="D34" s="38">
        <v>-3.8791681699999998</v>
      </c>
      <c r="E34" s="38">
        <v>-1.099877929999999</v>
      </c>
      <c r="F34" s="38">
        <v>-1.1270790799999981</v>
      </c>
      <c r="G34" s="38">
        <v>-1.90671258</v>
      </c>
      <c r="H34" s="38">
        <v>-9.9362982200000012</v>
      </c>
      <c r="I34" s="38">
        <v>-12.993868999999998</v>
      </c>
      <c r="J34" s="38">
        <v>-17.76299392</v>
      </c>
      <c r="K34" s="38">
        <v>-4.0529995699999999</v>
      </c>
      <c r="L34" s="38">
        <v>-5.9942729299999939</v>
      </c>
      <c r="M34" s="38">
        <v>-17.138999999999999</v>
      </c>
      <c r="N34" s="38">
        <v>-24.233736420000042</v>
      </c>
      <c r="O34" s="38">
        <v>-3.6648804800000052</v>
      </c>
      <c r="P34" s="38">
        <v>-9.548</v>
      </c>
      <c r="Q34" s="38">
        <v>-11.356999999999999</v>
      </c>
      <c r="R34" s="38">
        <v>-28.652000000000001</v>
      </c>
      <c r="S34" s="38">
        <v>-7.9880000000000004</v>
      </c>
      <c r="T34" s="38">
        <v>-20.34420126000002</v>
      </c>
      <c r="U34" s="38">
        <v>-26.207965880000003</v>
      </c>
      <c r="V34" s="38">
        <v>-35.290999999999997</v>
      </c>
      <c r="W34" s="38">
        <v>-8.1829999999999998</v>
      </c>
      <c r="X34" s="38">
        <v>-13.164999999999999</v>
      </c>
      <c r="Z34" s="38">
        <v>-1.1270790799999981</v>
      </c>
      <c r="AA34" s="38">
        <v>-17.76299392</v>
      </c>
      <c r="AB34" s="38">
        <v>-24.233736420000042</v>
      </c>
      <c r="AC34" s="38">
        <v>-28.652000000000001</v>
      </c>
      <c r="AD34" s="38">
        <v>-35.290999999999997</v>
      </c>
    </row>
    <row r="35" spans="1:30" ht="14.25" customHeight="1" outlineLevel="1" x14ac:dyDescent="0.35">
      <c r="A35" s="3"/>
      <c r="B35" s="97" t="s">
        <v>157</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Z35" s="38">
        <v>0</v>
      </c>
      <c r="AA35" s="38">
        <v>0</v>
      </c>
      <c r="AB35" s="38">
        <v>0</v>
      </c>
      <c r="AC35" s="38">
        <v>0</v>
      </c>
      <c r="AD35" s="38">
        <v>0</v>
      </c>
    </row>
    <row r="36" spans="1:30" ht="14.25" customHeight="1" outlineLevel="1" collapsed="1" x14ac:dyDescent="0.35">
      <c r="A36" s="3"/>
      <c r="B36" s="96" t="s">
        <v>158</v>
      </c>
      <c r="C36" s="40">
        <v>-2.1902776200000003</v>
      </c>
      <c r="D36" s="40">
        <v>-8.8831561799999985</v>
      </c>
      <c r="E36" s="40">
        <v>-26.052770489999997</v>
      </c>
      <c r="F36" s="40">
        <v>-46.383777109999997</v>
      </c>
      <c r="G36" s="40">
        <v>-25.417999999999999</v>
      </c>
      <c r="H36" s="40">
        <v>-54.302164420000004</v>
      </c>
      <c r="I36" s="40">
        <v>-57.411656880000002</v>
      </c>
      <c r="J36" s="40">
        <v>-76.782260829999998</v>
      </c>
      <c r="K36" s="40">
        <v>-40.148889449999999</v>
      </c>
      <c r="L36" s="40">
        <v>-79.683947400000008</v>
      </c>
      <c r="M36" s="40">
        <v>-86.56</v>
      </c>
      <c r="N36" s="40">
        <v>-89.899034659999998</v>
      </c>
      <c r="O36" s="40">
        <v>-12.237289970000001</v>
      </c>
      <c r="P36" s="40">
        <v>-59.085999999999999</v>
      </c>
      <c r="Q36" s="40">
        <v>-78.552999999999997</v>
      </c>
      <c r="R36" s="40">
        <v>-82.632999999999996</v>
      </c>
      <c r="S36" s="40">
        <v>-14.816000000000001</v>
      </c>
      <c r="T36" s="40">
        <v>-38.743656409999993</v>
      </c>
      <c r="U36" s="40">
        <v>-128.67721823000002</v>
      </c>
      <c r="V36" s="40">
        <v>-157.34</v>
      </c>
      <c r="W36" s="40">
        <v>-69.153000000000006</v>
      </c>
      <c r="X36" s="40">
        <v>-42.693999999999988</v>
      </c>
      <c r="Z36" s="40">
        <v>-46.383777109999997</v>
      </c>
      <c r="AA36" s="40">
        <v>-76.782260829999998</v>
      </c>
      <c r="AB36" s="40">
        <v>-89.899034659999998</v>
      </c>
      <c r="AC36" s="40">
        <v>-82.632999999999996</v>
      </c>
      <c r="AD36" s="40">
        <v>-157.34</v>
      </c>
    </row>
    <row r="37" spans="1:30" ht="14.25" customHeight="1" outlineLevel="1" x14ac:dyDescent="0.35">
      <c r="A37" s="3"/>
      <c r="B37" s="96" t="s">
        <v>159</v>
      </c>
      <c r="C37" s="40">
        <v>97.266949192934945</v>
      </c>
      <c r="D37" s="40">
        <v>114.05033669228331</v>
      </c>
      <c r="E37" s="40">
        <v>175.50000480994797</v>
      </c>
      <c r="F37" s="40">
        <v>266.71909139300578</v>
      </c>
      <c r="G37" s="40">
        <v>113.206</v>
      </c>
      <c r="H37" s="40">
        <v>255.9768215269134</v>
      </c>
      <c r="I37" s="40">
        <v>541.88085759511159</v>
      </c>
      <c r="J37" s="40">
        <v>1068.449633102098</v>
      </c>
      <c r="K37" s="40">
        <v>677.91642709683117</v>
      </c>
      <c r="L37" s="40">
        <v>1563.1524333007508</v>
      </c>
      <c r="M37" s="40">
        <v>2525.8490000000002</v>
      </c>
      <c r="N37" s="40">
        <v>2706.3733134587487</v>
      </c>
      <c r="O37" s="40">
        <v>548.73870725140534</v>
      </c>
      <c r="P37" s="40">
        <v>1060.125</v>
      </c>
      <c r="Q37" s="40">
        <v>1750.587</v>
      </c>
      <c r="R37" s="40">
        <v>2576.415</v>
      </c>
      <c r="S37" s="40">
        <v>547.56200000000001</v>
      </c>
      <c r="T37" s="40">
        <v>675.37342434199729</v>
      </c>
      <c r="U37" s="40">
        <v>1428.9431144972407</v>
      </c>
      <c r="V37" s="40">
        <v>1809.7560000000001</v>
      </c>
      <c r="W37" s="40">
        <v>700.10699999999997</v>
      </c>
      <c r="X37" s="40">
        <v>928.904</v>
      </c>
      <c r="Z37" s="40">
        <v>266.71909139300578</v>
      </c>
      <c r="AA37" s="40">
        <v>1068.449633102098</v>
      </c>
      <c r="AB37" s="40">
        <v>2706.3733134587487</v>
      </c>
      <c r="AC37" s="40">
        <v>2576.415</v>
      </c>
      <c r="AD37" s="40">
        <v>1809.7560000000001</v>
      </c>
    </row>
    <row r="38" spans="1:30" ht="14.25" customHeight="1" outlineLevel="1" x14ac:dyDescent="0.35">
      <c r="A38" s="3"/>
      <c r="B38" s="96" t="s">
        <v>160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Z38" s="40">
        <v>0</v>
      </c>
      <c r="AA38" s="40">
        <v>0</v>
      </c>
      <c r="AB38" s="40">
        <v>0</v>
      </c>
      <c r="AC38" s="40">
        <v>0</v>
      </c>
      <c r="AD38" s="40">
        <v>0</v>
      </c>
    </row>
    <row r="39" spans="1:30" ht="14.25" customHeight="1" x14ac:dyDescent="0.35">
      <c r="A39" s="3"/>
      <c r="B39" s="95" t="s">
        <v>161</v>
      </c>
      <c r="C39" s="57">
        <v>1051.85913919774</v>
      </c>
      <c r="D39" s="57">
        <v>1160.5170381508512</v>
      </c>
      <c r="E39" s="57">
        <v>895.48721097106613</v>
      </c>
      <c r="F39" s="57">
        <v>2152.6628732881481</v>
      </c>
      <c r="G39" s="57">
        <v>-17.8119745828932</v>
      </c>
      <c r="H39" s="57">
        <v>400.62580842837997</v>
      </c>
      <c r="I39" s="57">
        <v>763.99742418318237</v>
      </c>
      <c r="J39" s="57">
        <v>898.00611281997044</v>
      </c>
      <c r="K39" s="57">
        <v>287.32489150332862</v>
      </c>
      <c r="L39" s="57">
        <v>518.01977305572802</v>
      </c>
      <c r="M39" s="57">
        <v>1589.2830000000017</v>
      </c>
      <c r="N39" s="57">
        <v>3548.9603173668997</v>
      </c>
      <c r="O39" s="57">
        <v>398.81500155441881</v>
      </c>
      <c r="P39" s="57">
        <v>862.31600000000003</v>
      </c>
      <c r="Q39" s="57">
        <v>1835.1862228655023</v>
      </c>
      <c r="R39" s="57">
        <v>3999.7530000000002</v>
      </c>
      <c r="S39" s="57">
        <v>2428.6104000000005</v>
      </c>
      <c r="T39" s="57">
        <v>-2126.6083773189857</v>
      </c>
      <c r="U39" s="57">
        <v>-2815.3743262779653</v>
      </c>
      <c r="V39" s="57">
        <v>-3416.2930000000042</v>
      </c>
      <c r="W39" s="57">
        <v>1216.2380897088142</v>
      </c>
      <c r="X39" s="57">
        <v>2235.5819999999999</v>
      </c>
      <c r="Z39" s="57">
        <v>2152.6628732881481</v>
      </c>
      <c r="AA39" s="57">
        <v>898.00611281997044</v>
      </c>
      <c r="AB39" s="57">
        <v>3548.9603173668997</v>
      </c>
      <c r="AC39" s="57">
        <v>3999.7530000000002</v>
      </c>
      <c r="AD39" s="57">
        <v>-3416.2930000000042</v>
      </c>
    </row>
    <row r="40" spans="1:30" ht="14.25" customHeight="1" outlineLevel="1" x14ac:dyDescent="0.35">
      <c r="A40" s="3"/>
      <c r="B40" s="97" t="s">
        <v>162</v>
      </c>
      <c r="C40" s="38">
        <v>0</v>
      </c>
      <c r="D40" s="38">
        <v>0</v>
      </c>
      <c r="E40" s="38">
        <v>-5.3506814999999976</v>
      </c>
      <c r="F40" s="38">
        <v>-345.60259404999994</v>
      </c>
      <c r="G40" s="38">
        <v>0</v>
      </c>
      <c r="H40" s="38">
        <v>0</v>
      </c>
      <c r="I40" s="38">
        <v>-44.471172069999994</v>
      </c>
      <c r="J40" s="38">
        <v>-43.367338190000005</v>
      </c>
      <c r="K40" s="38">
        <v>0</v>
      </c>
      <c r="L40" s="38">
        <v>0</v>
      </c>
      <c r="M40" s="38">
        <v>0</v>
      </c>
      <c r="N40" s="38">
        <v>0</v>
      </c>
      <c r="O40" s="38">
        <v>0</v>
      </c>
      <c r="P40" s="38">
        <v>0</v>
      </c>
      <c r="Q40" s="38">
        <v>-31.312999999999999</v>
      </c>
      <c r="R40" s="38">
        <v>-31.312999999999999</v>
      </c>
      <c r="S40" s="38">
        <v>0</v>
      </c>
      <c r="T40" s="38">
        <v>0</v>
      </c>
      <c r="U40" s="38">
        <v>0</v>
      </c>
      <c r="V40" s="38">
        <v>0</v>
      </c>
      <c r="W40" s="38">
        <v>0</v>
      </c>
      <c r="X40" s="38">
        <v>0</v>
      </c>
      <c r="Z40" s="38">
        <v>-345.60259404999994</v>
      </c>
      <c r="AA40" s="38">
        <v>-43.367338190000005</v>
      </c>
      <c r="AB40" s="38">
        <v>0</v>
      </c>
      <c r="AC40" s="38">
        <v>-31.312999999999999</v>
      </c>
      <c r="AD40" s="38">
        <v>0</v>
      </c>
    </row>
    <row r="41" spans="1:30" ht="14.25" customHeight="1" outlineLevel="1" x14ac:dyDescent="0.35">
      <c r="A41" s="3"/>
      <c r="B41" s="97" t="s">
        <v>112</v>
      </c>
      <c r="C41" s="38">
        <v>-231.93844048</v>
      </c>
      <c r="D41" s="38">
        <v>-476.24700000000001</v>
      </c>
      <c r="E41" s="38">
        <v>-917.25530811210831</v>
      </c>
      <c r="F41" s="38">
        <v>-1522.7688826901569</v>
      </c>
      <c r="G41" s="38">
        <v>-249.84700000000001</v>
      </c>
      <c r="H41" s="38">
        <v>-475.56200000000001</v>
      </c>
      <c r="I41" s="38">
        <v>-701.33799999999997</v>
      </c>
      <c r="J41" s="38">
        <v>-972.274</v>
      </c>
      <c r="K41" s="38">
        <v>-439.55900000000003</v>
      </c>
      <c r="L41" s="38">
        <v>-780.45600000000002</v>
      </c>
      <c r="M41" s="38">
        <v>-1027.0250000000001</v>
      </c>
      <c r="N41" s="38">
        <v>-1096.059</v>
      </c>
      <c r="O41" s="38">
        <v>-148.54400000000001</v>
      </c>
      <c r="P41" s="38">
        <v>-425.77499999999998</v>
      </c>
      <c r="Q41" s="38">
        <v>-692.23199999999997</v>
      </c>
      <c r="R41" s="38">
        <v>-951.55799999999999</v>
      </c>
      <c r="S41" s="38">
        <v>-294.81900000000002</v>
      </c>
      <c r="T41" s="38">
        <v>-639.76700000000005</v>
      </c>
      <c r="U41" s="38">
        <v>-916.09299999999996</v>
      </c>
      <c r="V41" s="38">
        <v>-1131.8779999999999</v>
      </c>
      <c r="W41" s="38">
        <v>-342.17099999999999</v>
      </c>
      <c r="X41" s="38">
        <v>-230.00799999999998</v>
      </c>
      <c r="Z41" s="38">
        <v>-1522.7688826901569</v>
      </c>
      <c r="AA41" s="38">
        <v>-972.274</v>
      </c>
      <c r="AB41" s="38">
        <v>-1096.059</v>
      </c>
      <c r="AC41" s="38">
        <v>-951.55799999999999</v>
      </c>
      <c r="AD41" s="38">
        <v>-1131.8779999999999</v>
      </c>
    </row>
    <row r="42" spans="1:30" ht="14.25" customHeight="1" outlineLevel="1" x14ac:dyDescent="0.35">
      <c r="A42" s="3"/>
      <c r="B42" s="97" t="s">
        <v>113</v>
      </c>
      <c r="C42" s="38">
        <v>-118.99299999999999</v>
      </c>
      <c r="D42" s="38">
        <v>-217.29400000000001</v>
      </c>
      <c r="E42" s="38">
        <v>-373.60459995000002</v>
      </c>
      <c r="F42" s="38">
        <v>-523.78460886499977</v>
      </c>
      <c r="G42" s="38">
        <v>-148.98699999999999</v>
      </c>
      <c r="H42" s="38">
        <v>-325.16399999999999</v>
      </c>
      <c r="I42" s="38">
        <v>-527.55499999999995</v>
      </c>
      <c r="J42" s="38">
        <v>-779.55450584999994</v>
      </c>
      <c r="K42" s="38">
        <v>-241.81399999999999</v>
      </c>
      <c r="L42" s="38">
        <v>-475.75799999999998</v>
      </c>
      <c r="M42" s="38">
        <v>-731.36099999999999</v>
      </c>
      <c r="N42" s="38">
        <v>-1040.337</v>
      </c>
      <c r="O42" s="38">
        <v>-259.86599999999999</v>
      </c>
      <c r="P42" s="38">
        <v>-512.73599999999999</v>
      </c>
      <c r="Q42" s="38">
        <v>-775.05399999999997</v>
      </c>
      <c r="R42" s="38">
        <v>-1036.806</v>
      </c>
      <c r="S42" s="38">
        <v>-263.512</v>
      </c>
      <c r="T42" s="38">
        <v>-555.30499999999995</v>
      </c>
      <c r="U42" s="38">
        <v>-864.49199999999996</v>
      </c>
      <c r="V42" s="38">
        <v>-1188.7629999999999</v>
      </c>
      <c r="W42" s="38">
        <v>-306.42099999999999</v>
      </c>
      <c r="X42" s="38">
        <v>-299.036</v>
      </c>
      <c r="Z42" s="38">
        <v>-523.78460886499977</v>
      </c>
      <c r="AA42" s="38">
        <v>-779.55450584999994</v>
      </c>
      <c r="AB42" s="38">
        <v>-1040.337</v>
      </c>
      <c r="AC42" s="38">
        <v>-1036.806</v>
      </c>
      <c r="AD42" s="38">
        <v>-1188.7629999999999</v>
      </c>
    </row>
    <row r="43" spans="1:30" ht="14.25" customHeight="1" outlineLevel="1" x14ac:dyDescent="0.35">
      <c r="A43" s="8"/>
      <c r="B43" s="97" t="s">
        <v>163</v>
      </c>
      <c r="C43" s="38">
        <v>0</v>
      </c>
      <c r="D43" s="38">
        <v>0</v>
      </c>
      <c r="E43" s="38">
        <v>0</v>
      </c>
      <c r="F43" s="38">
        <v>0</v>
      </c>
      <c r="G43" s="38">
        <v>0</v>
      </c>
      <c r="H43" s="38">
        <v>-38.192681670000034</v>
      </c>
      <c r="I43" s="38">
        <v>0</v>
      </c>
      <c r="J43" s="38">
        <v>0</v>
      </c>
      <c r="K43" s="38">
        <v>-69.43692904999989</v>
      </c>
      <c r="L43" s="38">
        <v>-3.779419590000034</v>
      </c>
      <c r="M43" s="38">
        <v>0</v>
      </c>
      <c r="N43" s="38">
        <v>-48.13388563000003</v>
      </c>
      <c r="O43" s="38">
        <v>-153.78522860000004</v>
      </c>
      <c r="P43" s="38">
        <v>-176.25399999999999</v>
      </c>
      <c r="Q43" s="38">
        <v>-120.01900000000001</v>
      </c>
      <c r="R43" s="38">
        <v>-684.12</v>
      </c>
      <c r="S43" s="38">
        <v>-1085.0958496799994</v>
      </c>
      <c r="T43" s="38">
        <v>-379.31117415000045</v>
      </c>
      <c r="U43" s="38">
        <v>232.71648923000089</v>
      </c>
      <c r="V43" s="38">
        <v>490.55200000000002</v>
      </c>
      <c r="W43" s="38">
        <v>-153.006</v>
      </c>
      <c r="X43" s="38">
        <v>228.84800000000001</v>
      </c>
      <c r="Z43" s="38">
        <v>0</v>
      </c>
      <c r="AA43" s="38">
        <v>0</v>
      </c>
      <c r="AB43" s="38">
        <v>-48.13388563000003</v>
      </c>
      <c r="AC43" s="38">
        <v>-684.12</v>
      </c>
      <c r="AD43" s="38">
        <v>490.55200000000002</v>
      </c>
    </row>
    <row r="44" spans="1:30" ht="14.25" customHeight="1" outlineLevel="1" x14ac:dyDescent="0.35">
      <c r="A44" s="3"/>
      <c r="B44" s="97" t="s">
        <v>164</v>
      </c>
      <c r="C44" s="38">
        <v>983.1597340300001</v>
      </c>
      <c r="D44" s="38">
        <v>839.06974083999989</v>
      </c>
      <c r="E44" s="38">
        <v>636.43166561999999</v>
      </c>
      <c r="F44" s="38">
        <v>530.66701062000004</v>
      </c>
      <c r="G44" s="38">
        <v>40.143999999999998</v>
      </c>
      <c r="H44" s="38">
        <v>0</v>
      </c>
      <c r="I44" s="38">
        <v>2.293141019999962</v>
      </c>
      <c r="J44" s="38">
        <v>324.24699013000003</v>
      </c>
      <c r="K44" s="38">
        <v>0</v>
      </c>
      <c r="L44" s="38">
        <v>0</v>
      </c>
      <c r="M44" s="38">
        <v>0.39300000000000002</v>
      </c>
      <c r="N44" s="38">
        <v>0</v>
      </c>
      <c r="O44" s="38">
        <v>0</v>
      </c>
      <c r="P44" s="38">
        <v>0</v>
      </c>
      <c r="Q44" s="38">
        <v>0</v>
      </c>
      <c r="R44" s="38">
        <v>0</v>
      </c>
      <c r="S44" s="38">
        <v>0</v>
      </c>
      <c r="T44" s="38">
        <v>0</v>
      </c>
      <c r="U44" s="38">
        <v>0</v>
      </c>
      <c r="V44" s="38">
        <v>0</v>
      </c>
      <c r="W44" s="38">
        <v>0</v>
      </c>
      <c r="X44" s="38">
        <v>0</v>
      </c>
      <c r="Z44" s="38">
        <v>530.66701062000004</v>
      </c>
      <c r="AA44" s="38">
        <v>324.24699013000003</v>
      </c>
      <c r="AB44" s="38">
        <v>0</v>
      </c>
      <c r="AC44" s="38">
        <v>0</v>
      </c>
      <c r="AD44" s="38">
        <v>0</v>
      </c>
    </row>
    <row r="45" spans="1:30" ht="14.25" customHeight="1" x14ac:dyDescent="0.35">
      <c r="A45" s="3"/>
      <c r="B45" s="95" t="s">
        <v>165</v>
      </c>
      <c r="C45" s="57">
        <v>632.2282935500001</v>
      </c>
      <c r="D45" s="57">
        <v>145.52874083999984</v>
      </c>
      <c r="E45" s="57">
        <v>-659.77892394210824</v>
      </c>
      <c r="F45" s="57">
        <v>-1861.4890749851565</v>
      </c>
      <c r="G45" s="57">
        <v>-358.69</v>
      </c>
      <c r="H45" s="57">
        <v>-838.91868167000007</v>
      </c>
      <c r="I45" s="57">
        <v>-1271.0710310499999</v>
      </c>
      <c r="J45" s="57">
        <v>-1470.9488539099998</v>
      </c>
      <c r="K45" s="57">
        <v>-750.80992904999994</v>
      </c>
      <c r="L45" s="57">
        <v>-1259.99341959</v>
      </c>
      <c r="M45" s="57">
        <v>-1757.9929999999999</v>
      </c>
      <c r="N45" s="57">
        <v>-2184.5298856299996</v>
      </c>
      <c r="O45" s="57">
        <v>-562.19522860000006</v>
      </c>
      <c r="P45" s="57">
        <v>-1114.7649999999999</v>
      </c>
      <c r="Q45" s="57">
        <v>-1618.6179999999999</v>
      </c>
      <c r="R45" s="57">
        <v>-2703.797</v>
      </c>
      <c r="S45" s="57">
        <v>-1643.4268496799996</v>
      </c>
      <c r="T45" s="57">
        <v>-1574.3831741500005</v>
      </c>
      <c r="U45" s="57">
        <v>-1547.8685107699991</v>
      </c>
      <c r="V45" s="57">
        <v>-1830.0889999999995</v>
      </c>
      <c r="W45" s="57">
        <v>-801.59799999999996</v>
      </c>
      <c r="X45" s="57">
        <v>-300.19599999999997</v>
      </c>
      <c r="Z45" s="57">
        <v>-1861.4890749851565</v>
      </c>
      <c r="AA45" s="57">
        <v>-1470.9488539099998</v>
      </c>
      <c r="AB45" s="57">
        <v>-2184.5298856299996</v>
      </c>
      <c r="AC45" s="57">
        <v>-2703.797</v>
      </c>
      <c r="AD45" s="57">
        <v>-1830.0889999999995</v>
      </c>
    </row>
    <row r="46" spans="1:30" ht="14.25" customHeight="1" outlineLevel="1" x14ac:dyDescent="0.35">
      <c r="A46" s="8"/>
      <c r="B46" s="97" t="s">
        <v>166</v>
      </c>
      <c r="C46" s="38">
        <v>0</v>
      </c>
      <c r="D46" s="38">
        <v>0</v>
      </c>
      <c r="E46" s="38">
        <v>0</v>
      </c>
      <c r="F46" s="38">
        <v>0</v>
      </c>
      <c r="G46" s="38">
        <v>0</v>
      </c>
      <c r="H46" s="38">
        <v>0</v>
      </c>
      <c r="I46" s="38">
        <v>0</v>
      </c>
      <c r="J46" s="38">
        <v>0</v>
      </c>
      <c r="K46" s="38">
        <v>0</v>
      </c>
      <c r="L46" s="38">
        <v>0</v>
      </c>
      <c r="M46" s="38">
        <v>-250</v>
      </c>
      <c r="N46" s="38">
        <v>-1213.144</v>
      </c>
      <c r="O46" s="38">
        <v>0</v>
      </c>
      <c r="P46" s="38">
        <v>0</v>
      </c>
      <c r="Q46" s="38">
        <v>-100</v>
      </c>
      <c r="R46" s="38">
        <v>-100</v>
      </c>
      <c r="S46" s="38">
        <v>-189.31906648999995</v>
      </c>
      <c r="T46" s="38">
        <v>-190.43178348999999</v>
      </c>
      <c r="U46" s="38">
        <v>-2690.3599636099998</v>
      </c>
      <c r="V46" s="38">
        <v>-4723.1350000000002</v>
      </c>
      <c r="W46" s="38">
        <v>-3902.982</v>
      </c>
      <c r="X46" s="38">
        <v>-2024.6450000000004</v>
      </c>
      <c r="Z46" s="38">
        <v>0</v>
      </c>
      <c r="AA46" s="38">
        <v>0</v>
      </c>
      <c r="AB46" s="38">
        <v>-1213.144</v>
      </c>
      <c r="AC46" s="38">
        <v>-100</v>
      </c>
      <c r="AD46" s="38">
        <v>-4723.1350000000002</v>
      </c>
    </row>
    <row r="47" spans="1:30" ht="14.25" customHeight="1" outlineLevel="1" x14ac:dyDescent="0.35">
      <c r="A47" s="3"/>
      <c r="B47" s="97" t="s">
        <v>167</v>
      </c>
      <c r="C47" s="38">
        <v>0</v>
      </c>
      <c r="D47" s="38">
        <v>0</v>
      </c>
      <c r="E47" s="38">
        <v>0</v>
      </c>
      <c r="F47" s="38">
        <v>0</v>
      </c>
      <c r="G47" s="38">
        <v>0</v>
      </c>
      <c r="H47" s="38">
        <v>0</v>
      </c>
      <c r="I47" s="38">
        <v>0</v>
      </c>
      <c r="J47" s="38">
        <v>1012.086</v>
      </c>
      <c r="K47" s="38">
        <v>250</v>
      </c>
      <c r="L47" s="38">
        <v>250</v>
      </c>
      <c r="M47" s="38">
        <v>250</v>
      </c>
      <c r="N47" s="38">
        <v>250</v>
      </c>
      <c r="O47" s="38">
        <v>199.99999997999998</v>
      </c>
      <c r="P47" s="38">
        <v>300</v>
      </c>
      <c r="Q47" s="38">
        <v>300</v>
      </c>
      <c r="R47" s="38">
        <v>300</v>
      </c>
      <c r="S47" s="38">
        <v>898.16</v>
      </c>
      <c r="T47" s="38">
        <v>2398.16</v>
      </c>
      <c r="U47" s="38">
        <v>5398.16</v>
      </c>
      <c r="V47" s="38">
        <v>8883.16</v>
      </c>
      <c r="W47" s="38">
        <v>3748</v>
      </c>
      <c r="X47" s="38">
        <v>972.25699999999961</v>
      </c>
      <c r="Z47" s="38">
        <v>0</v>
      </c>
      <c r="AA47" s="38">
        <v>1012.086</v>
      </c>
      <c r="AB47" s="38">
        <v>250</v>
      </c>
      <c r="AC47" s="38">
        <v>300</v>
      </c>
      <c r="AD47" s="38">
        <v>8883.16</v>
      </c>
    </row>
    <row r="48" spans="1:30" ht="14.25" customHeight="1" outlineLevel="1" x14ac:dyDescent="0.35">
      <c r="A48" s="3"/>
      <c r="B48" s="97" t="s">
        <v>168</v>
      </c>
      <c r="C48" s="38">
        <v>0</v>
      </c>
      <c r="D48" s="38">
        <v>0</v>
      </c>
      <c r="E48" s="38">
        <v>0</v>
      </c>
      <c r="F48" s="38">
        <v>0</v>
      </c>
      <c r="G48" s="38">
        <v>0</v>
      </c>
      <c r="H48" s="38">
        <v>0</v>
      </c>
      <c r="I48" s="38">
        <v>0</v>
      </c>
      <c r="J48" s="38">
        <v>0</v>
      </c>
      <c r="K48" s="38">
        <v>0</v>
      </c>
      <c r="L48" s="38">
        <v>-7.0149078499999993</v>
      </c>
      <c r="M48" s="38">
        <v>-15.337</v>
      </c>
      <c r="N48" s="38">
        <v>-56.931301790250465</v>
      </c>
      <c r="O48" s="38">
        <v>0</v>
      </c>
      <c r="P48" s="38">
        <v>0</v>
      </c>
      <c r="Q48" s="38">
        <v>-9.6129999999999995</v>
      </c>
      <c r="R48" s="38">
        <v>-9.6129999999999995</v>
      </c>
      <c r="S48" s="38">
        <v>-6.2896000800000005</v>
      </c>
      <c r="T48" s="38">
        <v>-6.2896000800000005</v>
      </c>
      <c r="U48" s="38">
        <v>-62.46281423000012</v>
      </c>
      <c r="V48" s="38">
        <v>-62.463000000000001</v>
      </c>
      <c r="W48" s="38">
        <v>0</v>
      </c>
      <c r="X48" s="38">
        <v>0</v>
      </c>
      <c r="Z48" s="38">
        <v>0</v>
      </c>
      <c r="AA48" s="38">
        <v>0</v>
      </c>
      <c r="AB48" s="38">
        <v>-56.931301790250465</v>
      </c>
      <c r="AC48" s="38">
        <v>-9.6129999999999995</v>
      </c>
      <c r="AD48" s="38">
        <v>-62.463000000000001</v>
      </c>
    </row>
    <row r="49" spans="1:30" ht="14.25" customHeight="1" outlineLevel="1" x14ac:dyDescent="0.35">
      <c r="A49" s="3"/>
      <c r="B49" s="97" t="s">
        <v>169</v>
      </c>
      <c r="C49" s="38">
        <v>0</v>
      </c>
      <c r="D49" s="38">
        <v>0</v>
      </c>
      <c r="E49" s="38">
        <v>0</v>
      </c>
      <c r="F49" s="38">
        <v>0</v>
      </c>
      <c r="G49" s="38">
        <v>0</v>
      </c>
      <c r="H49" s="38">
        <v>0</v>
      </c>
      <c r="I49" s="38">
        <v>0</v>
      </c>
      <c r="J49" s="38">
        <v>0</v>
      </c>
      <c r="K49" s="38">
        <v>0</v>
      </c>
      <c r="L49" s="38">
        <v>0</v>
      </c>
      <c r="M49" s="38">
        <v>0</v>
      </c>
      <c r="N49" s="38">
        <v>0</v>
      </c>
      <c r="O49" s="38">
        <v>0</v>
      </c>
      <c r="P49" s="38">
        <v>0</v>
      </c>
      <c r="Q49" s="38">
        <v>0</v>
      </c>
      <c r="R49" s="38">
        <v>0</v>
      </c>
      <c r="S49" s="38">
        <v>-16.027940579999999</v>
      </c>
      <c r="T49" s="38">
        <v>-16.027940579999999</v>
      </c>
      <c r="U49" s="38">
        <v>-19.523473409999998</v>
      </c>
      <c r="V49" s="38">
        <v>-19.523</v>
      </c>
      <c r="W49" s="38">
        <v>0</v>
      </c>
      <c r="X49" s="38">
        <v>0</v>
      </c>
      <c r="Z49" s="38">
        <v>0</v>
      </c>
      <c r="AA49" s="38">
        <v>0</v>
      </c>
      <c r="AB49" s="38">
        <v>0</v>
      </c>
      <c r="AC49" s="38">
        <v>0</v>
      </c>
      <c r="AD49" s="38">
        <v>-19.523</v>
      </c>
    </row>
    <row r="50" spans="1:30" ht="14.25" customHeight="1" outlineLevel="1" x14ac:dyDescent="0.35">
      <c r="A50" s="8"/>
      <c r="B50" s="97" t="s">
        <v>170</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-236.03700000000001</v>
      </c>
      <c r="Z50" s="38">
        <v>0</v>
      </c>
      <c r="AA50" s="38">
        <v>0</v>
      </c>
      <c r="AB50" s="38">
        <v>0</v>
      </c>
      <c r="AC50" s="38">
        <v>0</v>
      </c>
      <c r="AD50" s="38">
        <v>0</v>
      </c>
    </row>
    <row r="51" spans="1:30" ht="14.25" customHeight="1" outlineLevel="1" x14ac:dyDescent="0.35">
      <c r="A51" s="3"/>
      <c r="B51" s="97" t="s">
        <v>171</v>
      </c>
      <c r="C51" s="38">
        <v>0</v>
      </c>
      <c r="D51" s="38">
        <v>0</v>
      </c>
      <c r="E51" s="38">
        <v>0</v>
      </c>
      <c r="F51" s="38">
        <v>0</v>
      </c>
      <c r="G51" s="38">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Z51" s="38">
        <v>0</v>
      </c>
      <c r="AA51" s="38">
        <v>0</v>
      </c>
      <c r="AB51" s="38">
        <v>0</v>
      </c>
      <c r="AC51" s="38">
        <v>0</v>
      </c>
      <c r="AD51" s="38">
        <v>0</v>
      </c>
    </row>
    <row r="52" spans="1:30" ht="14.25" customHeight="1" outlineLevel="1" x14ac:dyDescent="0.35">
      <c r="A52" s="3"/>
      <c r="B52" s="97" t="s">
        <v>172</v>
      </c>
      <c r="C52" s="38">
        <v>0</v>
      </c>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Z52" s="38">
        <v>0</v>
      </c>
      <c r="AA52" s="38">
        <v>0</v>
      </c>
      <c r="AB52" s="38">
        <v>0</v>
      </c>
      <c r="AC52" s="38">
        <v>0</v>
      </c>
      <c r="AD52" s="38">
        <v>0</v>
      </c>
    </row>
    <row r="53" spans="1:30" ht="14.25" customHeight="1" outlineLevel="1" x14ac:dyDescent="0.35">
      <c r="A53" s="8"/>
      <c r="B53" s="97" t="s">
        <v>173</v>
      </c>
      <c r="C53" s="38">
        <v>0</v>
      </c>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Z53" s="38">
        <v>0</v>
      </c>
      <c r="AA53" s="38">
        <v>0</v>
      </c>
      <c r="AB53" s="38">
        <v>0</v>
      </c>
      <c r="AC53" s="38">
        <v>0</v>
      </c>
      <c r="AD53" s="38">
        <v>0</v>
      </c>
    </row>
    <row r="54" spans="1:30" ht="14.25" customHeight="1" outlineLevel="1" x14ac:dyDescent="0.35">
      <c r="A54" s="3"/>
      <c r="B54" s="97" t="s">
        <v>174</v>
      </c>
      <c r="C54" s="38">
        <v>0</v>
      </c>
      <c r="D54" s="38">
        <v>0</v>
      </c>
      <c r="E54" s="38">
        <v>0</v>
      </c>
      <c r="F54" s="38">
        <v>0</v>
      </c>
      <c r="G54" s="38">
        <v>-3.3862137299999957</v>
      </c>
      <c r="H54" s="38">
        <v>-6.3841635300000057</v>
      </c>
      <c r="I54" s="38">
        <v>-10.602541600000004</v>
      </c>
      <c r="J54" s="38">
        <v>-15.147985360000002</v>
      </c>
      <c r="K54" s="38">
        <v>-4.1718045200000002</v>
      </c>
      <c r="L54" s="38">
        <v>-9.7745619999999995</v>
      </c>
      <c r="M54" s="38">
        <v>-13.977</v>
      </c>
      <c r="N54" s="38">
        <v>-18.178698220000001</v>
      </c>
      <c r="O54" s="38">
        <v>-4.20506811</v>
      </c>
      <c r="P54" s="38">
        <v>-8.8940000000000001</v>
      </c>
      <c r="Q54" s="38">
        <v>-12.606204330000001</v>
      </c>
      <c r="R54" s="38">
        <v>-16.972000000000001</v>
      </c>
      <c r="S54" s="38">
        <v>-4.4094456499999994</v>
      </c>
      <c r="T54" s="38">
        <v>-9.2626954799832042</v>
      </c>
      <c r="U54" s="38">
        <v>-13.800948949974803</v>
      </c>
      <c r="V54" s="38">
        <v>-18.59</v>
      </c>
      <c r="W54" s="38">
        <v>-4.9329999999999998</v>
      </c>
      <c r="X54" s="38">
        <v>-4.9800000000000004</v>
      </c>
      <c r="Z54" s="38">
        <v>0</v>
      </c>
      <c r="AA54" s="38">
        <v>-15.147985360000002</v>
      </c>
      <c r="AB54" s="38">
        <v>-18.178698220000001</v>
      </c>
      <c r="AC54" s="38">
        <v>-16.972000000000001</v>
      </c>
      <c r="AD54" s="38">
        <v>-18.59</v>
      </c>
    </row>
    <row r="55" spans="1:30" ht="14.25" customHeight="1" outlineLevel="1" x14ac:dyDescent="0.35">
      <c r="A55" s="3"/>
      <c r="B55" s="97" t="s">
        <v>175</v>
      </c>
      <c r="C55" s="38">
        <v>-44.774338369292998</v>
      </c>
      <c r="D55" s="38">
        <v>-44.774338369292998</v>
      </c>
      <c r="E55" s="38">
        <v>-44.774338369292998</v>
      </c>
      <c r="F55" s="38">
        <v>-44.774338369292998</v>
      </c>
      <c r="G55" s="38">
        <v>0</v>
      </c>
      <c r="H55" s="38">
        <v>0</v>
      </c>
      <c r="I55" s="38">
        <v>0</v>
      </c>
      <c r="J55" s="38">
        <v>-257.99215684241534</v>
      </c>
      <c r="K55" s="38">
        <v>-93.612607319999995</v>
      </c>
      <c r="L55" s="38">
        <v>-93.612607319999995</v>
      </c>
      <c r="M55" s="38">
        <v>-191.81899999999999</v>
      </c>
      <c r="N55" s="38">
        <v>-291.44255617999994</v>
      </c>
      <c r="O55" s="38">
        <v>-45.346120650000003</v>
      </c>
      <c r="P55" s="38">
        <v>-143.672</v>
      </c>
      <c r="Q55" s="38">
        <v>-248.82400000000001</v>
      </c>
      <c r="R55" s="38">
        <v>-399.41</v>
      </c>
      <c r="S55" s="38">
        <v>0</v>
      </c>
      <c r="T55" s="38">
        <v>0</v>
      </c>
      <c r="U55" s="38">
        <v>-427.7210048</v>
      </c>
      <c r="V55" s="38">
        <v>-784.45899999999995</v>
      </c>
      <c r="W55" s="38">
        <v>-228.27</v>
      </c>
      <c r="X55" s="38">
        <v>-467.89700000000005</v>
      </c>
      <c r="Z55" s="38">
        <v>-44.774338369292998</v>
      </c>
      <c r="AA55" s="38">
        <v>-257.99215684241534</v>
      </c>
      <c r="AB55" s="38">
        <v>-291.44255617999994</v>
      </c>
      <c r="AC55" s="38">
        <v>-399.41</v>
      </c>
      <c r="AD55" s="38">
        <v>-784.45899999999995</v>
      </c>
    </row>
    <row r="56" spans="1:30" ht="14.25" customHeight="1" outlineLevel="1" x14ac:dyDescent="0.35">
      <c r="A56" s="8"/>
      <c r="B56" s="97" t="s">
        <v>176</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Z56" s="38">
        <v>0</v>
      </c>
      <c r="AA56" s="38">
        <v>0</v>
      </c>
      <c r="AB56" s="38">
        <v>0</v>
      </c>
      <c r="AC56" s="38">
        <v>0</v>
      </c>
      <c r="AD56" s="38">
        <v>0</v>
      </c>
    </row>
    <row r="57" spans="1:30" ht="14.25" customHeight="1" outlineLevel="1" x14ac:dyDescent="0.35">
      <c r="A57" s="3"/>
      <c r="B57" s="97" t="s">
        <v>177</v>
      </c>
      <c r="C57" s="38">
        <v>-0.11457632999999987</v>
      </c>
      <c r="D57" s="38">
        <v>8.9974409999998894E-2</v>
      </c>
      <c r="E57" s="38">
        <v>0.26128830000000014</v>
      </c>
      <c r="F57" s="38">
        <v>-10.28917974</v>
      </c>
      <c r="G57" s="38">
        <v>0.06</v>
      </c>
      <c r="H57" s="38">
        <v>0</v>
      </c>
      <c r="I57" s="38">
        <v>0</v>
      </c>
      <c r="J57" s="38">
        <v>-11.707979620000001</v>
      </c>
      <c r="K57" s="38">
        <v>0</v>
      </c>
      <c r="L57" s="38">
        <v>0</v>
      </c>
      <c r="M57" s="38">
        <v>0</v>
      </c>
      <c r="N57" s="38">
        <v>0</v>
      </c>
      <c r="O57" s="38">
        <v>0</v>
      </c>
      <c r="P57" s="38">
        <v>0</v>
      </c>
      <c r="Q57" s="38">
        <v>0</v>
      </c>
      <c r="R57" s="38">
        <v>0</v>
      </c>
      <c r="S57" s="38">
        <v>0</v>
      </c>
      <c r="T57" s="38">
        <v>0</v>
      </c>
      <c r="U57" s="38">
        <v>0</v>
      </c>
      <c r="V57" s="38">
        <v>0</v>
      </c>
      <c r="W57" s="38">
        <v>0</v>
      </c>
      <c r="X57" s="38">
        <v>0</v>
      </c>
      <c r="Z57" s="38">
        <v>-10.28917974</v>
      </c>
      <c r="AA57" s="38">
        <v>-11.707979620000001</v>
      </c>
      <c r="AB57" s="38">
        <v>0</v>
      </c>
      <c r="AC57" s="38">
        <v>0</v>
      </c>
      <c r="AD57" s="38">
        <v>0</v>
      </c>
    </row>
    <row r="58" spans="1:30" ht="14.25" customHeight="1" x14ac:dyDescent="0.35">
      <c r="A58" s="3"/>
      <c r="B58" s="95" t="s">
        <v>178</v>
      </c>
      <c r="C58" s="57">
        <v>-44.888914699292997</v>
      </c>
      <c r="D58" s="57">
        <v>-44.684363959293002</v>
      </c>
      <c r="E58" s="57">
        <v>-44.513050069293001</v>
      </c>
      <c r="F58" s="57">
        <v>-55.063518109293</v>
      </c>
      <c r="G58" s="57">
        <v>-3.3262137299999956</v>
      </c>
      <c r="H58" s="57">
        <v>-6.2268302800000059</v>
      </c>
      <c r="I58" s="57">
        <v>-10.602541600000004</v>
      </c>
      <c r="J58" s="57">
        <v>727.23787817758478</v>
      </c>
      <c r="K58" s="57">
        <v>152.21558816000001</v>
      </c>
      <c r="L58" s="57">
        <v>139.59792283000002</v>
      </c>
      <c r="M58" s="57">
        <v>-221.13299999999998</v>
      </c>
      <c r="N58" s="57">
        <v>-1329.6965561902502</v>
      </c>
      <c r="O58" s="57">
        <v>150.44881121999998</v>
      </c>
      <c r="P58" s="57">
        <v>147.434</v>
      </c>
      <c r="Q58" s="57">
        <v>-71.043204330000009</v>
      </c>
      <c r="R58" s="57">
        <v>-225.99299999999999</v>
      </c>
      <c r="S58" s="57">
        <v>682.1139472000001</v>
      </c>
      <c r="T58" s="57">
        <v>2176.1479803700167</v>
      </c>
      <c r="U58" s="57">
        <v>2184.2917950000246</v>
      </c>
      <c r="V58" s="57">
        <v>3274.99</v>
      </c>
      <c r="W58" s="57">
        <v>-388.18499999999995</v>
      </c>
      <c r="X58" s="57">
        <v>-1761.302000000001</v>
      </c>
      <c r="Z58" s="57">
        <v>-55.063518109293</v>
      </c>
      <c r="AA58" s="57">
        <v>727.23787817758478</v>
      </c>
      <c r="AB58" s="57">
        <v>-1329.6965561902502</v>
      </c>
      <c r="AC58" s="57">
        <v>-225.99299999999999</v>
      </c>
      <c r="AD58" s="57">
        <v>3274.99</v>
      </c>
    </row>
    <row r="59" spans="1:30" ht="14.25" customHeight="1" x14ac:dyDescent="0.35">
      <c r="A59" s="8"/>
      <c r="B59" s="64" t="s">
        <v>179</v>
      </c>
      <c r="C59" s="40">
        <v>1639.1985180484469</v>
      </c>
      <c r="D59" s="40">
        <v>1261.361415031558</v>
      </c>
      <c r="E59" s="40">
        <v>191.1952369596649</v>
      </c>
      <c r="F59" s="40">
        <v>236.1102801936986</v>
      </c>
      <c r="G59" s="40">
        <v>-379.82818831289319</v>
      </c>
      <c r="H59" s="40">
        <v>-444.5197035216201</v>
      </c>
      <c r="I59" s="40">
        <v>-517.67614846681749</v>
      </c>
      <c r="J59" s="40">
        <v>154.29513708755542</v>
      </c>
      <c r="K59" s="40">
        <v>-311.26944938667134</v>
      </c>
      <c r="L59" s="40">
        <v>-602.3757237042721</v>
      </c>
      <c r="M59" s="40">
        <v>-389.8429999999982</v>
      </c>
      <c r="N59" s="40">
        <v>34.73387554664987</v>
      </c>
      <c r="O59" s="40">
        <v>-12.931415825581269</v>
      </c>
      <c r="P59" s="40">
        <v>-105.01499999999984</v>
      </c>
      <c r="Q59" s="40">
        <v>145.52501853550231</v>
      </c>
      <c r="R59" s="40">
        <v>1069.963</v>
      </c>
      <c r="S59" s="40">
        <v>1467.2974975200009</v>
      </c>
      <c r="T59" s="40">
        <v>-1524.8435710989697</v>
      </c>
      <c r="U59" s="40">
        <v>-2178.9510420479401</v>
      </c>
      <c r="V59" s="40">
        <v>-1971.3920000000035</v>
      </c>
      <c r="W59" s="40">
        <v>26.455089708814285</v>
      </c>
      <c r="X59" s="40">
        <v>174.084</v>
      </c>
      <c r="Z59" s="40">
        <v>236.1102801936986</v>
      </c>
      <c r="AA59" s="40">
        <v>154.29513708755542</v>
      </c>
      <c r="AB59" s="40">
        <v>34.73387554664987</v>
      </c>
      <c r="AC59" s="40">
        <v>1069.963</v>
      </c>
      <c r="AD59" s="40">
        <v>-1971.3920000000035</v>
      </c>
    </row>
    <row r="60" spans="1:30" ht="14.25" customHeight="1" x14ac:dyDescent="0.35">
      <c r="A60" s="3"/>
      <c r="B60" s="12" t="s">
        <v>180</v>
      </c>
      <c r="C60" s="38">
        <v>1403.9060450252546</v>
      </c>
      <c r="D60" s="38">
        <v>1403.9060450252546</v>
      </c>
      <c r="E60" s="38">
        <v>1403.9060450252546</v>
      </c>
      <c r="F60" s="38">
        <v>1403.9060450252546</v>
      </c>
      <c r="G60" s="38">
        <v>1640.0163252189532</v>
      </c>
      <c r="H60" s="38">
        <v>1640.0163252189532</v>
      </c>
      <c r="I60" s="38">
        <v>1640.0163252189532</v>
      </c>
      <c r="J60" s="38">
        <v>1640.0163252189532</v>
      </c>
      <c r="K60" s="38">
        <v>1794.3114623065085</v>
      </c>
      <c r="L60" s="38">
        <v>1794.3114623065085</v>
      </c>
      <c r="M60" s="38">
        <v>1794.3114623065085</v>
      </c>
      <c r="N60" s="38">
        <v>1794.3114623065085</v>
      </c>
      <c r="O60" s="38">
        <v>1829.0942928279037</v>
      </c>
      <c r="P60" s="38">
        <v>1829.0942928279037</v>
      </c>
      <c r="Q60" s="38">
        <v>1829.0942928279037</v>
      </c>
      <c r="R60" s="38">
        <v>1829.097</v>
      </c>
      <c r="S60" s="38">
        <v>2899.0873012674419</v>
      </c>
      <c r="T60" s="38">
        <v>2899.0873012674419</v>
      </c>
      <c r="U60" s="38">
        <v>2899.0604780707549</v>
      </c>
      <c r="V60" s="38">
        <v>2899.0604780707549</v>
      </c>
      <c r="W60" s="38">
        <v>927.69795285255941</v>
      </c>
      <c r="X60" s="38">
        <v>954.12300000000005</v>
      </c>
      <c r="Z60" s="38">
        <v>1403.9060450252546</v>
      </c>
      <c r="AA60" s="38">
        <v>1640.0163252189532</v>
      </c>
      <c r="AB60" s="38">
        <v>1794.3114623065085</v>
      </c>
      <c r="AC60" s="38">
        <v>1829.097</v>
      </c>
      <c r="AD60" s="38">
        <v>2899.0604780707549</v>
      </c>
    </row>
    <row r="61" spans="1:30" ht="14.25" customHeight="1" thickBot="1" x14ac:dyDescent="0.4">
      <c r="A61" s="3"/>
      <c r="B61" s="36" t="s">
        <v>181</v>
      </c>
      <c r="C61" s="60">
        <v>3043.1045630737017</v>
      </c>
      <c r="D61" s="60">
        <v>2665.2674600568125</v>
      </c>
      <c r="E61" s="60">
        <v>1595.1012819849195</v>
      </c>
      <c r="F61" s="60">
        <v>1640.0163252189532</v>
      </c>
      <c r="G61" s="60">
        <v>1260.18813690606</v>
      </c>
      <c r="H61" s="60">
        <v>1195.496621697333</v>
      </c>
      <c r="I61" s="60">
        <v>1122.3401767521357</v>
      </c>
      <c r="J61" s="60">
        <v>1794.3114623065085</v>
      </c>
      <c r="K61" s="60">
        <v>1483.0420129198371</v>
      </c>
      <c r="L61" s="60">
        <v>1191.9357386022364</v>
      </c>
      <c r="M61" s="60">
        <v>1404.4684623065102</v>
      </c>
      <c r="N61" s="60">
        <v>1829.0453378531583</v>
      </c>
      <c r="O61" s="60">
        <v>1816.1628770023224</v>
      </c>
      <c r="P61" s="60">
        <v>1724.0792928279038</v>
      </c>
      <c r="Q61" s="60">
        <v>1974.619311363406</v>
      </c>
      <c r="R61" s="60">
        <v>2899.06</v>
      </c>
      <c r="S61" s="60">
        <v>4366.3847987874433</v>
      </c>
      <c r="T61" s="60">
        <v>1374.2437301684722</v>
      </c>
      <c r="U61" s="60">
        <v>720.10943602281486</v>
      </c>
      <c r="V61" s="60">
        <v>927.66800000000001</v>
      </c>
      <c r="W61" s="60">
        <v>954.12338679873517</v>
      </c>
      <c r="X61" s="60">
        <v>1128.2070000000001</v>
      </c>
      <c r="Z61" s="60">
        <v>1640.0163252189532</v>
      </c>
      <c r="AA61" s="60">
        <v>1794.3114623065085</v>
      </c>
      <c r="AB61" s="60">
        <v>1829.0453378531583</v>
      </c>
      <c r="AC61" s="60">
        <v>2899.06</v>
      </c>
      <c r="AD61" s="60">
        <v>927.66800000000001</v>
      </c>
    </row>
    <row r="63" spans="1:30" ht="14.25" customHeight="1" x14ac:dyDescent="0.35">
      <c r="A63" s="2"/>
      <c r="B63" s="86"/>
      <c r="C63" s="86"/>
      <c r="D63" s="86"/>
      <c r="E63" s="86"/>
      <c r="F63" s="86"/>
      <c r="G63" s="86"/>
      <c r="H63" s="86"/>
      <c r="I63" s="86"/>
      <c r="J63" s="86"/>
      <c r="K63" s="86"/>
      <c r="L63" s="86"/>
      <c r="M63" s="86"/>
      <c r="N63" s="86"/>
      <c r="O63" s="86"/>
      <c r="P63" s="86"/>
      <c r="Q63" s="86"/>
      <c r="R63" s="86"/>
      <c r="S63" s="86"/>
      <c r="T63" s="86"/>
      <c r="U63" s="86"/>
      <c r="V63" s="86"/>
      <c r="W63" s="86"/>
      <c r="X63" s="86"/>
    </row>
    <row r="64" spans="1:30" ht="14.25" customHeight="1" x14ac:dyDescent="0.35">
      <c r="A64" s="2"/>
      <c r="B64" s="86"/>
      <c r="C64" s="86"/>
      <c r="D64" s="86"/>
      <c r="E64" s="86"/>
      <c r="F64" s="86"/>
      <c r="G64" s="86"/>
      <c r="H64" s="86"/>
      <c r="I64" s="86"/>
      <c r="J64" s="86"/>
      <c r="K64" s="86"/>
      <c r="L64" s="86"/>
      <c r="M64" s="86"/>
      <c r="N64" s="86"/>
      <c r="O64" s="86"/>
      <c r="P64" s="86"/>
      <c r="Q64" s="86"/>
      <c r="R64" s="86"/>
      <c r="S64" s="86"/>
      <c r="T64" s="86"/>
      <c r="U64" s="86"/>
      <c r="V64" s="86"/>
      <c r="W64" s="86"/>
      <c r="X64" s="86"/>
    </row>
    <row r="65" spans="1:24" ht="14.25" customHeight="1" x14ac:dyDescent="0.35">
      <c r="A65" s="2"/>
      <c r="B65" s="86"/>
      <c r="C65" s="86"/>
      <c r="D65" s="86"/>
      <c r="E65" s="86"/>
      <c r="F65" s="86"/>
      <c r="G65" s="86"/>
      <c r="H65" s="86"/>
      <c r="I65" s="86"/>
      <c r="J65" s="86"/>
      <c r="K65" s="86"/>
      <c r="L65" s="86"/>
      <c r="M65" s="86"/>
      <c r="N65" s="86"/>
      <c r="O65" s="86"/>
      <c r="P65" s="86"/>
      <c r="Q65" s="86"/>
      <c r="R65" s="86"/>
      <c r="S65" s="86"/>
      <c r="T65" s="86"/>
      <c r="U65" s="86"/>
      <c r="V65" s="86"/>
      <c r="W65" s="86"/>
      <c r="X65" s="86"/>
    </row>
    <row r="66" spans="1:24" ht="14.25" customHeight="1" x14ac:dyDescent="0.35">
      <c r="A66" s="2"/>
      <c r="B66" s="86"/>
      <c r="C66" s="86"/>
      <c r="D66" s="86"/>
      <c r="E66" s="86"/>
      <c r="F66" s="86"/>
      <c r="G66" s="86"/>
      <c r="H66" s="86"/>
      <c r="I66" s="86"/>
      <c r="J66" s="86"/>
      <c r="K66" s="86"/>
      <c r="L66" s="86"/>
      <c r="M66" s="86"/>
      <c r="N66" s="86"/>
      <c r="O66" s="86"/>
      <c r="P66" s="86"/>
      <c r="Q66" s="86"/>
      <c r="R66" s="86"/>
      <c r="S66" s="86"/>
      <c r="T66" s="86"/>
      <c r="U66" s="86"/>
      <c r="V66" s="86"/>
      <c r="W66" s="86"/>
      <c r="X66" s="86"/>
    </row>
    <row r="67" spans="1:24" ht="14.25" customHeight="1" x14ac:dyDescent="0.35">
      <c r="A67" s="2"/>
      <c r="B67" s="86"/>
      <c r="C67" s="86"/>
      <c r="D67" s="86"/>
      <c r="E67" s="86"/>
      <c r="F67" s="86"/>
      <c r="G67" s="86"/>
      <c r="H67" s="86"/>
      <c r="I67" s="86"/>
      <c r="J67" s="86"/>
      <c r="K67" s="86"/>
      <c r="L67" s="86"/>
      <c r="M67" s="86"/>
      <c r="N67" s="86"/>
      <c r="O67" s="86"/>
      <c r="P67" s="86"/>
      <c r="Q67" s="86"/>
      <c r="R67" s="86"/>
      <c r="S67" s="86"/>
      <c r="T67" s="86"/>
      <c r="U67" s="86"/>
      <c r="V67" s="86"/>
      <c r="W67" s="86"/>
      <c r="X67" s="86"/>
    </row>
    <row r="68" spans="1:24" ht="14.25" customHeight="1" x14ac:dyDescent="0.35">
      <c r="A68" s="2"/>
      <c r="B68" s="86"/>
      <c r="C68" s="86"/>
      <c r="D68" s="86"/>
      <c r="E68" s="86"/>
      <c r="F68" s="86"/>
      <c r="G68" s="86"/>
      <c r="H68" s="86"/>
      <c r="I68" s="86"/>
      <c r="J68" s="86"/>
      <c r="K68" s="86"/>
      <c r="L68" s="86"/>
      <c r="M68" s="86"/>
      <c r="N68" s="86"/>
      <c r="O68" s="86"/>
      <c r="P68" s="86"/>
      <c r="Q68" s="86"/>
      <c r="R68" s="86"/>
      <c r="S68" s="86"/>
      <c r="T68" s="86"/>
      <c r="U68" s="86"/>
      <c r="V68" s="86"/>
      <c r="W68" s="86"/>
      <c r="X68" s="86"/>
    </row>
    <row r="69" spans="1:24" ht="14.25" customHeight="1" x14ac:dyDescent="0.35">
      <c r="A69" s="2"/>
      <c r="B69" s="86"/>
      <c r="C69" s="86"/>
      <c r="D69" s="86"/>
      <c r="E69" s="86"/>
      <c r="F69" s="86"/>
      <c r="G69" s="86"/>
      <c r="H69" s="86"/>
      <c r="I69" s="86"/>
      <c r="J69" s="86"/>
      <c r="K69" s="86"/>
      <c r="L69" s="86"/>
      <c r="M69" s="86"/>
      <c r="N69" s="86"/>
      <c r="O69" s="86"/>
      <c r="P69" s="86"/>
      <c r="Q69" s="86"/>
      <c r="R69" s="86"/>
      <c r="S69" s="86"/>
      <c r="T69" s="86"/>
      <c r="U69" s="86"/>
      <c r="V69" s="86"/>
      <c r="W69" s="86"/>
      <c r="X69" s="86"/>
    </row>
    <row r="70" spans="1:24" ht="14.25" customHeight="1" x14ac:dyDescent="0.35">
      <c r="A70" s="2"/>
      <c r="B70" s="86"/>
      <c r="C70" s="86"/>
      <c r="D70" s="86"/>
      <c r="E70" s="86"/>
      <c r="F70" s="86"/>
      <c r="G70" s="86"/>
      <c r="H70" s="86"/>
      <c r="I70" s="86"/>
      <c r="J70" s="86"/>
      <c r="K70" s="86"/>
      <c r="L70" s="86"/>
      <c r="M70" s="86"/>
      <c r="N70" s="86"/>
      <c r="O70" s="86"/>
      <c r="P70" s="86"/>
      <c r="Q70" s="86"/>
      <c r="R70" s="86"/>
      <c r="S70" s="86"/>
      <c r="T70" s="86"/>
      <c r="U70" s="86"/>
      <c r="V70" s="86"/>
      <c r="W70" s="86"/>
      <c r="X70" s="86"/>
    </row>
    <row r="71" spans="1:24" ht="14.25" customHeight="1" x14ac:dyDescent="0.35">
      <c r="A71" s="2"/>
      <c r="B71" s="86"/>
      <c r="C71" s="86"/>
      <c r="D71" s="86"/>
      <c r="E71" s="86"/>
      <c r="F71" s="86"/>
      <c r="G71" s="86"/>
      <c r="H71" s="86"/>
      <c r="I71" s="86"/>
      <c r="J71" s="86"/>
      <c r="K71" s="86"/>
      <c r="L71" s="86"/>
      <c r="M71" s="86"/>
      <c r="N71" s="86"/>
      <c r="O71" s="86"/>
      <c r="P71" s="86"/>
      <c r="Q71" s="86"/>
      <c r="R71" s="86"/>
      <c r="S71" s="86"/>
      <c r="T71" s="86"/>
      <c r="U71" s="86"/>
      <c r="V71" s="86"/>
      <c r="W71" s="86"/>
      <c r="X71" s="86"/>
    </row>
    <row r="72" spans="1:24" ht="14.25" customHeight="1" x14ac:dyDescent="0.35">
      <c r="A72" s="2"/>
      <c r="B72" s="86"/>
      <c r="C72" s="86"/>
      <c r="D72" s="86"/>
      <c r="E72" s="86"/>
      <c r="F72" s="86"/>
      <c r="G72" s="86"/>
      <c r="H72" s="86"/>
      <c r="I72" s="86"/>
      <c r="J72" s="86"/>
      <c r="K72" s="86"/>
      <c r="L72" s="86"/>
      <c r="M72" s="86"/>
      <c r="N72" s="86"/>
      <c r="O72" s="86"/>
      <c r="P72" s="86"/>
      <c r="Q72" s="86"/>
      <c r="R72" s="86"/>
      <c r="S72" s="86"/>
      <c r="T72" s="86"/>
      <c r="U72" s="86"/>
      <c r="V72" s="86"/>
      <c r="W72" s="86"/>
      <c r="X72" s="86"/>
    </row>
    <row r="73" spans="1:24" ht="14.25" customHeight="1" x14ac:dyDescent="0.35">
      <c r="A73" s="2"/>
      <c r="B73" s="86"/>
      <c r="C73" s="86"/>
      <c r="D73" s="86"/>
      <c r="E73" s="86"/>
      <c r="F73" s="86"/>
      <c r="G73" s="86"/>
      <c r="H73" s="86"/>
      <c r="I73" s="86"/>
      <c r="J73" s="86"/>
      <c r="K73" s="86"/>
      <c r="L73" s="86"/>
      <c r="M73" s="86"/>
      <c r="N73" s="86"/>
      <c r="O73" s="86"/>
      <c r="P73" s="86"/>
      <c r="Q73" s="86"/>
      <c r="R73" s="86"/>
      <c r="S73" s="86"/>
      <c r="T73" s="86"/>
      <c r="U73" s="86"/>
      <c r="V73" s="86"/>
      <c r="W73" s="86"/>
      <c r="X73" s="86"/>
    </row>
    <row r="74" spans="1:24" ht="14.25" customHeight="1" x14ac:dyDescent="0.35">
      <c r="A74" s="2"/>
      <c r="B74" s="86"/>
      <c r="C74" s="86"/>
      <c r="D74" s="86"/>
      <c r="E74" s="86"/>
      <c r="F74" s="86"/>
      <c r="G74" s="86"/>
      <c r="H74" s="86"/>
      <c r="I74" s="86"/>
      <c r="J74" s="86"/>
      <c r="K74" s="86"/>
      <c r="L74" s="86"/>
      <c r="M74" s="86"/>
      <c r="N74" s="86"/>
      <c r="O74" s="86"/>
      <c r="P74" s="86"/>
      <c r="Q74" s="86"/>
      <c r="R74" s="86"/>
      <c r="S74" s="86"/>
      <c r="T74" s="86"/>
      <c r="U74" s="86"/>
      <c r="V74" s="86"/>
      <c r="W74" s="86"/>
      <c r="X74" s="86"/>
    </row>
    <row r="75" spans="1:24" ht="14.25" customHeight="1" x14ac:dyDescent="0.35">
      <c r="A75" s="2"/>
      <c r="B75" s="86"/>
      <c r="C75" s="86"/>
      <c r="D75" s="86"/>
      <c r="E75" s="86"/>
      <c r="F75" s="86"/>
      <c r="G75" s="86"/>
      <c r="H75" s="86"/>
      <c r="I75" s="86"/>
      <c r="J75" s="86"/>
      <c r="K75" s="86"/>
      <c r="L75" s="86"/>
      <c r="M75" s="86"/>
      <c r="N75" s="86"/>
      <c r="O75" s="86"/>
      <c r="P75" s="86"/>
      <c r="Q75" s="86"/>
      <c r="R75" s="86"/>
      <c r="S75" s="86"/>
      <c r="T75" s="86"/>
      <c r="U75" s="86"/>
      <c r="V75" s="86"/>
      <c r="W75" s="86"/>
      <c r="X75" s="86"/>
    </row>
    <row r="76" spans="1:24" ht="14.25" customHeight="1" x14ac:dyDescent="0.35">
      <c r="A76" s="2"/>
      <c r="B76" s="86"/>
      <c r="C76" s="86"/>
      <c r="D76" s="86"/>
      <c r="E76" s="86"/>
      <c r="F76" s="86"/>
      <c r="G76" s="86"/>
      <c r="H76" s="86"/>
      <c r="I76" s="86"/>
      <c r="J76" s="86"/>
      <c r="K76" s="86"/>
      <c r="L76" s="86"/>
      <c r="M76" s="86"/>
      <c r="N76" s="86"/>
      <c r="O76" s="86"/>
      <c r="P76" s="86"/>
      <c r="Q76" s="86"/>
      <c r="R76" s="86"/>
      <c r="S76" s="86"/>
      <c r="T76" s="86"/>
      <c r="U76" s="86"/>
      <c r="V76" s="86"/>
      <c r="W76" s="86"/>
      <c r="X76" s="86"/>
    </row>
    <row r="77" spans="1:24" ht="14.25" customHeight="1" x14ac:dyDescent="0.35">
      <c r="A77" s="2"/>
      <c r="B77" s="86"/>
      <c r="C77" s="86"/>
      <c r="D77" s="86"/>
      <c r="E77" s="86"/>
      <c r="F77" s="86"/>
      <c r="G77" s="86"/>
      <c r="H77" s="86"/>
      <c r="I77" s="86"/>
      <c r="J77" s="86"/>
      <c r="K77" s="86"/>
      <c r="L77" s="86"/>
      <c r="M77" s="86"/>
      <c r="N77" s="86"/>
      <c r="O77" s="86"/>
      <c r="P77" s="86"/>
      <c r="Q77" s="86"/>
      <c r="R77" s="86"/>
      <c r="S77" s="86"/>
      <c r="T77" s="86"/>
      <c r="U77" s="86"/>
      <c r="V77" s="86"/>
      <c r="W77" s="86"/>
      <c r="X77" s="86"/>
    </row>
    <row r="78" spans="1:24" ht="14.25" customHeight="1" x14ac:dyDescent="0.35">
      <c r="A78" s="2"/>
      <c r="B78" s="86"/>
      <c r="C78" s="86"/>
      <c r="D78" s="86"/>
      <c r="E78" s="86"/>
      <c r="F78" s="86"/>
      <c r="G78" s="86"/>
      <c r="H78" s="86"/>
      <c r="I78" s="86"/>
      <c r="J78" s="86"/>
      <c r="K78" s="86"/>
      <c r="L78" s="86"/>
      <c r="M78" s="86"/>
      <c r="N78" s="86"/>
      <c r="O78" s="86"/>
      <c r="P78" s="86"/>
      <c r="Q78" s="86"/>
      <c r="R78" s="86"/>
      <c r="S78" s="86"/>
      <c r="T78" s="86"/>
      <c r="U78" s="86"/>
      <c r="V78" s="86"/>
      <c r="W78" s="86"/>
      <c r="X78" s="86"/>
    </row>
    <row r="79" spans="1:24" ht="14.25" customHeight="1" x14ac:dyDescent="0.35">
      <c r="A79" s="2"/>
      <c r="B79" s="86"/>
      <c r="C79" s="86"/>
      <c r="D79" s="86"/>
      <c r="E79" s="86"/>
      <c r="F79" s="86"/>
      <c r="G79" s="86"/>
      <c r="H79" s="86"/>
      <c r="I79" s="86"/>
      <c r="J79" s="86"/>
      <c r="K79" s="86"/>
      <c r="L79" s="86"/>
      <c r="M79" s="86"/>
      <c r="N79" s="86"/>
      <c r="O79" s="86"/>
      <c r="P79" s="86"/>
      <c r="Q79" s="86"/>
      <c r="R79" s="86"/>
      <c r="S79" s="86"/>
      <c r="T79" s="86"/>
      <c r="U79" s="86"/>
      <c r="V79" s="86"/>
      <c r="W79" s="86"/>
      <c r="X79" s="86"/>
    </row>
    <row r="80" spans="1:24" ht="14.25" customHeight="1" x14ac:dyDescent="0.35">
      <c r="A80" s="2"/>
      <c r="B80" s="86"/>
      <c r="C80" s="86"/>
      <c r="D80" s="86"/>
      <c r="E80" s="86"/>
      <c r="F80" s="86"/>
      <c r="G80" s="86"/>
      <c r="H80" s="86"/>
      <c r="I80" s="86"/>
      <c r="J80" s="86"/>
      <c r="K80" s="86"/>
      <c r="L80" s="86"/>
      <c r="M80" s="86"/>
      <c r="N80" s="86"/>
      <c r="O80" s="86"/>
      <c r="P80" s="86"/>
      <c r="Q80" s="86"/>
      <c r="R80" s="86"/>
      <c r="S80" s="86"/>
      <c r="T80" s="86"/>
      <c r="U80" s="86"/>
      <c r="V80" s="86"/>
      <c r="W80" s="86"/>
      <c r="X80" s="86"/>
    </row>
    <row r="81" spans="1:24" ht="14.25" customHeight="1" x14ac:dyDescent="0.35">
      <c r="A81" s="2"/>
      <c r="B81" s="86"/>
      <c r="C81" s="86"/>
      <c r="D81" s="86"/>
      <c r="E81" s="86"/>
      <c r="F81" s="86"/>
      <c r="G81" s="86"/>
      <c r="H81" s="86"/>
      <c r="I81" s="86"/>
      <c r="J81" s="86"/>
      <c r="K81" s="86"/>
      <c r="L81" s="86"/>
      <c r="M81" s="86"/>
      <c r="N81" s="86"/>
      <c r="O81" s="86"/>
      <c r="P81" s="86"/>
      <c r="Q81" s="86"/>
      <c r="R81" s="86"/>
      <c r="S81" s="86"/>
      <c r="T81" s="86"/>
      <c r="U81" s="86"/>
      <c r="V81" s="86"/>
      <c r="W81" s="86"/>
      <c r="X81" s="86"/>
    </row>
    <row r="82" spans="1:24" ht="14.25" customHeight="1" x14ac:dyDescent="0.35">
      <c r="A82" s="2"/>
      <c r="B82" s="86"/>
      <c r="C82" s="86"/>
      <c r="D82" s="86"/>
      <c r="E82" s="86"/>
      <c r="F82" s="86"/>
      <c r="G82" s="86"/>
      <c r="H82" s="86"/>
      <c r="I82" s="86"/>
      <c r="J82" s="86"/>
      <c r="K82" s="86"/>
      <c r="L82" s="86"/>
      <c r="M82" s="86"/>
      <c r="N82" s="86"/>
      <c r="O82" s="86"/>
      <c r="P82" s="86"/>
      <c r="Q82" s="86"/>
      <c r="R82" s="86"/>
      <c r="S82" s="86"/>
      <c r="T82" s="86"/>
      <c r="U82" s="86"/>
      <c r="V82" s="86"/>
      <c r="W82" s="86"/>
      <c r="X82" s="86"/>
    </row>
    <row r="83" spans="1:24" ht="14.25" customHeight="1" x14ac:dyDescent="0.35">
      <c r="A83" s="2"/>
      <c r="B83" s="86"/>
      <c r="C83" s="86"/>
      <c r="D83" s="86"/>
      <c r="E83" s="86"/>
      <c r="F83" s="86"/>
      <c r="G83" s="86"/>
      <c r="H83" s="86"/>
      <c r="I83" s="86"/>
      <c r="J83" s="86"/>
      <c r="K83" s="86"/>
      <c r="L83" s="86"/>
      <c r="M83" s="86"/>
      <c r="N83" s="86"/>
      <c r="O83" s="86"/>
      <c r="P83" s="86"/>
      <c r="Q83" s="86"/>
      <c r="R83" s="86"/>
      <c r="S83" s="86"/>
      <c r="T83" s="86"/>
      <c r="U83" s="86"/>
      <c r="V83" s="86"/>
      <c r="W83" s="86"/>
      <c r="X83" s="86"/>
    </row>
    <row r="84" spans="1:24" ht="14.25" customHeight="1" x14ac:dyDescent="0.35">
      <c r="A84" s="2"/>
      <c r="B84" s="86"/>
      <c r="C84" s="86"/>
      <c r="D84" s="86"/>
      <c r="E84" s="86"/>
      <c r="F84" s="86"/>
      <c r="G84" s="86"/>
      <c r="H84" s="86"/>
      <c r="I84" s="86"/>
      <c r="J84" s="86"/>
      <c r="K84" s="86"/>
      <c r="L84" s="86"/>
      <c r="M84" s="86"/>
      <c r="N84" s="86"/>
      <c r="O84" s="86"/>
      <c r="P84" s="86"/>
      <c r="Q84" s="86"/>
      <c r="R84" s="86"/>
      <c r="S84" s="86"/>
      <c r="T84" s="86"/>
      <c r="U84" s="86"/>
      <c r="V84" s="86"/>
      <c r="W84" s="86"/>
      <c r="X84" s="86"/>
    </row>
    <row r="85" spans="1:24" ht="14.25" customHeight="1" x14ac:dyDescent="0.35">
      <c r="A85" s="2"/>
      <c r="B85" s="86"/>
      <c r="C85" s="86"/>
      <c r="D85" s="86"/>
      <c r="E85" s="86"/>
      <c r="F85" s="86"/>
      <c r="G85" s="86"/>
      <c r="H85" s="86"/>
      <c r="I85" s="86"/>
      <c r="J85" s="86"/>
      <c r="K85" s="86"/>
      <c r="L85" s="86"/>
      <c r="M85" s="86"/>
      <c r="N85" s="86"/>
      <c r="O85" s="86"/>
      <c r="P85" s="86"/>
      <c r="Q85" s="86"/>
      <c r="R85" s="86"/>
      <c r="S85" s="86"/>
      <c r="T85" s="86"/>
      <c r="U85" s="86"/>
      <c r="V85" s="86"/>
      <c r="W85" s="86"/>
      <c r="X85" s="86"/>
    </row>
    <row r="86" spans="1:24" ht="14.25" customHeight="1" x14ac:dyDescent="0.35">
      <c r="A86" s="2"/>
      <c r="B86" s="86"/>
      <c r="C86" s="86"/>
      <c r="D86" s="86"/>
      <c r="E86" s="86"/>
      <c r="F86" s="86"/>
      <c r="G86" s="86"/>
      <c r="H86" s="86"/>
      <c r="I86" s="86"/>
      <c r="J86" s="86"/>
      <c r="K86" s="86"/>
      <c r="L86" s="86"/>
      <c r="M86" s="86"/>
      <c r="N86" s="86"/>
      <c r="O86" s="86"/>
      <c r="P86" s="86"/>
      <c r="Q86" s="86"/>
      <c r="R86" s="86"/>
      <c r="S86" s="86"/>
      <c r="T86" s="86"/>
      <c r="U86" s="86"/>
      <c r="V86" s="86"/>
      <c r="W86" s="86"/>
      <c r="X86" s="86"/>
    </row>
    <row r="87" spans="1:24" ht="14.25" customHeight="1" x14ac:dyDescent="0.35">
      <c r="A87" s="2"/>
      <c r="B87" s="86"/>
      <c r="C87" s="86"/>
      <c r="D87" s="86"/>
      <c r="E87" s="86"/>
      <c r="F87" s="86"/>
      <c r="G87" s="86"/>
      <c r="H87" s="86"/>
      <c r="I87" s="86"/>
      <c r="J87" s="86"/>
      <c r="K87" s="86"/>
      <c r="L87" s="86"/>
      <c r="M87" s="86"/>
      <c r="N87" s="86"/>
      <c r="O87" s="86"/>
      <c r="P87" s="86"/>
      <c r="Q87" s="86"/>
      <c r="R87" s="86"/>
      <c r="S87" s="86"/>
      <c r="T87" s="86"/>
      <c r="U87" s="86"/>
      <c r="V87" s="86"/>
      <c r="W87" s="86"/>
      <c r="X87" s="86"/>
    </row>
    <row r="88" spans="1:24" ht="14.25" customHeight="1" x14ac:dyDescent="0.35">
      <c r="A88" s="2"/>
      <c r="B88" s="86"/>
      <c r="C88" s="86"/>
      <c r="D88" s="86"/>
      <c r="E88" s="86"/>
      <c r="F88" s="86"/>
      <c r="G88" s="86"/>
      <c r="H88" s="86"/>
      <c r="I88" s="86"/>
      <c r="J88" s="86"/>
      <c r="K88" s="86"/>
      <c r="L88" s="86"/>
      <c r="M88" s="86"/>
      <c r="N88" s="86"/>
      <c r="O88" s="86"/>
      <c r="P88" s="86"/>
      <c r="Q88" s="86"/>
      <c r="R88" s="86"/>
      <c r="S88" s="86"/>
      <c r="T88" s="86"/>
      <c r="U88" s="86"/>
      <c r="V88" s="86"/>
      <c r="W88" s="86"/>
      <c r="X88" s="86"/>
    </row>
    <row r="89" spans="1:24" ht="14.25" customHeight="1" x14ac:dyDescent="0.35">
      <c r="A89" s="2"/>
      <c r="B89" s="86"/>
      <c r="C89" s="86"/>
      <c r="D89" s="86"/>
      <c r="E89" s="86"/>
      <c r="F89" s="86"/>
      <c r="G89" s="86"/>
      <c r="H89" s="86"/>
      <c r="I89" s="86"/>
      <c r="J89" s="86"/>
      <c r="K89" s="86"/>
      <c r="L89" s="86"/>
      <c r="M89" s="86"/>
      <c r="N89" s="86"/>
      <c r="O89" s="86"/>
      <c r="P89" s="86"/>
      <c r="Q89" s="86"/>
      <c r="R89" s="86"/>
      <c r="S89" s="86"/>
      <c r="T89" s="86"/>
      <c r="U89" s="86"/>
      <c r="V89" s="86"/>
      <c r="W89" s="86"/>
      <c r="X89" s="86"/>
    </row>
    <row r="90" spans="1:24" ht="14.25" customHeight="1" x14ac:dyDescent="0.35">
      <c r="A90" s="2"/>
      <c r="B90" s="86"/>
      <c r="C90" s="86"/>
      <c r="D90" s="86"/>
      <c r="E90" s="86"/>
      <c r="F90" s="86"/>
      <c r="G90" s="86"/>
      <c r="H90" s="86"/>
      <c r="I90" s="86"/>
      <c r="J90" s="86"/>
      <c r="K90" s="86"/>
      <c r="L90" s="86"/>
      <c r="M90" s="86"/>
      <c r="N90" s="86"/>
      <c r="O90" s="86"/>
      <c r="P90" s="86"/>
      <c r="Q90" s="86"/>
      <c r="R90" s="86"/>
      <c r="S90" s="86"/>
      <c r="T90" s="86"/>
      <c r="U90" s="86"/>
      <c r="V90" s="86"/>
      <c r="W90" s="86"/>
      <c r="X90" s="86"/>
    </row>
    <row r="91" spans="1:24" ht="14.25" customHeight="1" x14ac:dyDescent="0.35">
      <c r="A91" s="2"/>
      <c r="B91" s="86"/>
      <c r="C91" s="86"/>
      <c r="D91" s="86"/>
      <c r="E91" s="86"/>
      <c r="F91" s="86"/>
      <c r="G91" s="86"/>
      <c r="H91" s="86"/>
      <c r="I91" s="86"/>
      <c r="J91" s="86"/>
      <c r="K91" s="86"/>
      <c r="L91" s="86"/>
      <c r="M91" s="86"/>
      <c r="N91" s="86"/>
      <c r="O91" s="86"/>
      <c r="P91" s="86"/>
      <c r="Q91" s="86"/>
      <c r="R91" s="86"/>
      <c r="S91" s="86"/>
      <c r="T91" s="86"/>
      <c r="U91" s="86"/>
      <c r="V91" s="86"/>
      <c r="W91" s="86"/>
      <c r="X91" s="86"/>
    </row>
    <row r="92" spans="1:24" ht="14.25" customHeight="1" x14ac:dyDescent="0.35">
      <c r="A92" s="2"/>
      <c r="B92" s="86"/>
      <c r="C92" s="86"/>
      <c r="D92" s="86"/>
      <c r="E92" s="86"/>
      <c r="F92" s="86"/>
      <c r="G92" s="86"/>
      <c r="H92" s="86"/>
      <c r="I92" s="86"/>
      <c r="J92" s="86"/>
      <c r="K92" s="86"/>
      <c r="L92" s="86"/>
      <c r="M92" s="86"/>
      <c r="N92" s="86"/>
      <c r="O92" s="86"/>
      <c r="P92" s="86"/>
      <c r="Q92" s="86"/>
      <c r="R92" s="86"/>
      <c r="S92" s="86"/>
      <c r="T92" s="86"/>
      <c r="U92" s="86"/>
      <c r="V92" s="86"/>
      <c r="W92" s="86"/>
      <c r="X92" s="86"/>
    </row>
    <row r="93" spans="1:24" ht="14.25" customHeight="1" x14ac:dyDescent="0.35">
      <c r="A93" s="2"/>
      <c r="B93" s="86"/>
      <c r="C93" s="86"/>
      <c r="D93" s="86"/>
      <c r="E93" s="86"/>
      <c r="F93" s="86"/>
      <c r="G93" s="86"/>
      <c r="H93" s="86"/>
      <c r="I93" s="86"/>
      <c r="J93" s="86"/>
      <c r="K93" s="86"/>
      <c r="L93" s="86"/>
      <c r="M93" s="86"/>
      <c r="N93" s="86"/>
      <c r="O93" s="86"/>
      <c r="P93" s="86"/>
      <c r="Q93" s="86"/>
      <c r="R93" s="86"/>
      <c r="S93" s="86"/>
      <c r="T93" s="86"/>
      <c r="U93" s="86"/>
      <c r="V93" s="86"/>
      <c r="W93" s="86"/>
      <c r="X93" s="86"/>
    </row>
    <row r="94" spans="1:24" ht="14.25" customHeight="1" x14ac:dyDescent="0.35">
      <c r="A94" s="2"/>
      <c r="B94" s="86"/>
      <c r="C94" s="86"/>
      <c r="D94" s="86"/>
      <c r="E94" s="86"/>
      <c r="F94" s="86"/>
      <c r="G94" s="86"/>
      <c r="H94" s="86"/>
      <c r="I94" s="86"/>
      <c r="J94" s="86"/>
      <c r="K94" s="86"/>
      <c r="L94" s="86"/>
      <c r="M94" s="86"/>
      <c r="N94" s="86"/>
      <c r="O94" s="86"/>
      <c r="P94" s="86"/>
      <c r="Q94" s="86"/>
      <c r="R94" s="86"/>
      <c r="S94" s="86"/>
      <c r="T94" s="86"/>
      <c r="U94" s="86"/>
      <c r="V94" s="86"/>
      <c r="W94" s="86"/>
      <c r="X94" s="86"/>
    </row>
    <row r="95" spans="1:24" ht="14.25" customHeight="1" x14ac:dyDescent="0.35">
      <c r="A95" s="2"/>
      <c r="B95" s="86"/>
      <c r="C95" s="86"/>
      <c r="D95" s="86"/>
      <c r="E95" s="86"/>
      <c r="F95" s="86"/>
      <c r="G95" s="86"/>
      <c r="H95" s="86"/>
      <c r="I95" s="86"/>
      <c r="J95" s="86"/>
      <c r="K95" s="86"/>
      <c r="L95" s="86"/>
      <c r="M95" s="86"/>
      <c r="N95" s="86"/>
      <c r="O95" s="86"/>
      <c r="P95" s="86"/>
      <c r="Q95" s="86"/>
      <c r="R95" s="86"/>
      <c r="S95" s="86"/>
      <c r="T95" s="86"/>
      <c r="U95" s="86"/>
      <c r="V95" s="86"/>
      <c r="W95" s="86"/>
      <c r="X95" s="86"/>
    </row>
    <row r="96" spans="1:24" ht="14.25" customHeight="1" x14ac:dyDescent="0.35">
      <c r="A96" s="2"/>
      <c r="B96" s="86"/>
      <c r="C96" s="86"/>
      <c r="D96" s="86"/>
      <c r="E96" s="86"/>
      <c r="F96" s="86"/>
      <c r="G96" s="86"/>
      <c r="H96" s="86"/>
      <c r="I96" s="86"/>
      <c r="J96" s="86"/>
      <c r="K96" s="86"/>
      <c r="L96" s="86"/>
      <c r="M96" s="86"/>
      <c r="N96" s="86"/>
      <c r="O96" s="86"/>
      <c r="P96" s="86"/>
      <c r="Q96" s="86"/>
      <c r="R96" s="86"/>
      <c r="S96" s="86"/>
      <c r="T96" s="86"/>
      <c r="U96" s="86"/>
      <c r="V96" s="86"/>
      <c r="W96" s="86"/>
      <c r="X96" s="86"/>
    </row>
    <row r="97" spans="1:24" ht="14.25" customHeight="1" x14ac:dyDescent="0.35">
      <c r="A97" s="2"/>
      <c r="B97" s="86"/>
      <c r="C97" s="86"/>
      <c r="D97" s="86"/>
      <c r="E97" s="86"/>
      <c r="F97" s="86"/>
      <c r="G97" s="86"/>
      <c r="H97" s="86"/>
      <c r="I97" s="86"/>
      <c r="J97" s="86"/>
      <c r="K97" s="86"/>
      <c r="L97" s="86"/>
      <c r="M97" s="86"/>
      <c r="N97" s="86"/>
      <c r="O97" s="86"/>
      <c r="P97" s="86"/>
      <c r="Q97" s="86"/>
      <c r="R97" s="86"/>
      <c r="S97" s="86"/>
      <c r="T97" s="86"/>
      <c r="U97" s="86"/>
      <c r="V97" s="86"/>
      <c r="W97" s="86"/>
      <c r="X97" s="86"/>
    </row>
    <row r="98" spans="1:24" ht="14.25" customHeight="1" x14ac:dyDescent="0.35">
      <c r="A98" s="2"/>
      <c r="B98" s="86"/>
      <c r="C98" s="86"/>
      <c r="D98" s="86"/>
      <c r="E98" s="86"/>
      <c r="F98" s="86"/>
      <c r="G98" s="86"/>
      <c r="H98" s="86"/>
      <c r="I98" s="86"/>
      <c r="J98" s="86"/>
      <c r="K98" s="86"/>
      <c r="L98" s="86"/>
      <c r="M98" s="86"/>
      <c r="N98" s="86"/>
      <c r="O98" s="86"/>
      <c r="P98" s="86"/>
      <c r="Q98" s="86"/>
      <c r="R98" s="86"/>
      <c r="S98" s="86"/>
      <c r="T98" s="86"/>
      <c r="U98" s="86"/>
      <c r="V98" s="86"/>
      <c r="W98" s="86"/>
      <c r="X98" s="86"/>
    </row>
    <row r="99" spans="1:24" ht="14.25" customHeight="1" x14ac:dyDescent="0.35">
      <c r="A99" s="2"/>
      <c r="B99" s="86"/>
      <c r="C99" s="86"/>
      <c r="D99" s="86"/>
      <c r="E99" s="86"/>
      <c r="F99" s="86"/>
      <c r="G99" s="86"/>
      <c r="H99" s="86"/>
      <c r="I99" s="86"/>
      <c r="J99" s="86"/>
      <c r="K99" s="86"/>
      <c r="L99" s="86"/>
      <c r="M99" s="86"/>
      <c r="N99" s="86"/>
      <c r="O99" s="86"/>
      <c r="P99" s="86"/>
      <c r="Q99" s="86"/>
      <c r="R99" s="86"/>
      <c r="S99" s="86"/>
      <c r="T99" s="86"/>
      <c r="U99" s="86"/>
      <c r="V99" s="86"/>
      <c r="W99" s="86"/>
      <c r="X99" s="86"/>
    </row>
    <row r="100" spans="1:24" ht="14.25" customHeight="1" x14ac:dyDescent="0.35">
      <c r="A100" s="2"/>
      <c r="B100" s="86"/>
      <c r="C100" s="86"/>
      <c r="D100" s="86"/>
      <c r="E100" s="86"/>
      <c r="F100" s="86"/>
      <c r="G100" s="86"/>
      <c r="H100" s="86"/>
      <c r="I100" s="86"/>
      <c r="J100" s="86"/>
      <c r="K100" s="86"/>
      <c r="L100" s="86"/>
      <c r="M100" s="86"/>
      <c r="N100" s="86"/>
      <c r="O100" s="86"/>
      <c r="P100" s="86"/>
      <c r="Q100" s="86"/>
      <c r="R100" s="86"/>
      <c r="S100" s="86"/>
      <c r="T100" s="86"/>
      <c r="U100" s="86"/>
      <c r="V100" s="86"/>
      <c r="W100" s="86"/>
      <c r="X100" s="86"/>
    </row>
    <row r="101" spans="1:24" ht="14.25" customHeight="1" x14ac:dyDescent="0.35">
      <c r="A101" s="2"/>
      <c r="B101" s="86"/>
      <c r="C101" s="86"/>
      <c r="D101" s="86"/>
      <c r="E101" s="86"/>
      <c r="F101" s="86"/>
      <c r="G101" s="86"/>
      <c r="H101" s="86"/>
      <c r="I101" s="86"/>
      <c r="J101" s="86"/>
      <c r="K101" s="86"/>
      <c r="L101" s="86"/>
      <c r="M101" s="86"/>
      <c r="N101" s="86"/>
      <c r="O101" s="86"/>
      <c r="P101" s="86"/>
      <c r="Q101" s="86"/>
      <c r="R101" s="86"/>
      <c r="S101" s="86"/>
      <c r="T101" s="86"/>
      <c r="U101" s="86"/>
      <c r="V101" s="86"/>
      <c r="W101" s="86"/>
      <c r="X101" s="86"/>
    </row>
    <row r="102" spans="1:24" ht="14.25" customHeight="1" x14ac:dyDescent="0.35">
      <c r="A102" s="2"/>
      <c r="B102" s="86"/>
      <c r="C102" s="86"/>
      <c r="D102" s="86"/>
      <c r="E102" s="86"/>
      <c r="F102" s="86"/>
      <c r="G102" s="86"/>
      <c r="H102" s="86"/>
      <c r="I102" s="86"/>
      <c r="J102" s="86"/>
      <c r="K102" s="86"/>
      <c r="L102" s="86"/>
      <c r="M102" s="86"/>
      <c r="N102" s="86"/>
      <c r="O102" s="86"/>
      <c r="P102" s="86"/>
      <c r="Q102" s="86"/>
      <c r="R102" s="86"/>
      <c r="S102" s="86"/>
      <c r="T102" s="86"/>
      <c r="U102" s="86"/>
      <c r="V102" s="86"/>
      <c r="W102" s="86"/>
      <c r="X102" s="86"/>
    </row>
    <row r="103" spans="1:24" ht="14.25" customHeight="1" x14ac:dyDescent="0.35">
      <c r="A103" s="2"/>
      <c r="B103" s="86"/>
      <c r="C103" s="86"/>
      <c r="D103" s="86"/>
      <c r="E103" s="86"/>
      <c r="F103" s="86"/>
      <c r="G103" s="86"/>
      <c r="H103" s="86"/>
      <c r="I103" s="86"/>
      <c r="J103" s="86"/>
      <c r="K103" s="86"/>
      <c r="L103" s="86"/>
      <c r="M103" s="86"/>
      <c r="N103" s="86"/>
      <c r="O103" s="86"/>
      <c r="P103" s="86"/>
      <c r="Q103" s="86"/>
      <c r="R103" s="86"/>
      <c r="S103" s="86"/>
      <c r="T103" s="86"/>
      <c r="U103" s="86"/>
      <c r="V103" s="86"/>
      <c r="W103" s="86"/>
      <c r="X103" s="86"/>
    </row>
    <row r="104" spans="1:24" ht="14.25" customHeight="1" x14ac:dyDescent="0.35">
      <c r="A104" s="2"/>
      <c r="B104" s="86"/>
      <c r="C104" s="86"/>
      <c r="D104" s="86"/>
      <c r="E104" s="86"/>
      <c r="F104" s="86"/>
      <c r="G104" s="86"/>
      <c r="H104" s="86"/>
      <c r="I104" s="86"/>
      <c r="J104" s="86"/>
      <c r="K104" s="86"/>
      <c r="L104" s="86"/>
      <c r="M104" s="86"/>
      <c r="N104" s="86"/>
      <c r="O104" s="86"/>
      <c r="P104" s="86"/>
      <c r="Q104" s="86"/>
      <c r="R104" s="86"/>
      <c r="S104" s="86"/>
      <c r="T104" s="86"/>
      <c r="U104" s="86"/>
      <c r="V104" s="86"/>
      <c r="W104" s="86"/>
      <c r="X104" s="86"/>
    </row>
    <row r="105" spans="1:24" ht="14.25" customHeight="1" x14ac:dyDescent="0.35">
      <c r="A105" s="2"/>
      <c r="B105" s="86"/>
      <c r="C105" s="86"/>
      <c r="D105" s="86"/>
      <c r="E105" s="86"/>
      <c r="F105" s="86"/>
      <c r="G105" s="86"/>
      <c r="H105" s="86"/>
      <c r="I105" s="86"/>
      <c r="J105" s="86"/>
      <c r="K105" s="86"/>
      <c r="L105" s="86"/>
      <c r="M105" s="86"/>
      <c r="N105" s="86"/>
      <c r="O105" s="86"/>
      <c r="P105" s="86"/>
      <c r="Q105" s="86"/>
      <c r="R105" s="86"/>
      <c r="S105" s="86"/>
      <c r="T105" s="86"/>
      <c r="U105" s="86"/>
      <c r="V105" s="86"/>
      <c r="W105" s="86"/>
      <c r="X105" s="86"/>
    </row>
    <row r="106" spans="1:24" ht="14.25" customHeight="1" x14ac:dyDescent="0.35">
      <c r="A106" s="2"/>
      <c r="B106" s="86"/>
      <c r="C106" s="86"/>
      <c r="D106" s="86"/>
      <c r="E106" s="86"/>
      <c r="F106" s="86"/>
      <c r="G106" s="86"/>
      <c r="H106" s="86"/>
      <c r="I106" s="86"/>
      <c r="J106" s="86"/>
      <c r="K106" s="86"/>
      <c r="L106" s="86"/>
      <c r="M106" s="86"/>
      <c r="N106" s="86"/>
      <c r="O106" s="86"/>
      <c r="P106" s="86"/>
      <c r="Q106" s="86"/>
      <c r="R106" s="86"/>
      <c r="S106" s="86"/>
      <c r="T106" s="86"/>
      <c r="U106" s="86"/>
      <c r="V106" s="86"/>
      <c r="W106" s="86"/>
      <c r="X106" s="86"/>
    </row>
    <row r="107" spans="1:24" ht="14.25" customHeight="1" x14ac:dyDescent="0.35">
      <c r="A107" s="2"/>
      <c r="B107" s="86"/>
      <c r="C107" s="86"/>
      <c r="D107" s="86"/>
      <c r="E107" s="86"/>
      <c r="F107" s="86"/>
      <c r="G107" s="86"/>
      <c r="H107" s="86"/>
      <c r="I107" s="86"/>
      <c r="J107" s="86"/>
      <c r="K107" s="86"/>
      <c r="L107" s="86"/>
      <c r="M107" s="86"/>
      <c r="N107" s="86"/>
      <c r="O107" s="86"/>
      <c r="P107" s="86"/>
      <c r="Q107" s="86"/>
      <c r="R107" s="86"/>
      <c r="S107" s="86"/>
      <c r="T107" s="86"/>
      <c r="U107" s="86"/>
      <c r="V107" s="86"/>
      <c r="W107" s="86"/>
      <c r="X107" s="86"/>
    </row>
    <row r="108" spans="1:24" ht="14.25" customHeight="1" x14ac:dyDescent="0.35">
      <c r="A108" s="2"/>
      <c r="B108" s="86"/>
      <c r="C108" s="86"/>
      <c r="D108" s="86"/>
      <c r="E108" s="86"/>
      <c r="F108" s="86"/>
      <c r="G108" s="86"/>
      <c r="H108" s="86"/>
      <c r="I108" s="86"/>
      <c r="J108" s="86"/>
      <c r="K108" s="86"/>
      <c r="L108" s="86"/>
      <c r="M108" s="86"/>
      <c r="N108" s="86"/>
      <c r="O108" s="86"/>
      <c r="P108" s="86"/>
      <c r="Q108" s="86"/>
      <c r="R108" s="86"/>
      <c r="S108" s="86"/>
      <c r="T108" s="86"/>
      <c r="U108" s="86"/>
      <c r="V108" s="86"/>
      <c r="W108" s="86"/>
      <c r="X108" s="86"/>
    </row>
    <row r="109" spans="1:24" ht="14.25" customHeight="1" x14ac:dyDescent="0.35">
      <c r="A109" s="2"/>
      <c r="B109" s="86"/>
      <c r="C109" s="86"/>
      <c r="D109" s="86"/>
      <c r="E109" s="86"/>
      <c r="F109" s="86"/>
      <c r="G109" s="86"/>
      <c r="H109" s="86"/>
      <c r="I109" s="86"/>
      <c r="J109" s="86"/>
      <c r="K109" s="86"/>
      <c r="L109" s="86"/>
      <c r="M109" s="86"/>
      <c r="N109" s="86"/>
      <c r="O109" s="86"/>
      <c r="P109" s="86"/>
      <c r="Q109" s="86"/>
      <c r="R109" s="86"/>
      <c r="S109" s="86"/>
      <c r="T109" s="86"/>
      <c r="U109" s="86"/>
      <c r="V109" s="86"/>
      <c r="W109" s="86"/>
      <c r="X109" s="86"/>
    </row>
    <row r="110" spans="1:24" ht="14.25" customHeight="1" x14ac:dyDescent="0.35">
      <c r="A110" s="2"/>
      <c r="B110" s="86"/>
      <c r="C110" s="86"/>
      <c r="D110" s="86"/>
      <c r="E110" s="86"/>
      <c r="F110" s="86"/>
      <c r="G110" s="86"/>
      <c r="H110" s="86"/>
      <c r="I110" s="86"/>
      <c r="J110" s="86"/>
      <c r="K110" s="86"/>
      <c r="L110" s="86"/>
      <c r="M110" s="86"/>
      <c r="N110" s="86"/>
      <c r="O110" s="86"/>
      <c r="P110" s="86"/>
      <c r="Q110" s="86"/>
      <c r="R110" s="86"/>
      <c r="S110" s="86"/>
      <c r="T110" s="86"/>
      <c r="U110" s="86"/>
      <c r="V110" s="86"/>
      <c r="W110" s="86"/>
      <c r="X110" s="86"/>
    </row>
    <row r="111" spans="1:24" ht="14.25" customHeight="1" x14ac:dyDescent="0.35">
      <c r="A111" s="2"/>
      <c r="B111" s="86"/>
      <c r="C111" s="86"/>
      <c r="D111" s="86"/>
      <c r="E111" s="86"/>
      <c r="F111" s="86"/>
      <c r="G111" s="86"/>
      <c r="H111" s="86"/>
      <c r="I111" s="86"/>
      <c r="J111" s="86"/>
      <c r="K111" s="86"/>
      <c r="L111" s="86"/>
      <c r="M111" s="86"/>
      <c r="N111" s="86"/>
      <c r="O111" s="86"/>
      <c r="P111" s="86"/>
      <c r="Q111" s="86"/>
      <c r="R111" s="86"/>
      <c r="S111" s="86"/>
      <c r="T111" s="86"/>
      <c r="U111" s="86"/>
      <c r="V111" s="86"/>
      <c r="W111" s="86"/>
      <c r="X111" s="86"/>
    </row>
    <row r="112" spans="1:24" ht="14.25" customHeight="1" x14ac:dyDescent="0.35">
      <c r="A112" s="2"/>
      <c r="B112" s="86"/>
      <c r="C112" s="86"/>
      <c r="D112" s="86"/>
      <c r="E112" s="86"/>
      <c r="F112" s="86"/>
      <c r="G112" s="86"/>
      <c r="H112" s="86"/>
      <c r="I112" s="86"/>
      <c r="J112" s="86"/>
      <c r="K112" s="86"/>
      <c r="L112" s="86"/>
      <c r="M112" s="86"/>
      <c r="N112" s="86"/>
      <c r="O112" s="86"/>
      <c r="P112" s="86"/>
      <c r="Q112" s="86"/>
      <c r="R112" s="86"/>
      <c r="S112" s="86"/>
      <c r="T112" s="86"/>
      <c r="U112" s="86"/>
      <c r="V112" s="86"/>
      <c r="W112" s="86"/>
      <c r="X112" s="86"/>
    </row>
    <row r="113" spans="1:24" ht="14.25" customHeight="1" x14ac:dyDescent="0.35">
      <c r="A113" s="2"/>
      <c r="B113" s="86"/>
      <c r="C113" s="86"/>
      <c r="D113" s="86"/>
      <c r="E113" s="86"/>
      <c r="F113" s="86"/>
      <c r="G113" s="86"/>
      <c r="H113" s="86"/>
      <c r="I113" s="86"/>
      <c r="J113" s="86"/>
      <c r="K113" s="86"/>
      <c r="L113" s="86"/>
      <c r="M113" s="86"/>
      <c r="N113" s="86"/>
      <c r="O113" s="86"/>
      <c r="P113" s="86"/>
      <c r="Q113" s="86"/>
      <c r="R113" s="86"/>
      <c r="S113" s="86"/>
      <c r="T113" s="86"/>
      <c r="U113" s="86"/>
      <c r="V113" s="86"/>
      <c r="W113" s="86"/>
      <c r="X113" s="86"/>
    </row>
    <row r="114" spans="1:24" ht="14.25" customHeight="1" x14ac:dyDescent="0.35">
      <c r="A114" s="2"/>
      <c r="B114" s="86"/>
      <c r="C114" s="86"/>
      <c r="D114" s="86"/>
      <c r="E114" s="86"/>
      <c r="F114" s="86"/>
      <c r="G114" s="86"/>
      <c r="H114" s="86"/>
      <c r="I114" s="86"/>
      <c r="J114" s="86"/>
      <c r="K114" s="86"/>
      <c r="L114" s="86"/>
      <c r="M114" s="86"/>
      <c r="N114" s="86"/>
      <c r="O114" s="86"/>
      <c r="P114" s="86"/>
      <c r="Q114" s="86"/>
      <c r="R114" s="86"/>
      <c r="S114" s="86"/>
      <c r="T114" s="86"/>
      <c r="U114" s="86"/>
      <c r="V114" s="86"/>
      <c r="W114" s="86"/>
      <c r="X114" s="86"/>
    </row>
    <row r="115" spans="1:24" ht="14.25" customHeight="1" x14ac:dyDescent="0.35">
      <c r="C115" s="38"/>
      <c r="D115" s="38"/>
      <c r="E115" s="38"/>
      <c r="F115" s="38"/>
      <c r="G115" s="38"/>
      <c r="H115" s="38"/>
      <c r="I115" s="38"/>
      <c r="J115" s="38"/>
      <c r="K115" s="38"/>
      <c r="L115" s="38"/>
      <c r="M115" s="38"/>
      <c r="N115" s="38"/>
      <c r="O115" s="38"/>
      <c r="P115" s="38"/>
      <c r="Q115" s="38"/>
      <c r="R115" s="38"/>
      <c r="S115" s="38"/>
      <c r="T115" s="38"/>
      <c r="U115" s="38"/>
      <c r="V115" s="38"/>
      <c r="W115" s="38"/>
      <c r="X115" s="38"/>
    </row>
    <row r="116" spans="1:24" ht="14.25" customHeight="1" x14ac:dyDescent="0.35">
      <c r="C116" s="38"/>
      <c r="D116" s="38"/>
      <c r="E116" s="38"/>
      <c r="F116" s="38"/>
      <c r="G116" s="38"/>
      <c r="H116" s="38"/>
      <c r="I116" s="38"/>
      <c r="J116" s="38"/>
      <c r="K116" s="38"/>
      <c r="L116" s="38"/>
      <c r="M116" s="38"/>
      <c r="N116" s="38"/>
      <c r="O116" s="38"/>
      <c r="P116" s="38"/>
      <c r="Q116" s="38"/>
      <c r="R116" s="38"/>
      <c r="S116" s="38"/>
      <c r="T116" s="38"/>
      <c r="U116" s="38"/>
      <c r="V116" s="38"/>
      <c r="W116" s="38"/>
      <c r="X116" s="38"/>
    </row>
    <row r="117" spans="1:24" ht="14.25" customHeight="1" x14ac:dyDescent="0.35">
      <c r="C117" s="38"/>
      <c r="D117" s="38"/>
      <c r="E117" s="38"/>
      <c r="F117" s="38"/>
      <c r="G117" s="38"/>
      <c r="H117" s="38"/>
      <c r="I117" s="38"/>
      <c r="J117" s="38"/>
      <c r="K117" s="38"/>
      <c r="L117" s="38"/>
      <c r="M117" s="38"/>
      <c r="N117" s="38"/>
      <c r="O117" s="38"/>
      <c r="P117" s="38"/>
      <c r="Q117" s="38"/>
      <c r="R117" s="38"/>
      <c r="S117" s="38"/>
      <c r="T117" s="38"/>
      <c r="U117" s="38"/>
      <c r="V117" s="38"/>
      <c r="W117" s="38"/>
      <c r="X117" s="38"/>
    </row>
    <row r="118" spans="1:24" ht="14.25" customHeight="1" x14ac:dyDescent="0.35">
      <c r="C118" s="38"/>
      <c r="D118" s="38"/>
      <c r="E118" s="38"/>
      <c r="F118" s="38"/>
      <c r="G118" s="38"/>
      <c r="H118" s="38"/>
      <c r="I118" s="38"/>
      <c r="J118" s="38"/>
      <c r="K118" s="38"/>
      <c r="L118" s="38"/>
      <c r="M118" s="38"/>
      <c r="N118" s="38"/>
      <c r="O118" s="38"/>
      <c r="P118" s="38"/>
      <c r="Q118" s="38"/>
      <c r="R118" s="38"/>
      <c r="S118" s="38"/>
      <c r="T118" s="38"/>
      <c r="U118" s="38"/>
      <c r="V118" s="38"/>
      <c r="W118" s="38"/>
      <c r="X118" s="38"/>
    </row>
    <row r="119" spans="1:24" ht="14.25" customHeight="1" x14ac:dyDescent="0.35">
      <c r="C119" s="38"/>
      <c r="D119" s="38"/>
      <c r="E119" s="38"/>
      <c r="F119" s="38"/>
      <c r="G119" s="38"/>
      <c r="H119" s="38"/>
      <c r="I119" s="38"/>
      <c r="J119" s="38"/>
      <c r="K119" s="38"/>
      <c r="L119" s="38"/>
      <c r="M119" s="38"/>
      <c r="N119" s="38"/>
      <c r="O119" s="38"/>
      <c r="P119" s="38"/>
      <c r="Q119" s="38"/>
      <c r="R119" s="38"/>
      <c r="S119" s="38"/>
      <c r="T119" s="38"/>
      <c r="U119" s="38"/>
      <c r="V119" s="38"/>
      <c r="W119" s="38"/>
      <c r="X119" s="38"/>
    </row>
    <row r="120" spans="1:24" ht="14.25" customHeight="1" x14ac:dyDescent="0.35">
      <c r="C120" s="38"/>
      <c r="D120" s="38"/>
      <c r="E120" s="38"/>
      <c r="F120" s="38"/>
      <c r="G120" s="38"/>
      <c r="H120" s="38"/>
      <c r="I120" s="38"/>
      <c r="J120" s="38"/>
      <c r="K120" s="38"/>
      <c r="L120" s="38"/>
      <c r="M120" s="38"/>
      <c r="N120" s="38"/>
      <c r="O120" s="38"/>
      <c r="P120" s="38"/>
      <c r="Q120" s="38"/>
      <c r="R120" s="38"/>
      <c r="S120" s="38"/>
      <c r="T120" s="38"/>
      <c r="U120" s="38"/>
      <c r="V120" s="38"/>
      <c r="W120" s="38"/>
      <c r="X120" s="38"/>
    </row>
    <row r="121" spans="1:24" ht="14.25" customHeight="1" x14ac:dyDescent="0.35">
      <c r="C121" s="38"/>
      <c r="D121" s="38"/>
      <c r="E121" s="38"/>
      <c r="F121" s="38"/>
      <c r="G121" s="38"/>
      <c r="H121" s="38"/>
      <c r="I121" s="38"/>
      <c r="J121" s="38"/>
      <c r="K121" s="38"/>
      <c r="L121" s="38"/>
      <c r="M121" s="38"/>
      <c r="N121" s="38"/>
      <c r="O121" s="38"/>
      <c r="P121" s="38"/>
      <c r="Q121" s="38"/>
      <c r="R121" s="38"/>
      <c r="S121" s="38"/>
      <c r="T121" s="38"/>
      <c r="U121" s="38"/>
      <c r="V121" s="38"/>
      <c r="W121" s="38"/>
      <c r="X121" s="38"/>
    </row>
    <row r="122" spans="1:24" ht="14.25" customHeight="1" x14ac:dyDescent="0.35">
      <c r="C122" s="38"/>
      <c r="D122" s="38"/>
      <c r="E122" s="38"/>
      <c r="F122" s="38"/>
      <c r="G122" s="38"/>
      <c r="H122" s="38"/>
      <c r="I122" s="38"/>
      <c r="J122" s="38"/>
      <c r="K122" s="38"/>
      <c r="L122" s="38"/>
      <c r="M122" s="38"/>
      <c r="N122" s="38"/>
      <c r="O122" s="38"/>
      <c r="P122" s="38"/>
      <c r="Q122" s="38"/>
      <c r="R122" s="38"/>
      <c r="S122" s="38"/>
      <c r="T122" s="38"/>
      <c r="U122" s="38"/>
      <c r="V122" s="38"/>
      <c r="W122" s="38"/>
      <c r="X122" s="38"/>
    </row>
    <row r="123" spans="1:24" ht="14.25" customHeight="1" x14ac:dyDescent="0.35">
      <c r="C123" s="38"/>
      <c r="D123" s="38"/>
      <c r="E123" s="38"/>
      <c r="F123" s="38"/>
      <c r="G123" s="38"/>
      <c r="H123" s="38"/>
      <c r="I123" s="38"/>
      <c r="J123" s="38"/>
      <c r="K123" s="38"/>
      <c r="L123" s="38"/>
      <c r="M123" s="38"/>
      <c r="N123" s="38"/>
      <c r="O123" s="38"/>
      <c r="P123" s="38"/>
      <c r="Q123" s="38"/>
      <c r="R123" s="38"/>
      <c r="S123" s="38"/>
      <c r="T123" s="38"/>
      <c r="U123" s="38"/>
      <c r="V123" s="38"/>
      <c r="W123" s="38"/>
      <c r="X123" s="38"/>
    </row>
    <row r="124" spans="1:24" ht="14.25" customHeight="1" x14ac:dyDescent="0.35">
      <c r="C124" s="38"/>
      <c r="D124" s="38"/>
      <c r="E124" s="38"/>
      <c r="F124" s="38"/>
      <c r="G124" s="38"/>
      <c r="H124" s="38"/>
      <c r="I124" s="38"/>
      <c r="J124" s="38"/>
      <c r="K124" s="38"/>
      <c r="L124" s="38"/>
      <c r="M124" s="38"/>
      <c r="N124" s="38"/>
      <c r="O124" s="38"/>
      <c r="P124" s="38"/>
      <c r="Q124" s="38"/>
      <c r="R124" s="38"/>
      <c r="S124" s="38"/>
      <c r="T124" s="38"/>
      <c r="U124" s="38"/>
      <c r="V124" s="38"/>
      <c r="W124" s="38"/>
      <c r="X124" s="38"/>
    </row>
    <row r="125" spans="1:24" ht="14.25" customHeight="1" x14ac:dyDescent="0.35">
      <c r="C125" s="38"/>
      <c r="D125" s="38"/>
      <c r="E125" s="38"/>
      <c r="F125" s="38"/>
      <c r="G125" s="38"/>
      <c r="H125" s="38"/>
      <c r="I125" s="38"/>
      <c r="J125" s="38"/>
      <c r="K125" s="38"/>
      <c r="L125" s="38"/>
      <c r="M125" s="38"/>
      <c r="N125" s="38"/>
      <c r="O125" s="38"/>
      <c r="P125" s="38"/>
      <c r="Q125" s="38"/>
      <c r="R125" s="38"/>
      <c r="S125" s="38"/>
      <c r="T125" s="38"/>
      <c r="U125" s="38"/>
      <c r="V125" s="38"/>
      <c r="W125" s="38"/>
      <c r="X125" s="38"/>
    </row>
    <row r="126" spans="1:24" ht="14.25" customHeight="1" x14ac:dyDescent="0.35">
      <c r="C126" s="38"/>
      <c r="D126" s="38"/>
      <c r="E126" s="38"/>
      <c r="F126" s="38"/>
      <c r="G126" s="38"/>
      <c r="H126" s="38"/>
      <c r="I126" s="38"/>
      <c r="J126" s="38"/>
      <c r="K126" s="38"/>
      <c r="L126" s="38"/>
      <c r="M126" s="38"/>
      <c r="N126" s="38"/>
      <c r="O126" s="38"/>
      <c r="P126" s="38"/>
      <c r="Q126" s="38"/>
      <c r="R126" s="38"/>
      <c r="S126" s="38"/>
      <c r="T126" s="38"/>
      <c r="U126" s="38"/>
      <c r="V126" s="38"/>
      <c r="W126" s="38"/>
      <c r="X126" s="38"/>
    </row>
    <row r="127" spans="1:24" ht="14.25" customHeight="1" x14ac:dyDescent="0.35">
      <c r="C127" s="38"/>
      <c r="D127" s="38"/>
      <c r="E127" s="38"/>
      <c r="F127" s="38"/>
      <c r="G127" s="38"/>
      <c r="H127" s="38"/>
      <c r="I127" s="38"/>
      <c r="J127" s="38"/>
      <c r="K127" s="38"/>
      <c r="L127" s="38"/>
      <c r="M127" s="38"/>
      <c r="N127" s="38"/>
      <c r="O127" s="38"/>
      <c r="P127" s="38"/>
      <c r="Q127" s="38"/>
      <c r="R127" s="38"/>
      <c r="S127" s="38"/>
      <c r="T127" s="38"/>
      <c r="U127" s="38"/>
      <c r="V127" s="38"/>
      <c r="W127" s="38"/>
      <c r="X127" s="38"/>
    </row>
    <row r="128" spans="1:24" ht="14.25" customHeight="1" x14ac:dyDescent="0.35">
      <c r="C128" s="38"/>
      <c r="D128" s="38"/>
      <c r="E128" s="38"/>
      <c r="F128" s="38"/>
      <c r="G128" s="38"/>
      <c r="H128" s="38"/>
      <c r="I128" s="38"/>
      <c r="J128" s="38"/>
      <c r="K128" s="38"/>
      <c r="L128" s="38"/>
      <c r="M128" s="38"/>
      <c r="N128" s="38"/>
      <c r="O128" s="38"/>
      <c r="P128" s="38"/>
      <c r="Q128" s="38"/>
      <c r="R128" s="38"/>
      <c r="S128" s="38"/>
      <c r="T128" s="38"/>
      <c r="U128" s="38"/>
      <c r="V128" s="38"/>
      <c r="W128" s="38"/>
      <c r="X128" s="38"/>
    </row>
    <row r="129" spans="3:24" ht="14.25" customHeight="1" x14ac:dyDescent="0.35">
      <c r="C129" s="38"/>
      <c r="D129" s="38"/>
      <c r="E129" s="38"/>
      <c r="F129" s="38"/>
      <c r="G129" s="38"/>
      <c r="H129" s="38"/>
      <c r="I129" s="38"/>
      <c r="J129" s="38"/>
      <c r="K129" s="38"/>
      <c r="L129" s="38"/>
      <c r="M129" s="38"/>
      <c r="N129" s="38"/>
      <c r="O129" s="38"/>
      <c r="P129" s="38"/>
      <c r="Q129" s="38"/>
      <c r="R129" s="38"/>
      <c r="S129" s="38"/>
      <c r="T129" s="38"/>
      <c r="U129" s="38"/>
      <c r="V129" s="38"/>
      <c r="W129" s="38"/>
      <c r="X129" s="38"/>
    </row>
    <row r="130" spans="3:24" ht="14.25" customHeight="1" x14ac:dyDescent="0.35">
      <c r="C130" s="38"/>
      <c r="D130" s="38"/>
      <c r="E130" s="38"/>
      <c r="F130" s="38"/>
      <c r="G130" s="38"/>
      <c r="H130" s="38"/>
      <c r="I130" s="38"/>
      <c r="J130" s="38"/>
      <c r="K130" s="38"/>
      <c r="L130" s="38"/>
      <c r="M130" s="38"/>
      <c r="N130" s="38"/>
      <c r="O130" s="38"/>
      <c r="P130" s="38"/>
      <c r="Q130" s="38"/>
      <c r="R130" s="38"/>
      <c r="S130" s="38"/>
      <c r="T130" s="38"/>
      <c r="U130" s="38"/>
      <c r="V130" s="38"/>
      <c r="W130" s="38"/>
      <c r="X130" s="38"/>
    </row>
    <row r="131" spans="3:24" ht="14.25" customHeight="1" x14ac:dyDescent="0.35">
      <c r="C131" s="38"/>
      <c r="D131" s="38"/>
      <c r="E131" s="38"/>
      <c r="F131" s="38"/>
      <c r="G131" s="38"/>
      <c r="H131" s="38"/>
      <c r="I131" s="38"/>
      <c r="J131" s="38"/>
      <c r="K131" s="38"/>
      <c r="L131" s="38"/>
      <c r="M131" s="38"/>
      <c r="N131" s="38"/>
      <c r="O131" s="38"/>
      <c r="P131" s="38"/>
      <c r="Q131" s="38"/>
      <c r="R131" s="38"/>
      <c r="S131" s="38"/>
      <c r="T131" s="38"/>
      <c r="U131" s="38"/>
      <c r="V131" s="38"/>
      <c r="W131" s="38"/>
      <c r="X131" s="38"/>
    </row>
    <row r="132" spans="3:24" ht="14.25" customHeight="1" x14ac:dyDescent="0.35">
      <c r="C132" s="38"/>
      <c r="D132" s="38"/>
      <c r="E132" s="38"/>
      <c r="F132" s="38"/>
      <c r="G132" s="38"/>
      <c r="H132" s="38"/>
      <c r="I132" s="38"/>
      <c r="J132" s="38"/>
      <c r="K132" s="38"/>
      <c r="L132" s="38"/>
      <c r="M132" s="38"/>
      <c r="N132" s="38"/>
      <c r="O132" s="38"/>
      <c r="P132" s="38"/>
      <c r="Q132" s="38"/>
      <c r="R132" s="38"/>
      <c r="S132" s="38"/>
      <c r="T132" s="38"/>
      <c r="U132" s="38"/>
      <c r="V132" s="38"/>
      <c r="W132" s="38"/>
      <c r="X132" s="38"/>
    </row>
  </sheetData>
  <phoneticPr fontId="9" type="noConversion"/>
  <conditionalFormatting sqref="C62:X62 Z62:AD62">
    <cfRule type="cellIs" dxfId="1" priority="5" operator="equal">
      <formula>"ERRO"</formula>
    </cfRule>
    <cfRule type="cellIs" dxfId="0" priority="6" operator="equal">
      <formula>"OK"</formula>
    </cfRule>
  </conditionalFormatting>
  <hyperlinks>
    <hyperlink ref="B3" r:id="rId1" xr:uid="{2D9CDFB3-0606-4A40-BA9C-FFBF64F39AB9}"/>
  </hyperlinks>
  <pageMargins left="0.511811024" right="0.511811024" top="0.78740157499999996" bottom="0.78740157499999996" header="0.31496062000000002" footer="0.31496062000000002"/>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32D-27D1-4E75-ABA6-D1BD5E351063}">
  <sheetPr>
    <tabColor rgb="FFFFE72D"/>
  </sheetPr>
  <dimension ref="A1:BL19"/>
  <sheetViews>
    <sheetView showGridLines="0" zoomScaleNormal="100" workbookViewId="0">
      <pane xSplit="2" ySplit="5" topLeftCell="U8" activePane="bottomRight" state="frozen"/>
      <selection pane="topRight" activeCell="AG27" sqref="AG27"/>
      <selection pane="bottomLeft" activeCell="AG27" sqref="AG27"/>
      <selection pane="bottomRight" activeCell="X10" sqref="X10"/>
    </sheetView>
  </sheetViews>
  <sheetFormatPr defaultColWidth="0" defaultRowHeight="14.25" customHeight="1" zeroHeight="1" outlineLevelRow="1" outlineLevelCol="1" x14ac:dyDescent="0.35"/>
  <cols>
    <col min="1" max="1" width="2.54296875" customWidth="1"/>
    <col min="2" max="2" width="60.54296875" style="25" customWidth="1"/>
    <col min="3" max="3" width="11.1796875" style="25" hidden="1" customWidth="1" outlineLevel="1"/>
    <col min="4" max="4" width="11.1796875" style="25" hidden="1" customWidth="1" outlineLevel="1" collapsed="1"/>
    <col min="5" max="6" width="11.1796875" style="25" hidden="1" customWidth="1" outlineLevel="1"/>
    <col min="7" max="7" width="11.1796875" style="25" hidden="1" customWidth="1" outlineLevel="1" collapsed="1"/>
    <col min="8" max="14" width="11.1796875" style="25" hidden="1" customWidth="1" outlineLevel="1"/>
    <col min="15" max="15" width="11.1796875" style="25" bestFit="1" customWidth="1" collapsed="1"/>
    <col min="16" max="18" width="11.1796875" style="25" bestFit="1" customWidth="1"/>
    <col min="19" max="24" width="11.1796875" style="25" customWidth="1"/>
    <col min="25" max="25" width="2.54296875" style="25" customWidth="1"/>
    <col min="26" max="29" width="11.1796875" style="25" customWidth="1"/>
    <col min="30" max="30" width="2.54296875" customWidth="1"/>
    <col min="31" max="33" width="10.54296875" hidden="1" customWidth="1"/>
    <col min="34" max="42" width="0" hidden="1" customWidth="1"/>
    <col min="43" max="47" width="10.54296875" hidden="1" customWidth="1"/>
    <col min="48" max="50" width="0" hidden="1" customWidth="1"/>
    <col min="51" max="52" width="10.54296875" hidden="1" customWidth="1"/>
    <col min="53" max="58" width="0" hidden="1" customWidth="1"/>
    <col min="59" max="60" width="10.54296875" hidden="1" customWidth="1"/>
    <col min="61" max="64" width="0" hidden="1" customWidth="1"/>
    <col min="65" max="16384" width="10.54296875" hidden="1"/>
  </cols>
  <sheetData>
    <row r="1" spans="1:29" ht="14.25" customHeight="1" x14ac:dyDescent="0.35">
      <c r="A1" s="11"/>
      <c r="K1" s="74"/>
      <c r="L1" s="74"/>
      <c r="M1" s="74"/>
      <c r="N1" s="74"/>
      <c r="O1" s="74"/>
      <c r="P1" s="74"/>
      <c r="Q1" s="74"/>
      <c r="R1" s="74"/>
      <c r="S1" s="74"/>
      <c r="T1" s="74"/>
      <c r="U1" s="74"/>
      <c r="V1" s="74"/>
      <c r="W1" s="74"/>
      <c r="X1" s="74"/>
    </row>
    <row r="2" spans="1:29" ht="14.25" customHeight="1" x14ac:dyDescent="0.35">
      <c r="B2" s="13" t="s">
        <v>115</v>
      </c>
    </row>
    <row r="3" spans="1:29" ht="14.25" customHeight="1" x14ac:dyDescent="0.35">
      <c r="B3" s="15" t="s">
        <v>1</v>
      </c>
      <c r="C3" s="26"/>
      <c r="D3" s="26"/>
      <c r="E3" s="26"/>
      <c r="F3" s="26"/>
      <c r="G3" s="26"/>
      <c r="H3" s="26"/>
      <c r="I3" s="26"/>
      <c r="J3" s="26"/>
      <c r="K3" s="26"/>
      <c r="L3" s="26"/>
      <c r="M3" s="26"/>
      <c r="N3" s="26"/>
      <c r="O3" s="26"/>
      <c r="P3" s="26"/>
      <c r="Q3" s="26"/>
      <c r="R3" s="26"/>
      <c r="S3" s="26"/>
      <c r="T3" s="26"/>
      <c r="U3" s="26"/>
      <c r="V3" s="26"/>
      <c r="W3" s="26"/>
      <c r="X3" s="26"/>
    </row>
    <row r="4" spans="1:29" ht="14.25" customHeight="1" x14ac:dyDescent="0.35"/>
    <row r="5" spans="1:29" ht="14.25" customHeight="1" thickBot="1" x14ac:dyDescent="0.4">
      <c r="B5" s="192" t="s">
        <v>116</v>
      </c>
      <c r="C5" s="189" t="s">
        <v>3</v>
      </c>
      <c r="D5" s="189" t="s">
        <v>4</v>
      </c>
      <c r="E5" s="189" t="s">
        <v>5</v>
      </c>
      <c r="F5" s="189" t="s">
        <v>6</v>
      </c>
      <c r="G5" s="189" t="s">
        <v>7</v>
      </c>
      <c r="H5" s="189" t="s">
        <v>8</v>
      </c>
      <c r="I5" s="189" t="s">
        <v>9</v>
      </c>
      <c r="J5" s="189" t="s">
        <v>10</v>
      </c>
      <c r="K5" s="189" t="s">
        <v>11</v>
      </c>
      <c r="L5" s="189" t="s">
        <v>12</v>
      </c>
      <c r="M5" s="189" t="s">
        <v>13</v>
      </c>
      <c r="N5" s="189" t="s">
        <v>14</v>
      </c>
      <c r="O5" s="189" t="s">
        <v>15</v>
      </c>
      <c r="P5" s="189" t="s">
        <v>16</v>
      </c>
      <c r="Q5" s="189" t="s">
        <v>17</v>
      </c>
      <c r="R5" s="189" t="s">
        <v>18</v>
      </c>
      <c r="S5" s="189" t="s">
        <v>19</v>
      </c>
      <c r="T5" s="189" t="str">
        <f>'Operating Metrics - Old_View'!$T$5</f>
        <v>2Q24</v>
      </c>
      <c r="U5" s="189" t="str">
        <f>'Operating Metrics - Old_View'!U5</f>
        <v>3Q24</v>
      </c>
      <c r="V5" s="189" t="str">
        <f>'Operating Metrics - Old_View'!V5</f>
        <v>4Q24</v>
      </c>
      <c r="W5" s="189" t="s">
        <v>457</v>
      </c>
      <c r="X5" s="189" t="s">
        <v>493</v>
      </c>
      <c r="Z5" s="189">
        <v>2021</v>
      </c>
      <c r="AA5" s="189">
        <v>2022</v>
      </c>
      <c r="AB5" s="189">
        <v>2023</v>
      </c>
      <c r="AC5" s="189">
        <v>2024</v>
      </c>
    </row>
    <row r="6" spans="1:29" ht="14.25" customHeight="1" x14ac:dyDescent="0.35">
      <c r="B6" s="27" t="s">
        <v>117</v>
      </c>
      <c r="C6" s="28">
        <v>329013906</v>
      </c>
      <c r="D6" s="28">
        <v>329016372</v>
      </c>
      <c r="E6" s="28">
        <v>329016372</v>
      </c>
      <c r="F6" s="28">
        <v>329016372</v>
      </c>
      <c r="G6" s="28">
        <v>329016372</v>
      </c>
      <c r="H6" s="28">
        <v>329224825</v>
      </c>
      <c r="I6" s="28">
        <v>329592676</v>
      </c>
      <c r="J6" s="28">
        <v>329608226</v>
      </c>
      <c r="K6" s="28">
        <v>329608226</v>
      </c>
      <c r="L6" s="28">
        <v>329608226</v>
      </c>
      <c r="M6" s="28">
        <v>329608226</v>
      </c>
      <c r="N6" s="28">
        <v>329608226</v>
      </c>
      <c r="O6" s="28">
        <f>SUM(O7:O9)</f>
        <v>329608226</v>
      </c>
      <c r="P6" s="28">
        <f t="shared" ref="P6:T6" si="0">SUM(P7:P9)</f>
        <v>329608226</v>
      </c>
      <c r="Q6" s="28">
        <f t="shared" si="0"/>
        <v>329608226</v>
      </c>
      <c r="R6" s="28">
        <f t="shared" si="0"/>
        <v>329608226</v>
      </c>
      <c r="S6" s="28">
        <f t="shared" si="0"/>
        <v>329608424</v>
      </c>
      <c r="T6" s="28">
        <f t="shared" si="0"/>
        <v>329608424</v>
      </c>
      <c r="U6" s="28">
        <f t="shared" ref="U6" si="1">SUM(U7:U9)</f>
        <v>329608424</v>
      </c>
      <c r="V6" s="28">
        <f t="shared" ref="V6" si="2">SUM(V7:V9)</f>
        <v>329608424</v>
      </c>
      <c r="W6" s="28">
        <v>329608424</v>
      </c>
      <c r="X6" s="28">
        <v>305677709</v>
      </c>
      <c r="Z6" s="28">
        <v>329608226</v>
      </c>
      <c r="AA6" s="28">
        <v>329608226</v>
      </c>
      <c r="AB6" s="28">
        <f t="shared" ref="AB6:AB17" si="3">R6</f>
        <v>329608226</v>
      </c>
      <c r="AC6" s="28">
        <f t="shared" ref="AC6:AC17" si="4">V6</f>
        <v>329608424</v>
      </c>
    </row>
    <row r="7" spans="1:29" ht="14.25" customHeight="1" x14ac:dyDescent="0.35">
      <c r="B7" s="23" t="s">
        <v>118</v>
      </c>
      <c r="C7" s="20">
        <v>149470861</v>
      </c>
      <c r="D7" s="20">
        <v>149685723</v>
      </c>
      <c r="E7" s="20">
        <v>128369723</v>
      </c>
      <c r="F7" s="20">
        <v>128369723</v>
      </c>
      <c r="G7" s="20">
        <v>128369723</v>
      </c>
      <c r="H7" s="20">
        <v>128369723</v>
      </c>
      <c r="I7" s="20">
        <v>128369723</v>
      </c>
      <c r="J7" s="20">
        <v>128369723</v>
      </c>
      <c r="K7" s="20">
        <v>128419723</v>
      </c>
      <c r="L7" s="20">
        <v>128419723</v>
      </c>
      <c r="M7" s="20">
        <v>120459508</v>
      </c>
      <c r="N7" s="20">
        <v>121259312</v>
      </c>
      <c r="O7" s="20">
        <v>121259312</v>
      </c>
      <c r="P7" s="20">
        <v>121259312</v>
      </c>
      <c r="Q7" s="20">
        <v>121259312</v>
      </c>
      <c r="R7" s="20">
        <v>121259312</v>
      </c>
      <c r="S7" s="20">
        <v>121259312</v>
      </c>
      <c r="T7" s="20">
        <v>121259312</v>
      </c>
      <c r="U7" s="20">
        <v>121259312</v>
      </c>
      <c r="V7" s="20">
        <v>121259312</v>
      </c>
      <c r="W7" s="20">
        <v>121259312</v>
      </c>
      <c r="X7" s="20">
        <v>121436862</v>
      </c>
      <c r="Z7" s="20">
        <v>128369723</v>
      </c>
      <c r="AA7" s="20">
        <v>121259312</v>
      </c>
      <c r="AB7" s="20">
        <f t="shared" si="3"/>
        <v>121259312</v>
      </c>
      <c r="AC7" s="20">
        <f t="shared" si="4"/>
        <v>121259312</v>
      </c>
    </row>
    <row r="8" spans="1:29" ht="14.25" customHeight="1" x14ac:dyDescent="0.35">
      <c r="B8" s="23" t="s">
        <v>119</v>
      </c>
      <c r="C8" s="20">
        <v>178476860</v>
      </c>
      <c r="D8" s="20">
        <v>178264464</v>
      </c>
      <c r="E8" s="20">
        <v>200453364</v>
      </c>
      <c r="F8" s="20">
        <v>200478013</v>
      </c>
      <c r="G8" s="20">
        <v>200635666</v>
      </c>
      <c r="H8" s="20">
        <v>200844317</v>
      </c>
      <c r="I8" s="20">
        <v>201220487</v>
      </c>
      <c r="J8" s="20">
        <v>199549802</v>
      </c>
      <c r="K8" s="20">
        <v>199440386</v>
      </c>
      <c r="L8" s="20">
        <v>199442569</v>
      </c>
      <c r="M8" s="20">
        <v>205711984</v>
      </c>
      <c r="N8" s="20">
        <v>203017314</v>
      </c>
      <c r="O8" s="20">
        <v>203183459</v>
      </c>
      <c r="P8" s="20">
        <v>200837198</v>
      </c>
      <c r="Q8" s="20">
        <v>198468012</v>
      </c>
      <c r="R8" s="20">
        <v>194609496</v>
      </c>
      <c r="S8" s="20">
        <v>197809987</v>
      </c>
      <c r="T8" s="20">
        <v>197809987</v>
      </c>
      <c r="U8" s="20">
        <v>190728720</v>
      </c>
      <c r="V8" s="20">
        <v>182565601</v>
      </c>
      <c r="W8" s="20">
        <v>180161237</v>
      </c>
      <c r="X8" s="20">
        <v>170434682</v>
      </c>
      <c r="Z8" s="20">
        <v>199549802</v>
      </c>
      <c r="AA8" s="20">
        <v>203017314</v>
      </c>
      <c r="AB8" s="20">
        <f t="shared" si="3"/>
        <v>194609496</v>
      </c>
      <c r="AC8" s="20">
        <f t="shared" si="4"/>
        <v>182565601</v>
      </c>
    </row>
    <row r="9" spans="1:29" ht="14.25" customHeight="1" x14ac:dyDescent="0.35">
      <c r="B9" s="23" t="s">
        <v>492</v>
      </c>
      <c r="C9" s="20">
        <v>1066185</v>
      </c>
      <c r="D9" s="20">
        <v>1066185</v>
      </c>
      <c r="E9" s="20">
        <v>193285</v>
      </c>
      <c r="F9" s="20">
        <v>168636</v>
      </c>
      <c r="G9" s="20">
        <v>10983</v>
      </c>
      <c r="H9" s="20">
        <v>10785</v>
      </c>
      <c r="I9" s="20">
        <v>2466</v>
      </c>
      <c r="J9" s="20">
        <v>1688701</v>
      </c>
      <c r="K9" s="20">
        <v>1748117</v>
      </c>
      <c r="L9" s="20">
        <v>1745934</v>
      </c>
      <c r="M9" s="20">
        <v>3436734</v>
      </c>
      <c r="N9" s="20">
        <v>5331600</v>
      </c>
      <c r="O9" s="20">
        <v>5165455</v>
      </c>
      <c r="P9" s="20">
        <v>7511716</v>
      </c>
      <c r="Q9" s="20">
        <v>9880902</v>
      </c>
      <c r="R9" s="20">
        <v>13739418</v>
      </c>
      <c r="S9" s="20">
        <v>10539125</v>
      </c>
      <c r="T9" s="20">
        <v>10539125</v>
      </c>
      <c r="U9" s="20">
        <v>17620392</v>
      </c>
      <c r="V9" s="20">
        <v>25783511</v>
      </c>
      <c r="W9" s="20">
        <v>28187875</v>
      </c>
      <c r="X9" s="20">
        <v>13806165</v>
      </c>
      <c r="Z9" s="20">
        <v>1688701</v>
      </c>
      <c r="AA9" s="20">
        <v>5331600</v>
      </c>
      <c r="AB9" s="20">
        <f t="shared" si="3"/>
        <v>13739418</v>
      </c>
      <c r="AC9" s="20">
        <f t="shared" si="4"/>
        <v>25783511</v>
      </c>
    </row>
    <row r="10" spans="1:29" ht="14.25" customHeight="1" x14ac:dyDescent="0.35">
      <c r="B10" s="29" t="s">
        <v>121</v>
      </c>
      <c r="C10" s="30">
        <v>180143045</v>
      </c>
      <c r="D10" s="30">
        <v>180145511</v>
      </c>
      <c r="E10" s="30">
        <v>201461511</v>
      </c>
      <c r="F10" s="30">
        <v>201461511</v>
      </c>
      <c r="G10" s="30">
        <v>201461511</v>
      </c>
      <c r="H10" s="30">
        <v>201669964</v>
      </c>
      <c r="I10" s="30">
        <v>202037815</v>
      </c>
      <c r="J10" s="30">
        <v>202053365</v>
      </c>
      <c r="K10" s="30">
        <v>202053365</v>
      </c>
      <c r="L10" s="30">
        <v>202053365</v>
      </c>
      <c r="M10" s="30">
        <v>209148718</v>
      </c>
      <c r="N10" s="30">
        <v>209148718</v>
      </c>
      <c r="O10" s="30">
        <f>SUM(O11:O13)</f>
        <v>209148718</v>
      </c>
      <c r="P10" s="30">
        <f t="shared" ref="P10:T10" si="5">SUM(P11:P13)</f>
        <v>209148718</v>
      </c>
      <c r="Q10" s="30">
        <f t="shared" si="5"/>
        <v>209148718</v>
      </c>
      <c r="R10" s="30">
        <f t="shared" si="5"/>
        <v>209148718</v>
      </c>
      <c r="S10" s="30">
        <f t="shared" si="5"/>
        <v>209148916</v>
      </c>
      <c r="T10" s="30">
        <f t="shared" si="5"/>
        <v>209148916</v>
      </c>
      <c r="U10" s="30">
        <f t="shared" ref="U10" si="6">SUM(U11:U13)</f>
        <v>209148916</v>
      </c>
      <c r="V10" s="30">
        <f t="shared" ref="V10" si="7">SUM(V11:V13)</f>
        <v>209148916</v>
      </c>
      <c r="W10" s="30">
        <v>209148916</v>
      </c>
      <c r="X10" s="30">
        <v>185218201</v>
      </c>
      <c r="Z10" s="31">
        <v>202053365</v>
      </c>
      <c r="AA10" s="31">
        <v>209148718</v>
      </c>
      <c r="AB10" s="30">
        <f t="shared" si="3"/>
        <v>209148718</v>
      </c>
      <c r="AC10" s="30">
        <f t="shared" si="4"/>
        <v>209148916</v>
      </c>
    </row>
    <row r="11" spans="1:29" ht="14.25" customHeight="1" outlineLevel="1" x14ac:dyDescent="0.35">
      <c r="B11" s="32" t="s">
        <v>118</v>
      </c>
      <c r="C11" s="20">
        <v>600000</v>
      </c>
      <c r="D11" s="20">
        <v>814862</v>
      </c>
      <c r="E11" s="20">
        <v>814862</v>
      </c>
      <c r="F11" s="20">
        <v>814862</v>
      </c>
      <c r="G11" s="20">
        <v>814862</v>
      </c>
      <c r="H11" s="20">
        <v>814862</v>
      </c>
      <c r="I11" s="20">
        <v>814862</v>
      </c>
      <c r="J11" s="20">
        <v>814862</v>
      </c>
      <c r="K11" s="20">
        <v>864862</v>
      </c>
      <c r="L11" s="20">
        <v>864862</v>
      </c>
      <c r="M11" s="20">
        <v>0</v>
      </c>
      <c r="N11" s="20">
        <v>799804</v>
      </c>
      <c r="O11" s="20">
        <v>799804</v>
      </c>
      <c r="P11" s="20">
        <v>799804</v>
      </c>
      <c r="Q11" s="20">
        <v>799804</v>
      </c>
      <c r="R11" s="20">
        <v>799804</v>
      </c>
      <c r="S11" s="20">
        <v>799804</v>
      </c>
      <c r="T11" s="20">
        <v>799804</v>
      </c>
      <c r="U11" s="20">
        <v>799804</v>
      </c>
      <c r="V11" s="20">
        <v>799804</v>
      </c>
      <c r="W11" s="20">
        <v>799804</v>
      </c>
      <c r="X11" s="20">
        <v>977354</v>
      </c>
      <c r="Z11" s="20">
        <v>814862</v>
      </c>
      <c r="AA11" s="20">
        <v>799804</v>
      </c>
      <c r="AB11" s="20">
        <f t="shared" si="3"/>
        <v>799804</v>
      </c>
      <c r="AC11" s="20">
        <f t="shared" si="4"/>
        <v>799804</v>
      </c>
    </row>
    <row r="12" spans="1:29" ht="14.25" customHeight="1" outlineLevel="1" x14ac:dyDescent="0.35">
      <c r="B12" s="32" t="s">
        <v>119</v>
      </c>
      <c r="C12" s="20">
        <v>178476860</v>
      </c>
      <c r="D12" s="20">
        <v>178264464</v>
      </c>
      <c r="E12" s="20">
        <v>200453364</v>
      </c>
      <c r="F12" s="20">
        <v>200478013</v>
      </c>
      <c r="G12" s="20">
        <v>200635666</v>
      </c>
      <c r="H12" s="20">
        <v>200844317</v>
      </c>
      <c r="I12" s="20">
        <v>201220487</v>
      </c>
      <c r="J12" s="20">
        <v>199549802</v>
      </c>
      <c r="K12" s="20">
        <v>199440386</v>
      </c>
      <c r="L12" s="20">
        <v>199442569</v>
      </c>
      <c r="M12" s="20">
        <v>205711984</v>
      </c>
      <c r="N12" s="20">
        <v>203017314</v>
      </c>
      <c r="O12" s="20">
        <v>203183459</v>
      </c>
      <c r="P12" s="20">
        <v>200837198</v>
      </c>
      <c r="Q12" s="20">
        <v>198468012</v>
      </c>
      <c r="R12" s="20">
        <v>194609496</v>
      </c>
      <c r="S12" s="20">
        <v>197809987</v>
      </c>
      <c r="T12" s="20">
        <v>197809987</v>
      </c>
      <c r="U12" s="20">
        <v>190728720</v>
      </c>
      <c r="V12" s="20">
        <v>182565601</v>
      </c>
      <c r="W12" s="20">
        <v>180161237</v>
      </c>
      <c r="X12" s="20">
        <v>170434682</v>
      </c>
      <c r="Z12" s="20">
        <v>199549802</v>
      </c>
      <c r="AA12" s="20">
        <v>203017314</v>
      </c>
      <c r="AB12" s="20">
        <f t="shared" si="3"/>
        <v>194609496</v>
      </c>
      <c r="AC12" s="20">
        <f t="shared" si="4"/>
        <v>182565601</v>
      </c>
    </row>
    <row r="13" spans="1:29" ht="14.25" customHeight="1" outlineLevel="1" x14ac:dyDescent="0.35">
      <c r="B13" s="23" t="s">
        <v>492</v>
      </c>
      <c r="C13" s="20">
        <v>1066185</v>
      </c>
      <c r="D13" s="20">
        <v>1066185</v>
      </c>
      <c r="E13" s="20">
        <v>193285</v>
      </c>
      <c r="F13" s="20">
        <v>168636</v>
      </c>
      <c r="G13" s="20">
        <v>10983</v>
      </c>
      <c r="H13" s="20">
        <v>10785</v>
      </c>
      <c r="I13" s="20">
        <v>2466</v>
      </c>
      <c r="J13" s="20">
        <v>1688701</v>
      </c>
      <c r="K13" s="20">
        <v>1748117</v>
      </c>
      <c r="L13" s="20">
        <v>1745934</v>
      </c>
      <c r="M13" s="20">
        <v>3436734</v>
      </c>
      <c r="N13" s="20">
        <v>5331600</v>
      </c>
      <c r="O13" s="20">
        <v>5165455</v>
      </c>
      <c r="P13" s="20">
        <v>7511716</v>
      </c>
      <c r="Q13" s="20">
        <v>9880902</v>
      </c>
      <c r="R13" s="20">
        <v>13739418</v>
      </c>
      <c r="S13" s="20">
        <v>10539125</v>
      </c>
      <c r="T13" s="20">
        <v>10539125</v>
      </c>
      <c r="U13" s="20">
        <v>17620392</v>
      </c>
      <c r="V13" s="20">
        <v>25783511</v>
      </c>
      <c r="W13" s="20">
        <v>28187875</v>
      </c>
      <c r="X13" s="20">
        <v>13806165</v>
      </c>
      <c r="Z13" s="20">
        <v>1688701</v>
      </c>
      <c r="AA13" s="20">
        <v>5331600</v>
      </c>
      <c r="AB13" s="20">
        <f t="shared" si="3"/>
        <v>13739418</v>
      </c>
      <c r="AC13" s="20">
        <f t="shared" si="4"/>
        <v>25783511</v>
      </c>
    </row>
    <row r="14" spans="1:29" ht="14.25" customHeight="1" x14ac:dyDescent="0.35">
      <c r="B14" s="29" t="s">
        <v>122</v>
      </c>
      <c r="C14" s="30">
        <v>148870861</v>
      </c>
      <c r="D14" s="30">
        <v>148870861</v>
      </c>
      <c r="E14" s="30">
        <v>127554861</v>
      </c>
      <c r="F14" s="30">
        <v>127554861</v>
      </c>
      <c r="G14" s="30">
        <v>127554861</v>
      </c>
      <c r="H14" s="30">
        <v>127554861</v>
      </c>
      <c r="I14" s="30">
        <v>127554861</v>
      </c>
      <c r="J14" s="30">
        <v>127554861</v>
      </c>
      <c r="K14" s="30">
        <v>127554861</v>
      </c>
      <c r="L14" s="30">
        <v>127554861</v>
      </c>
      <c r="M14" s="30">
        <v>120459508</v>
      </c>
      <c r="N14" s="30">
        <v>120459508</v>
      </c>
      <c r="O14" s="30">
        <f>SUM(O15:O17)</f>
        <v>120459508</v>
      </c>
      <c r="P14" s="30">
        <f t="shared" ref="P14:T14" si="8">SUM(P15:P17)</f>
        <v>120459508</v>
      </c>
      <c r="Q14" s="30">
        <f t="shared" si="8"/>
        <v>120459508</v>
      </c>
      <c r="R14" s="30">
        <f t="shared" si="8"/>
        <v>120459508</v>
      </c>
      <c r="S14" s="30">
        <f t="shared" si="8"/>
        <v>120459508</v>
      </c>
      <c r="T14" s="30">
        <f t="shared" si="8"/>
        <v>120459508</v>
      </c>
      <c r="U14" s="30">
        <f t="shared" ref="U14" si="9">SUM(U15:U17)</f>
        <v>120459508</v>
      </c>
      <c r="V14" s="30">
        <f t="shared" ref="V14" si="10">SUM(V15:V17)</f>
        <v>120459508</v>
      </c>
      <c r="W14" s="30">
        <v>120459508</v>
      </c>
      <c r="X14" s="30">
        <v>120459508</v>
      </c>
      <c r="Z14" s="31">
        <v>127554861</v>
      </c>
      <c r="AA14" s="31">
        <v>120459508</v>
      </c>
      <c r="AB14" s="30">
        <f t="shared" si="3"/>
        <v>120459508</v>
      </c>
      <c r="AC14" s="30">
        <f t="shared" si="4"/>
        <v>120459508</v>
      </c>
    </row>
    <row r="15" spans="1:29" ht="14.25" customHeight="1" outlineLevel="1" x14ac:dyDescent="0.35">
      <c r="B15" s="32" t="s">
        <v>118</v>
      </c>
      <c r="C15" s="20">
        <v>148870861</v>
      </c>
      <c r="D15" s="20">
        <v>148870861</v>
      </c>
      <c r="E15" s="20">
        <v>127554861</v>
      </c>
      <c r="F15" s="20">
        <v>127554861</v>
      </c>
      <c r="G15" s="20">
        <v>127554861</v>
      </c>
      <c r="H15" s="20">
        <v>127554861</v>
      </c>
      <c r="I15" s="20">
        <v>127554861</v>
      </c>
      <c r="J15" s="20">
        <v>127554861</v>
      </c>
      <c r="K15" s="20">
        <v>127554861</v>
      </c>
      <c r="L15" s="20">
        <v>127554861</v>
      </c>
      <c r="M15" s="20">
        <v>120459508</v>
      </c>
      <c r="N15" s="20">
        <v>120459508</v>
      </c>
      <c r="O15" s="20">
        <v>120459508</v>
      </c>
      <c r="P15" s="20">
        <v>120459508</v>
      </c>
      <c r="Q15" s="20">
        <v>120459508</v>
      </c>
      <c r="R15" s="20">
        <v>120459508</v>
      </c>
      <c r="S15" s="20">
        <v>120459508</v>
      </c>
      <c r="T15" s="20">
        <v>120459508</v>
      </c>
      <c r="U15" s="20">
        <v>120459508</v>
      </c>
      <c r="V15" s="20">
        <v>120459508</v>
      </c>
      <c r="W15" s="20">
        <v>120459508</v>
      </c>
      <c r="X15" s="20">
        <v>120459508</v>
      </c>
      <c r="Z15" s="20">
        <v>127554861</v>
      </c>
      <c r="AA15" s="20">
        <v>120459508</v>
      </c>
      <c r="AB15" s="20">
        <f t="shared" si="3"/>
        <v>120459508</v>
      </c>
      <c r="AC15" s="20">
        <f t="shared" si="4"/>
        <v>120459508</v>
      </c>
    </row>
    <row r="16" spans="1:29" ht="14.25" customHeight="1" outlineLevel="1" x14ac:dyDescent="0.35">
      <c r="B16" s="32" t="s">
        <v>119</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Z16" s="20">
        <v>0</v>
      </c>
      <c r="AA16" s="20">
        <v>0</v>
      </c>
      <c r="AB16" s="20">
        <f t="shared" si="3"/>
        <v>0</v>
      </c>
      <c r="AC16" s="20">
        <f t="shared" si="4"/>
        <v>0</v>
      </c>
    </row>
    <row r="17" spans="2:29" ht="14.25" customHeight="1" outlineLevel="1" thickBot="1" x14ac:dyDescent="0.4">
      <c r="B17" s="33" t="s">
        <v>120</v>
      </c>
      <c r="C17" s="34">
        <v>0</v>
      </c>
      <c r="D17" s="34">
        <v>0</v>
      </c>
      <c r="E17" s="34">
        <v>0</v>
      </c>
      <c r="F17" s="34">
        <v>0</v>
      </c>
      <c r="G17" s="34">
        <v>0</v>
      </c>
      <c r="H17" s="34">
        <v>0</v>
      </c>
      <c r="I17" s="34">
        <v>0</v>
      </c>
      <c r="J17" s="34">
        <v>0</v>
      </c>
      <c r="K17" s="34">
        <v>0</v>
      </c>
      <c r="L17" s="34">
        <v>0</v>
      </c>
      <c r="M17" s="34">
        <v>0</v>
      </c>
      <c r="N17" s="34">
        <v>0</v>
      </c>
      <c r="O17" s="34">
        <v>0</v>
      </c>
      <c r="P17" s="34">
        <v>0</v>
      </c>
      <c r="Q17" s="34">
        <v>0</v>
      </c>
      <c r="R17" s="34">
        <v>0</v>
      </c>
      <c r="S17" s="34">
        <v>0</v>
      </c>
      <c r="T17" s="34">
        <v>0</v>
      </c>
      <c r="U17" s="34">
        <v>0</v>
      </c>
      <c r="V17" s="34">
        <v>0</v>
      </c>
      <c r="W17" s="34">
        <v>0</v>
      </c>
      <c r="X17" s="34">
        <v>0</v>
      </c>
      <c r="Z17" s="34">
        <v>0</v>
      </c>
      <c r="AA17" s="34">
        <v>0</v>
      </c>
      <c r="AB17" s="34">
        <f t="shared" si="3"/>
        <v>0</v>
      </c>
      <c r="AC17" s="34">
        <f t="shared" si="4"/>
        <v>0</v>
      </c>
    </row>
    <row r="18" spans="2:29" ht="14.25" customHeight="1" x14ac:dyDescent="0.35">
      <c r="B18" s="65"/>
    </row>
    <row r="19" spans="2:29" ht="14.25" customHeight="1" x14ac:dyDescent="0.35"/>
  </sheetData>
  <phoneticPr fontId="9" type="noConversion"/>
  <hyperlinks>
    <hyperlink ref="B3" r:id="rId1" xr:uid="{93FA9C7C-32D2-455C-BAD3-DDCE641E8D72}"/>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0b0172-d9a1-4eb1-805e-dc5afdf413ab" xsi:nil="true"/>
    <lcf76f155ced4ddcb4097134ff3c332f xmlns="202d8099-149d-4823-a20f-cf41e2ee78e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70165997AC7A9449C58DED9A6CA9E8B" ma:contentTypeVersion="15" ma:contentTypeDescription="Crie um novo documento." ma:contentTypeScope="" ma:versionID="bea78b61c4fb44a6004dd091597ef394">
  <xsd:schema xmlns:xsd="http://www.w3.org/2001/XMLSchema" xmlns:xs="http://www.w3.org/2001/XMLSchema" xmlns:p="http://schemas.microsoft.com/office/2006/metadata/properties" xmlns:ns2="202d8099-149d-4823-a20f-cf41e2ee78ea" xmlns:ns3="3e0b0172-d9a1-4eb1-805e-dc5afdf413ab" targetNamespace="http://schemas.microsoft.com/office/2006/metadata/properties" ma:root="true" ma:fieldsID="4ae5920b9b8aa8c5a43debdc38102124" ns2:_="" ns3:_="">
    <xsd:import namespace="202d8099-149d-4823-a20f-cf41e2ee78ea"/>
    <xsd:import namespace="3e0b0172-d9a1-4eb1-805e-dc5afdf413a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d8099-149d-4823-a20f-cf41e2ee78e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Marcações de imagem" ma:readOnly="false" ma:fieldId="{5cf76f15-5ced-4ddc-b409-7134ff3c332f}" ma:taxonomyMulti="true" ma:sspId="21dfd6d6-3f83-4e75-bea7-02c2581fe4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b0172-d9a1-4eb1-805e-dc5afdf413a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2fd83f-7e99-4a8e-aef3-5c729b8a60e4}" ma:internalName="TaxCatchAll" ma:showField="CatchAllData" ma:web="3e0b0172-d9a1-4eb1-805e-dc5afdf413a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3AD859-45ED-428F-900C-3F3E8DF6EACA}">
  <ds:schemaRef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3e0b0172-d9a1-4eb1-805e-dc5afdf413ab"/>
    <ds:schemaRef ds:uri="202d8099-149d-4823-a20f-cf41e2ee78ea"/>
  </ds:schemaRefs>
</ds:datastoreItem>
</file>

<file path=customXml/itemProps2.xml><?xml version="1.0" encoding="utf-8"?>
<ds:datastoreItem xmlns:ds="http://schemas.openxmlformats.org/officeDocument/2006/customXml" ds:itemID="{F1D964B7-0C5F-45CC-9999-617A668F53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d8099-149d-4823-a20f-cf41e2ee78ea"/>
    <ds:schemaRef ds:uri="3e0b0172-d9a1-4eb1-805e-dc5afdf413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23A1BB-07BC-424B-97AA-A00C8A4479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Summary</vt:lpstr>
      <vt:lpstr>Operating Metrics - New_View</vt:lpstr>
      <vt:lpstr>Operating Metrics - Old_View</vt:lpstr>
      <vt:lpstr>Balance Sheet</vt:lpstr>
      <vt:lpstr>Opex and Capex</vt:lpstr>
      <vt:lpstr>Income Statement</vt:lpstr>
      <vt:lpstr>Capital Structure</vt:lpstr>
      <vt:lpstr>Cash Flow</vt:lpstr>
      <vt:lpstr>Corporate Structure</vt:lpstr>
      <vt:lpstr>Ratings</vt:lpstr>
      <vt:lpstr>ESG I Environmental</vt:lpstr>
      <vt:lpstr>ESG I Social</vt:lpstr>
      <vt:lpstr>ESG I Governance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 Krahembuhl de Oliveira</dc:creator>
  <cp:keywords/>
  <dc:description/>
  <cp:lastModifiedBy>Saphiria Aoi Shimizu</cp:lastModifiedBy>
  <cp:revision/>
  <dcterms:created xsi:type="dcterms:W3CDTF">2019-05-08T01:51:37Z</dcterms:created>
  <dcterms:modified xsi:type="dcterms:W3CDTF">2025-09-24T16:54:10Z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0x010100A70165997AC7A9449C58DED9A6CA9E8B</vt:lpwstr>
  </property>
  <property fmtid="{D5CDD505-2E9C-101B-9397-08002B2CF9AE}" pid="3" name="Order">
    <vt:r8>937400</vt:r8>
  </property>
  <property fmtid="{D5CDD505-2E9C-101B-9397-08002B2CF9AE}" pid="4" name="MediaServiceImageTags">
    <vt:lpwstr/>
  </property>
  <property fmtid="{D5CDD505-2E9C-101B-9397-08002B2CF9AE}" pid="5" name="MSIP_Label_f6a73fae-5dbd-458a-93e0-5fdf739dc18f_Enabled">
    <vt:lpwstr>true</vt:lpwstr>
  </property>
  <property fmtid="{D5CDD505-2E9C-101B-9397-08002B2CF9AE}" pid="6" name="MSIP_Label_f6a73fae-5dbd-458a-93e0-5fdf739dc18f_SetDate">
    <vt:lpwstr>2024-05-23T19:39:06Z</vt:lpwstr>
  </property>
  <property fmtid="{D5CDD505-2E9C-101B-9397-08002B2CF9AE}" pid="7" name="MSIP_Label_f6a73fae-5dbd-458a-93e0-5fdf739dc18f_Method">
    <vt:lpwstr>Privileged</vt:lpwstr>
  </property>
  <property fmtid="{D5CDD505-2E9C-101B-9397-08002B2CF9AE}" pid="8" name="MSIP_Label_f6a73fae-5dbd-458a-93e0-5fdf739dc18f_Name">
    <vt:lpwstr>f6a73fae-5dbd-458a-93e0-5fdf739dc18f</vt:lpwstr>
  </property>
  <property fmtid="{D5CDD505-2E9C-101B-9397-08002B2CF9AE}" pid="9" name="MSIP_Label_f6a73fae-5dbd-458a-93e0-5fdf739dc18f_SiteId">
    <vt:lpwstr>7575b092-fc5f-4f6c-b7a5-9e9ef7aca80d</vt:lpwstr>
  </property>
  <property fmtid="{D5CDD505-2E9C-101B-9397-08002B2CF9AE}" pid="10" name="MSIP_Label_f6a73fae-5dbd-458a-93e0-5fdf739dc18f_ActionId">
    <vt:lpwstr>3feb6c37-f374-4ffd-8b24-4545b40c282c</vt:lpwstr>
  </property>
  <property fmtid="{D5CDD505-2E9C-101B-9397-08002B2CF9AE}" pid="11" name="MSIP_Label_f6a73fae-5dbd-458a-93e0-5fdf739dc18f_ContentBits">
    <vt:lpwstr>0</vt:lpwstr>
  </property>
</Properties>
</file>