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ate1904="1" codeName="EstaPastaDeTrabalho" defaultThemeVersion="166925"/>
  <mc:AlternateContent xmlns:mc="http://schemas.openxmlformats.org/markup-compatibility/2006">
    <mc:Choice Requires="x15">
      <x15ac:absPath xmlns:x15ac="http://schemas.microsoft.com/office/spreadsheetml/2010/11/ac" url="Y:\BR_DFCRI_RINV\NP-1\4_Resultados Trimestrais\2021\4T\Documentos para o site\"/>
    </mc:Choice>
  </mc:AlternateContent>
  <xr:revisionPtr revIDLastSave="0" documentId="13_ncr:1_{7EF271AF-616B-4B1F-9429-031863AA3F4E}" xr6:coauthVersionLast="46" xr6:coauthVersionMax="47" xr10:uidLastSave="{00000000-0000-0000-0000-000000000000}"/>
  <bookViews>
    <workbookView xWindow="-120" yWindow="300" windowWidth="20730" windowHeight="10890" xr2:uid="{00000000-000D-0000-FFFF-FFFF00000000}"/>
  </bookViews>
  <sheets>
    <sheet name="Index" sheetId="49"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ments (CAPEX)" sheetId="46" r:id="rId9"/>
    <sheet name="9. Expenses by nature" sheetId="39" r:id="rId10"/>
    <sheet name="10. Hedge" sheetId="35" r:id="rId11"/>
    <sheet name="11. Debt" sheetId="29" r:id="rId12"/>
    <sheet name="12. Macroeconomics" sheetId="30" r:id="rId13"/>
    <sheet name="13. ESG" sheetId="34" r:id="rId14"/>
    <sheet name="14. Dividends" sheetId="45" r:id="rId15"/>
    <sheet name="15. Consensus" sheetId="31" r:id="rId16"/>
    <sheet name="16.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a" localSheetId="1">'1. Volume'!#REF!</definedName>
    <definedName name="\a" localSheetId="10">'10. Hedge'!#REF!</definedName>
    <definedName name="\a" localSheetId="11">'11. Debt'!#REF!</definedName>
    <definedName name="\a" localSheetId="12">'12. Macroeconomics'!#REF!</definedName>
    <definedName name="\a" localSheetId="13">'13. ESG'!#REF!</definedName>
    <definedName name="\a" localSheetId="14">#REF!</definedName>
    <definedName name="\a" localSheetId="15">'15.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Investments (CAPEX)'!#REF!</definedName>
    <definedName name="\a" localSheetId="9">'9. Expenses by nature'!#REF!</definedName>
    <definedName name="\a">#REF!</definedName>
    <definedName name="\b" localSheetId="1">'1. Volume'!#REF!</definedName>
    <definedName name="\b" localSheetId="10">'10. Hedge'!#REF!</definedName>
    <definedName name="\b" localSheetId="11">'11. Debt'!#REF!</definedName>
    <definedName name="\b" localSheetId="12">'12. Macroeconomics'!#REF!</definedName>
    <definedName name="\b" localSheetId="13">'13. ESG'!#REF!</definedName>
    <definedName name="\b" localSheetId="14">#REF!</definedName>
    <definedName name="\b" localSheetId="15">'15.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c" localSheetId="1">'1. Volume'!#REF!</definedName>
    <definedName name="\c" localSheetId="10">'10. Hedge'!#REF!</definedName>
    <definedName name="\c" localSheetId="11">'11. Debt'!#REF!</definedName>
    <definedName name="\c" localSheetId="12">'12. Macroeconomics'!#REF!</definedName>
    <definedName name="\c" localSheetId="13">'13. ESG'!#REF!</definedName>
    <definedName name="\c" localSheetId="14">#REF!</definedName>
    <definedName name="\c" localSheetId="15">'15.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Investments (CAPEX)'!#REF!</definedName>
    <definedName name="\c" localSheetId="9">'9. Expenses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2">'12. Macroeconomics'!#REF!</definedName>
    <definedName name="__DAT2" localSheetId="13">'13. ESG'!#REF!</definedName>
    <definedName name="__DAT2" localSheetId="14">#REF!</definedName>
    <definedName name="__DAT2" localSheetId="15">'15.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Investments (CAPEX)'!#REF!</definedName>
    <definedName name="__DAT2" localSheetId="9">'9. Expenses by nature'!#REF!</definedName>
    <definedName name="__DAT2">#REF!</definedName>
    <definedName name="__DAT3" localSheetId="1">'1. Volume'!#REF!</definedName>
    <definedName name="__DAT3" localSheetId="10">'10. Hedge'!#REF!</definedName>
    <definedName name="__DAT3" localSheetId="11">'11. Debt'!#REF!</definedName>
    <definedName name="__DAT3" localSheetId="12">'12. Macroeconomics'!#REF!</definedName>
    <definedName name="__DAT3" localSheetId="13">'13. ESG'!#REF!</definedName>
    <definedName name="__DAT3" localSheetId="14">#REF!</definedName>
    <definedName name="__DAT3" localSheetId="15">'15.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Investments (CAPEX)'!#REF!</definedName>
    <definedName name="__DAT3" localSheetId="9">'9. Expenses by nature'!#REF!</definedName>
    <definedName name="__DAT3">#REF!</definedName>
    <definedName name="__DAT4" localSheetId="1">'1. Volume'!#REF!</definedName>
    <definedName name="__DAT4" localSheetId="10">'10. Hedge'!#REF!</definedName>
    <definedName name="__DAT4" localSheetId="11">'11. Debt'!#REF!</definedName>
    <definedName name="__DAT4" localSheetId="12">'12. Macroeconomics'!#REF!</definedName>
    <definedName name="__DAT4" localSheetId="13">'13. ESG'!#REF!</definedName>
    <definedName name="__DAT4" localSheetId="14">#REF!</definedName>
    <definedName name="__DAT4" localSheetId="15">'15.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Investments (CAPEX)'!#REF!</definedName>
    <definedName name="__DAT4" localSheetId="9">'9. Expenses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2">'12. Macroeconomics'!#REF!</definedName>
    <definedName name="anexo1" localSheetId="13">'13. ESG'!#REF!</definedName>
    <definedName name="anexo1" localSheetId="14">#REF!</definedName>
    <definedName name="anexo1" localSheetId="15">'15.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Investments (CAPEX)'!#REF!</definedName>
    <definedName name="anexo1" localSheetId="9">'9. Expenses by nature'!#REF!</definedName>
    <definedName name="anexo1">#REF!</definedName>
    <definedName name="anexo2" localSheetId="1">'1. Volume'!#REF!</definedName>
    <definedName name="anexo2" localSheetId="10">'10. Hedge'!#REF!</definedName>
    <definedName name="anexo2" localSheetId="11">'11. Debt'!#REF!</definedName>
    <definedName name="anexo2" localSheetId="12">'12. Macroeconomics'!#REF!</definedName>
    <definedName name="anexo2" localSheetId="13">'13. ESG'!#REF!</definedName>
    <definedName name="anexo2" localSheetId="14">#REF!</definedName>
    <definedName name="anexo2" localSheetId="15">'15.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Investments (CAPEX)'!#REF!</definedName>
    <definedName name="anexo2" localSheetId="9">'9. Expenses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2">'12. Macroeconomics'!#REF!</definedName>
    <definedName name="AnexoA11" localSheetId="13">'13. ESG'!#REF!</definedName>
    <definedName name="AnexoA11" localSheetId="14">#REF!</definedName>
    <definedName name="AnexoA11" localSheetId="15">'15.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Investments (CAPEX)'!#REF!</definedName>
    <definedName name="AnexoA11" localSheetId="9">'9. Expenses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2">'12. Macroeconomics'!#REF!</definedName>
    <definedName name="AR_1" localSheetId="13">'13. ESG'!#REF!</definedName>
    <definedName name="AR_1" localSheetId="14">#REF!</definedName>
    <definedName name="AR_1" localSheetId="15">'15.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Investments (CAPEX)'!#REF!</definedName>
    <definedName name="AR_1" localSheetId="9">'9. Expenses by nature'!#REF!</definedName>
    <definedName name="AR_1">#REF!</definedName>
    <definedName name="AR_1a" localSheetId="1">'1. Volume'!#REF!</definedName>
    <definedName name="AR_1a" localSheetId="10">'10. Hedge'!#REF!</definedName>
    <definedName name="AR_1a" localSheetId="11">'11. Debt'!#REF!</definedName>
    <definedName name="AR_1a" localSheetId="12">'12. Macroeconomics'!#REF!</definedName>
    <definedName name="AR_1a" localSheetId="13">'13. ESG'!#REF!</definedName>
    <definedName name="AR_1a" localSheetId="14">#REF!</definedName>
    <definedName name="AR_1a" localSheetId="15">'15.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Investments (CAPEX)'!#REF!</definedName>
    <definedName name="AR_1a" localSheetId="9">'9. Expenses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2">'12. Macroeconomics'!#REF!</definedName>
    <definedName name="_xlnm.Extract" localSheetId="13">'13. ESG'!#REF!</definedName>
    <definedName name="_xlnm.Extract" localSheetId="14">#REF!</definedName>
    <definedName name="_xlnm.Extract" localSheetId="15">'15.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Investments (CAPEX)'!#REF!</definedName>
    <definedName name="_xlnm.Extract" localSheetId="9">'9. Expenses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2">'12. Macroeconomics'!#REF!</definedName>
    <definedName name="B" localSheetId="13">'13. ESG'!#REF!</definedName>
    <definedName name="B" localSheetId="14">#REF!</definedName>
    <definedName name="B" localSheetId="15">'15.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2">'12. Macroeconomics'!#REF!</definedName>
    <definedName name="BALANÇO_COMANDER" localSheetId="13">'13. ESG'!#REF!</definedName>
    <definedName name="BALANÇO_COMANDER" localSheetId="14">#REF!</definedName>
    <definedName name="BALANÇO_COMANDER" localSheetId="15">'15.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Investments (CAPEX)'!#REF!</definedName>
    <definedName name="BALANÇO_COMANDER" localSheetId="9">'9. Expenses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2">'12. Macroeconomics'!#REF!</definedName>
    <definedName name="_xlnm.Database" localSheetId="13">'13. ESG'!#REF!</definedName>
    <definedName name="_xlnm.Database" localSheetId="14">#REF!</definedName>
    <definedName name="_xlnm.Database" localSheetId="15">'15.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Investments (CAPEX)'!#REF!</definedName>
    <definedName name="_xlnm.Database" localSheetId="9">'9. Expenses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2">'12. Macroeconomics'!#REF!</definedName>
    <definedName name="BDANEXO11" localSheetId="13">'13. ESG'!#REF!</definedName>
    <definedName name="BDANEXO11" localSheetId="14">#REF!</definedName>
    <definedName name="BDANEXO11" localSheetId="15">'15.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Investments (CAPEX)'!#REF!</definedName>
    <definedName name="BDANEXO11" localSheetId="9">'9. Expenses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2">'12. Macroeconomics'!#REF!</definedName>
    <definedName name="BDDIVID" localSheetId="13">'13. ESG'!#REF!</definedName>
    <definedName name="BDDIVID" localSheetId="14">#REF!</definedName>
    <definedName name="BDDIVID" localSheetId="15">'15.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Investments (CAPEX)'!#REF!</definedName>
    <definedName name="BDDIVID" localSheetId="9">'9. Expenses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2">'12. Macroeconomics'!#REF!</definedName>
    <definedName name="BIP_Mant_venda_Ing" localSheetId="13">'13. ESG'!#REF!</definedName>
    <definedName name="BIP_Mant_venda_Ing" localSheetId="14">#REF!</definedName>
    <definedName name="BIP_Mant_venda_Ing" localSheetId="15">'15.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Investments (CAPEX)'!#REF!</definedName>
    <definedName name="BIP_Mant_venda_Ing" localSheetId="9">'9. Expenses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2">'12. Macroeconomics'!#REF!</definedName>
    <definedName name="DemResultado" localSheetId="13">'13. ESG'!#REF!</definedName>
    <definedName name="DemResultado" localSheetId="14">#REF!</definedName>
    <definedName name="DemResultado" localSheetId="15">'15.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Investments (CAPEX)'!#REF!</definedName>
    <definedName name="DemResultado" localSheetId="9">'9. Expenses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2">'12. Macroeconomics'!#REF!</definedName>
    <definedName name="DESTQ_COMAND" localSheetId="13">'13. ESG'!#REF!</definedName>
    <definedName name="DESTQ_COMAND" localSheetId="14">#REF!</definedName>
    <definedName name="DESTQ_COMAND" localSheetId="15">'15.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Investments (CAPEX)'!#REF!</definedName>
    <definedName name="DESTQ_COMAND" localSheetId="9">'9. Expenses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2">'12. Macroeconomics'!#REF!</definedName>
    <definedName name="DETALHE_ENDIVID___SEFIN" localSheetId="13">'13. ESG'!#REF!</definedName>
    <definedName name="DETALHE_ENDIVID___SEFIN" localSheetId="14">#REF!</definedName>
    <definedName name="DETALHE_ENDIVID___SEFIN" localSheetId="15">'15.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Investments (CAPEX)'!#REF!</definedName>
    <definedName name="DETALHE_ENDIVID___SEFIN" localSheetId="9">'9. Expenses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2">'12. Macroeconomics'!#REF!</definedName>
    <definedName name="doar" localSheetId="13">'13. ESG'!#REF!</definedName>
    <definedName name="doar" localSheetId="14">#REF!</definedName>
    <definedName name="doar" localSheetId="15">'15.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Investments (CAPEX)'!#REF!</definedName>
    <definedName name="doar" localSheetId="9">'9. Expenses by nature'!#REF!</definedName>
    <definedName name="doar">#REF!</definedName>
    <definedName name="DÓLAR" localSheetId="1">'1. Volume'!#REF!</definedName>
    <definedName name="DÓLAR" localSheetId="10">'10. Hedge'!#REF!</definedName>
    <definedName name="DÓLAR" localSheetId="11">'11. Debt'!#REF!</definedName>
    <definedName name="DÓLAR" localSheetId="12">'12. Macroeconomics'!#REF!</definedName>
    <definedName name="DÓLAR" localSheetId="13">'13. ESG'!#REF!</definedName>
    <definedName name="DÓLAR" localSheetId="14">#REF!</definedName>
    <definedName name="DÓLAR" localSheetId="15">'15.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Investments (CAPEX)'!#REF!</definedName>
    <definedName name="DÓLAR" localSheetId="9">'9. Expenses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2">[10]TAXAS!#REF!</definedName>
    <definedName name="DOLARMES1" localSheetId="13">[10]TAXAS!#REF!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2">'12. Macroeconomics'!#REF!</definedName>
    <definedName name="dsa" localSheetId="13">'13. ESG'!#REF!</definedName>
    <definedName name="dsa" localSheetId="14">#REF!</definedName>
    <definedName name="dsa" localSheetId="15">'15.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Investments (CAPEX)'!#REF!</definedName>
    <definedName name="dsa" localSheetId="9">'9. Expenses by nature'!#REF!</definedName>
    <definedName name="dsa">#REF!</definedName>
    <definedName name="DSNC" localSheetId="1">'1. Volume'!#REF!</definedName>
    <definedName name="DSNC" localSheetId="10">'10. Hedge'!#REF!</definedName>
    <definedName name="DSNC" localSheetId="11">'11. Debt'!#REF!</definedName>
    <definedName name="DSNC" localSheetId="12">'12. Macroeconomics'!#REF!</definedName>
    <definedName name="DSNC" localSheetId="13">'13. ESG'!#REF!</definedName>
    <definedName name="DSNC" localSheetId="14">#REF!</definedName>
    <definedName name="DSNC" localSheetId="15">'15.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Investments (CAPEX)'!#REF!</definedName>
    <definedName name="DSNC" localSheetId="9">'9. Expenses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2">'12. Macroeconomics'!#REF!</definedName>
    <definedName name="DTBASA_325" localSheetId="13">'13. ESG'!#REF!</definedName>
    <definedName name="DTBASA_325" localSheetId="14">#REF!</definedName>
    <definedName name="DTBASA_325" localSheetId="15">'15.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Investments (CAPEX)'!#REF!</definedName>
    <definedName name="DTBASA_325" localSheetId="9">'9. Expenses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2">'12. Macroeconomics'!#REF!</definedName>
    <definedName name="Encargo_Vendas" localSheetId="13">'13. ESG'!#REF!</definedName>
    <definedName name="Encargo_Vendas" localSheetId="14">#REF!</definedName>
    <definedName name="Encargo_Vendas" localSheetId="15">'15.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Investments (CAPEX)'!#REF!</definedName>
    <definedName name="Encargo_Vendas" localSheetId="9">'9. Expenses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2">'12. Macroeconomics'!#REF!</definedName>
    <definedName name="ENDIV._BR___DISTRIBUIDORA" localSheetId="13">'13. ESG'!#REF!</definedName>
    <definedName name="ENDIV._BR___DISTRIBUIDORA" localSheetId="14">#REF!</definedName>
    <definedName name="ENDIV._BR___DISTRIBUIDORA" localSheetId="15">'15.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Investments (CAPEX)'!#REF!</definedName>
    <definedName name="ENDIV._BR___DISTRIBUIDORA" localSheetId="9">'9. Expenses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2">'12. Macroeconomics'!#REF!</definedName>
    <definedName name="ENDIV._BRASPETRO" localSheetId="13">'13. ESG'!#REF!</definedName>
    <definedName name="ENDIV._BRASPETRO" localSheetId="14">#REF!</definedName>
    <definedName name="ENDIV._BRASPETRO" localSheetId="15">'15.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Investments (CAPEX)'!#REF!</definedName>
    <definedName name="ENDIV._BRASPETRO" localSheetId="9">'9. Expenses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2">'12. Macroeconomics'!#REF!</definedName>
    <definedName name="Equivalência_Patri" localSheetId="13">'13. ESG'!#REF!</definedName>
    <definedName name="Equivalência_Patri" localSheetId="14">#REF!</definedName>
    <definedName name="Equivalência_Patri" localSheetId="15">'15.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Investments (CAPEX)'!#REF!</definedName>
    <definedName name="Equivalência_Patri" localSheetId="9">'9. Expenses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2">'12. Macroeconomics'!#REF!</definedName>
    <definedName name="ESPAL_710" localSheetId="13">'13. ESG'!#REF!</definedName>
    <definedName name="ESPAL_710" localSheetId="14">#REF!</definedName>
    <definedName name="ESPAL_710" localSheetId="15">'15.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Investments (CAPEX)'!#REF!</definedName>
    <definedName name="ESPAL_710" localSheetId="9">'9. Expenses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2">'12. Macroeconomics'!#REF!</definedName>
    <definedName name="Excel_BuiltIn_Criteria" localSheetId="13">'13. ESG'!#REF!</definedName>
    <definedName name="Excel_BuiltIn_Criteria" localSheetId="14">#REF!</definedName>
    <definedName name="Excel_BuiltIn_Criteria" localSheetId="15">'15.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Investments (CAPEX)'!#REF!</definedName>
    <definedName name="Excel_BuiltIn_Criteria" localSheetId="9">'9. Expenses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2">'12. Macroeconomics'!#REF!</definedName>
    <definedName name="FIMPRI" localSheetId="13">'13. ESG'!#REF!</definedName>
    <definedName name="FIMPRI" localSheetId="14">#REF!</definedName>
    <definedName name="FIMPRI" localSheetId="15">'15.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Investments (CAPEX)'!#REF!</definedName>
    <definedName name="FIMPRI" localSheetId="9">'9. Expenses by nature'!#REF!</definedName>
    <definedName name="FIMPRI">#REF!</definedName>
    <definedName name="fj" localSheetId="1">'1. Volume'!#REF!</definedName>
    <definedName name="fj" localSheetId="10">'10. Hedge'!#REF!</definedName>
    <definedName name="fj" localSheetId="11">'11. Debt'!#REF!</definedName>
    <definedName name="fj" localSheetId="12">'12. Macroeconomics'!#REF!</definedName>
    <definedName name="fj" localSheetId="13">'13. ESG'!#REF!</definedName>
    <definedName name="fj" localSheetId="14">#REF!</definedName>
    <definedName name="fj" localSheetId="15">'15.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Investments (CAPEX)'!#REF!</definedName>
    <definedName name="fj" localSheetId="9">'9. Expenses by nature'!#REF!</definedName>
    <definedName name="fj">#REF!</definedName>
    <definedName name="Format" localSheetId="1">'1. Volume'!#REF!</definedName>
    <definedName name="Format" localSheetId="10">'10. Hedge'!#REF!</definedName>
    <definedName name="Format" localSheetId="11">'11. Debt'!#REF!</definedName>
    <definedName name="Format" localSheetId="12">'12. Macroeconomics'!#REF!</definedName>
    <definedName name="Format" localSheetId="13">'13. ESG'!#REF!</definedName>
    <definedName name="Format" localSheetId="14">#REF!</definedName>
    <definedName name="Format" localSheetId="15">'15.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Investments (CAPEX)'!#REF!</definedName>
    <definedName name="Format" localSheetId="9">'9. Expenses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2">'12. Macroeconomics'!#REF!</definedName>
    <definedName name="GERAB_630" localSheetId="13">'13. ESG'!#REF!</definedName>
    <definedName name="GERAB_630" localSheetId="14">#REF!</definedName>
    <definedName name="GERAB_630" localSheetId="15">'15.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Investments (CAPEX)'!#REF!</definedName>
    <definedName name="GERAB_630" localSheetId="9">'9. Expenses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2">'12. Macroeconomics'!#REF!</definedName>
    <definedName name="gfs" localSheetId="13">'13. ESG'!#REF!</definedName>
    <definedName name="gfs" localSheetId="14">#REF!</definedName>
    <definedName name="gfs" localSheetId="15">'15.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Investments (CAPEX)'!#REF!</definedName>
    <definedName name="gfs" localSheetId="9">'9. Expenses by nature'!#REF!</definedName>
    <definedName name="gfs">#REF!</definedName>
    <definedName name="gg" localSheetId="1">'1. Volume'!#REF!</definedName>
    <definedName name="gg" localSheetId="10">'10. Hedge'!#REF!</definedName>
    <definedName name="gg" localSheetId="11">'11. Debt'!#REF!</definedName>
    <definedName name="gg" localSheetId="12">'12. Macroeconomics'!#REF!</definedName>
    <definedName name="gg" localSheetId="13">'13. ESG'!#REF!</definedName>
    <definedName name="gg" localSheetId="14">#REF!</definedName>
    <definedName name="gg" localSheetId="15">'15.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Investments (CAPEX)'!#REF!</definedName>
    <definedName name="gg" localSheetId="9">'9. Expenses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2">'12. Macroeconomics'!#REF!</definedName>
    <definedName name="gre" localSheetId="13">'13. ESG'!#REF!</definedName>
    <definedName name="gre" localSheetId="14">#REF!</definedName>
    <definedName name="gre" localSheetId="15">'15.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Investments (CAPEX)'!#REF!</definedName>
    <definedName name="gre" localSheetId="9">'9. Expenses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2">'12. Macroeconomics'!#REF!</definedName>
    <definedName name="hgf" localSheetId="13">'13. ESG'!#REF!</definedName>
    <definedName name="hgf" localSheetId="14">#REF!</definedName>
    <definedName name="hgf" localSheetId="15">'15.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Investments (CAPEX)'!#REF!</definedName>
    <definedName name="hgf" localSheetId="9">'9. Expenses by nature'!#REF!</definedName>
    <definedName name="hgf">#REF!</definedName>
    <definedName name="hhhh" localSheetId="1">'1. Volume'!#REF!</definedName>
    <definedName name="hhhh" localSheetId="10">'10. Hedge'!#REF!</definedName>
    <definedName name="hhhh" localSheetId="11">'11. Debt'!#REF!</definedName>
    <definedName name="hhhh" localSheetId="12">'12. Macroeconomics'!#REF!</definedName>
    <definedName name="hhhh" localSheetId="13">'13. ESG'!#REF!</definedName>
    <definedName name="hhhh" localSheetId="14">#REF!</definedName>
    <definedName name="hhhh" localSheetId="15">'15.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Investments (CAPEX)'!#REF!</definedName>
    <definedName name="hhhh" localSheetId="9">'9. Expenses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2">'12. Macroeconomics'!#REF!</definedName>
    <definedName name="jh" localSheetId="13">'13. ESG'!#REF!</definedName>
    <definedName name="jh" localSheetId="14">#REF!</definedName>
    <definedName name="jh" localSheetId="15">'15.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Investments (CAPEX)'!#REF!</definedName>
    <definedName name="jh" localSheetId="9">'9. Expenses by nature'!#REF!</definedName>
    <definedName name="jh">#REF!</definedName>
    <definedName name="jjj" localSheetId="1">'1. Volume'!#REF!</definedName>
    <definedName name="jjj" localSheetId="10">'10. Hedge'!#REF!</definedName>
    <definedName name="jjj" localSheetId="11">'11. Debt'!#REF!</definedName>
    <definedName name="jjj" localSheetId="12">'12. Macroeconomics'!#REF!</definedName>
    <definedName name="jjj" localSheetId="13">'13. ESG'!#REF!</definedName>
    <definedName name="jjj" localSheetId="14">#REF!</definedName>
    <definedName name="jjj" localSheetId="15">'15.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Investments (CAPEX)'!#REF!</definedName>
    <definedName name="jjj" localSheetId="9">'9. Expenses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2">'12. Macroeconomics'!#REF!</definedName>
    <definedName name="Lucro_Operacional" localSheetId="13">'13. ESG'!#REF!</definedName>
    <definedName name="Lucro_Operacional" localSheetId="14">#REF!</definedName>
    <definedName name="Lucro_Operacional" localSheetId="15">'15.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Investments (CAPEX)'!#REF!</definedName>
    <definedName name="Lucro_Operacional" localSheetId="9">'9. Expenses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2">'12. Macroeconomics'!#REF!</definedName>
    <definedName name="Lx_female" localSheetId="13">'13. ESG'!#REF!</definedName>
    <definedName name="Lx_female" localSheetId="14">#REF!</definedName>
    <definedName name="Lx_female" localSheetId="15">'15.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Investments (CAPEX)'!#REF!</definedName>
    <definedName name="Lx_female" localSheetId="9">'9. Expenses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2">'12. Macroeconomics'!#REF!</definedName>
    <definedName name="Lx_male" localSheetId="13">'13. ESG'!#REF!</definedName>
    <definedName name="Lx_male" localSheetId="14">#REF!</definedName>
    <definedName name="Lx_male" localSheetId="15">'15.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Investments (CAPEX)'!#REF!</definedName>
    <definedName name="Lx_male" localSheetId="9">'9. Expenses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2">'12. Macroeconomics'!#REF!</definedName>
    <definedName name="passivo" localSheetId="13">'13. ESG'!#REF!</definedName>
    <definedName name="passivo" localSheetId="14">#REF!</definedName>
    <definedName name="passivo" localSheetId="15">'15.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Investments (CAPEX)'!#REF!</definedName>
    <definedName name="passivo" localSheetId="9">'9. Expenses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2">'12. Macroeconomics'!#REF!</definedName>
    <definedName name="PASSIVO_CONS" localSheetId="13">'13. ESG'!#REF!</definedName>
    <definedName name="PASSIVO_CONS" localSheetId="14">#REF!</definedName>
    <definedName name="PASSIVO_CONS" localSheetId="15">'15.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Investments (CAPEX)'!#REF!</definedName>
    <definedName name="PASSIVO_CONS" localSheetId="9">'9. Expenses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2">'12. Macroeconomics'!#REF!</definedName>
    <definedName name="PASSIVO_CONS1" localSheetId="13">'13. ESG'!#REF!</definedName>
    <definedName name="PASSIVO_CONS1" localSheetId="14">#REF!</definedName>
    <definedName name="PASSIVO_CONS1" localSheetId="15">'15.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Investments (CAPEX)'!#REF!</definedName>
    <definedName name="PASSIVO_CONS1" localSheetId="9">'9. Expenses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2">'12. Macroeconomics'!#REF!</definedName>
    <definedName name="petrodef_51" localSheetId="13">'13. ESG'!#REF!</definedName>
    <definedName name="petrodef_51" localSheetId="14">#REF!</definedName>
    <definedName name="petrodef_51" localSheetId="15">'15.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Investments (CAPEX)'!#REF!</definedName>
    <definedName name="petrodef_51" localSheetId="9">'9. Expenses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2">'12. Macroeconomics'!#REF!</definedName>
    <definedName name="petrodef_51a" localSheetId="13">'13. ESG'!#REF!</definedName>
    <definedName name="petrodef_51a" localSheetId="14">#REF!</definedName>
    <definedName name="petrodef_51a" localSheetId="15">'15.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Investments (CAPEX)'!#REF!</definedName>
    <definedName name="petrodef_51a" localSheetId="9">'9. Expenses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2">'12. Macroeconomics'!#REF!</definedName>
    <definedName name="petrodef_51c" localSheetId="13">'13. ESG'!#REF!</definedName>
    <definedName name="petrodef_51c" localSheetId="14">#REF!</definedName>
    <definedName name="petrodef_51c" localSheetId="15">'15.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Investments (CAPEX)'!#REF!</definedName>
    <definedName name="petrodef_51c" localSheetId="9">'9. Expenses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2">'12. Macroeconomics'!#REF!</definedName>
    <definedName name="Print_Area_MI" localSheetId="13">'13. ESG'!#REF!</definedName>
    <definedName name="Print_Area_MI" localSheetId="14">#REF!</definedName>
    <definedName name="Print_Area_MI" localSheetId="15">'15.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Investments (CAPEX)'!#REF!</definedName>
    <definedName name="Print_Area_MI" localSheetId="9">'9. Expenses by nature'!#REF!</definedName>
    <definedName name="Print_Area_MI">#REF!</definedName>
    <definedName name="pytyt" localSheetId="1">'1. Volume'!#REF!</definedName>
    <definedName name="pytyt" localSheetId="10">'10. Hedge'!#REF!</definedName>
    <definedName name="pytyt" localSheetId="11">'11. Debt'!#REF!</definedName>
    <definedName name="pytyt" localSheetId="12">'12. Macroeconomics'!#REF!</definedName>
    <definedName name="pytyt" localSheetId="13">'13. ESG'!#REF!</definedName>
    <definedName name="pytyt" localSheetId="14">#REF!</definedName>
    <definedName name="pytyt" localSheetId="15">'15.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Investments (CAPEX)'!#REF!</definedName>
    <definedName name="pytyt" localSheetId="9">'9. Expenses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2">'12. Macroeconomics'!#REF!</definedName>
    <definedName name="Rec_Liquida" localSheetId="13">'13. ESG'!#REF!</definedName>
    <definedName name="Rec_Liquida" localSheetId="14">#REF!</definedName>
    <definedName name="Rec_Liquida" localSheetId="15">'15.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Investments (CAPEX)'!#REF!</definedName>
    <definedName name="Rec_Liquida" localSheetId="9">'9. Expenses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2">'12. Macroeconomics'!#REF!</definedName>
    <definedName name="RECAP_275" localSheetId="13">'13. ESG'!#REF!</definedName>
    <definedName name="RECAP_275" localSheetId="14">#REF!</definedName>
    <definedName name="RECAP_275" localSheetId="15">'15.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Investments (CAPEX)'!#REF!</definedName>
    <definedName name="RECAP_275" localSheetId="9">'9. Expenses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2">'12. Macroeconomics'!#REF!</definedName>
    <definedName name="RECONCILIAÇÃO" localSheetId="13">'13. ESG'!#REF!</definedName>
    <definedName name="RECONCILIAÇÃO" localSheetId="14">#REF!</definedName>
    <definedName name="RECONCILIAÇÃO" localSheetId="15">'15.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Investments (CAPEX)'!#REF!</definedName>
    <definedName name="RECONCILIAÇÃO" localSheetId="9">'9. Expenses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2">[2]ADM_Áreas_Milhares!#REF!</definedName>
    <definedName name="Reconciliação2T19" localSheetId="13">[2]ADM_Áreas_Milhares!#REF!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2">'12. Macroeconomics'!#REF!</definedName>
    <definedName name="REDUC_230" localSheetId="13">'13. ESG'!#REF!</definedName>
    <definedName name="REDUC_230" localSheetId="14">#REF!</definedName>
    <definedName name="REDUC_230" localSheetId="15">'15.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Investments (CAPEX)'!#REF!</definedName>
    <definedName name="REDUC_230" localSheetId="9">'9. Expenses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2">'12. Macroeconomics'!#REF!</definedName>
    <definedName name="REFAP_240" localSheetId="13">'13. ESG'!#REF!</definedName>
    <definedName name="REFAP_240" localSheetId="14">#REF!</definedName>
    <definedName name="REFAP_240" localSheetId="15">'15.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Investments (CAPEX)'!#REF!</definedName>
    <definedName name="REFAP_240" localSheetId="9">'9. Expenses by nature'!#REF!</definedName>
    <definedName name="REFAP_240">#REF!</definedName>
    <definedName name="Refino" localSheetId="1">'1. Volume'!#REF!</definedName>
    <definedName name="Refino" localSheetId="10">'10. Hedge'!#REF!</definedName>
    <definedName name="Refino" localSheetId="11">'11. Debt'!#REF!</definedName>
    <definedName name="Refino" localSheetId="12">'12. Macroeconomics'!#REF!</definedName>
    <definedName name="Refino" localSheetId="13">'13. ESG'!#REF!</definedName>
    <definedName name="Refino" localSheetId="14">#REF!</definedName>
    <definedName name="Refino" localSheetId="15">'15.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Investments (CAPEX)'!#REF!</definedName>
    <definedName name="Refino" localSheetId="9">'9. Expenses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2">'12. Macroeconomics'!#REF!</definedName>
    <definedName name="ROXINHO_ATIVO_CONS" localSheetId="13">'13. ESG'!#REF!</definedName>
    <definedName name="ROXINHO_ATIVO_CONS" localSheetId="14">#REF!</definedName>
    <definedName name="ROXINHO_ATIVO_CONS" localSheetId="15">'15.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Investments (CAPEX)'!#REF!</definedName>
    <definedName name="ROXINHO_ATIVO_CONS" localSheetId="9">'9. Expenses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2">'12. Macroeconomics'!#REF!</definedName>
    <definedName name="ROXINHO_ATIVO_CONS1" localSheetId="13">'13. ESG'!#REF!</definedName>
    <definedName name="ROXINHO_ATIVO_CONS1" localSheetId="14">#REF!</definedName>
    <definedName name="ROXINHO_ATIVO_CONS1" localSheetId="15">'15.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Investments (CAPEX)'!#REF!</definedName>
    <definedName name="ROXINHO_ATIVO_CONS1" localSheetId="9">'9. Expenses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2">'12. Macroeconomics'!#REF!</definedName>
    <definedName name="ROXINHO_INV_CONS" localSheetId="13">'13. ESG'!#REF!</definedName>
    <definedName name="ROXINHO_INV_CONS" localSheetId="14">#REF!</definedName>
    <definedName name="ROXINHO_INV_CONS" localSheetId="15">'15.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Investments (CAPEX)'!#REF!</definedName>
    <definedName name="ROXINHO_INV_CONS" localSheetId="9">'9. Expenses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2">'12. Macroeconomics'!#REF!</definedName>
    <definedName name="s" localSheetId="13">'13. ESG'!#REF!</definedName>
    <definedName name="s" localSheetId="14">#REF!</definedName>
    <definedName name="s" localSheetId="15">'15.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Investments (CAPEX)'!#REF!</definedName>
    <definedName name="s" localSheetId="9">'9. Expenses by nature'!#REF!</definedName>
    <definedName name="s">#REF!</definedName>
    <definedName name="sa" localSheetId="1">'1. Volume'!#REF!</definedName>
    <definedName name="sa" localSheetId="10">'10. Hedge'!#REF!</definedName>
    <definedName name="sa" localSheetId="11">'11. Debt'!#REF!</definedName>
    <definedName name="sa" localSheetId="12">'12. Macroeconomics'!#REF!</definedName>
    <definedName name="sa" localSheetId="13">'13. ESG'!#REF!</definedName>
    <definedName name="sa" localSheetId="14">#REF!</definedName>
    <definedName name="sa" localSheetId="15">'15.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Investments (CAPEX)'!#REF!</definedName>
    <definedName name="sa" localSheetId="9">'9. Expenses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2">'12. Macroeconomics'!#REF!</definedName>
    <definedName name="SAS" localSheetId="13">'13. ESG'!#REF!</definedName>
    <definedName name="SAS" localSheetId="14">#REF!</definedName>
    <definedName name="SAS" localSheetId="15">'15.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Investments (CAPEX)'!#REF!</definedName>
    <definedName name="SAS" localSheetId="9">'9. Expenses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2">'12. Macroeconomics'!#REF!</definedName>
    <definedName name="SEFIN_550" localSheetId="13">'13. ESG'!#REF!</definedName>
    <definedName name="SEFIN_550" localSheetId="14">#REF!</definedName>
    <definedName name="SEFIN_550" localSheetId="15">'15.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Investments (CAPEX)'!#REF!</definedName>
    <definedName name="SEFIN_550" localSheetId="9">'9. Expenses by nature'!#REF!</definedName>
    <definedName name="SEFIN_550">#REF!</definedName>
    <definedName name="ss" localSheetId="1">'1. Volume'!#REF!</definedName>
    <definedName name="ss" localSheetId="10">'10. Hedge'!#REF!</definedName>
    <definedName name="ss" localSheetId="11">'11. Debt'!#REF!</definedName>
    <definedName name="ss" localSheetId="12">'12. Macroeconomics'!#REF!</definedName>
    <definedName name="ss" localSheetId="13">'13. ESG'!#REF!</definedName>
    <definedName name="ss" localSheetId="14">#REF!</definedName>
    <definedName name="ss" localSheetId="15">'15.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Investments (CAPEX)'!#REF!</definedName>
    <definedName name="ss" localSheetId="9">'9. Expenses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2">'12. Macroeconomics'!#REF!</definedName>
    <definedName name="t4t" localSheetId="13">'13. ESG'!#REF!</definedName>
    <definedName name="t4t" localSheetId="14">#REF!</definedName>
    <definedName name="t4t" localSheetId="15">'15.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Investments (CAPEX)'!#REF!</definedName>
    <definedName name="t4t" localSheetId="9">'9. Expenses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2">'12. Macroeconomics'!#REF!</definedName>
    <definedName name="TABELA" localSheetId="13">'13. ESG'!#REF!</definedName>
    <definedName name="TABELA" localSheetId="14">#REF!</definedName>
    <definedName name="TABELA" localSheetId="15">'15.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Investments (CAPEX)'!#REF!</definedName>
    <definedName name="TABELA" localSheetId="9">'9. Expenses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2">'12. Macroeconomics'!#REF!</definedName>
    <definedName name="TABELA1" localSheetId="13">'13. ESG'!#REF!</definedName>
    <definedName name="TABELA1" localSheetId="14">#REF!</definedName>
    <definedName name="TABELA1" localSheetId="15">'15.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Investments (CAPEX)'!#REF!</definedName>
    <definedName name="TABELA1" localSheetId="9">'9. Expenses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2">'12. Macroeconomics'!#REF!</definedName>
    <definedName name="TABELA2" localSheetId="13">'13. ESG'!#REF!</definedName>
    <definedName name="TABELA2" localSheetId="14">#REF!</definedName>
    <definedName name="TABELA2" localSheetId="15">'15.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Investments (CAPEX)'!#REF!</definedName>
    <definedName name="TABELA2" localSheetId="9">'9. Expenses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2">'12. Macroeconomics'!#REF!</definedName>
    <definedName name="TEST0" localSheetId="13">'13. ESG'!#REF!</definedName>
    <definedName name="TEST0" localSheetId="14">#REF!</definedName>
    <definedName name="TEST0" localSheetId="15">'15.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Investments (CAPEX)'!#REF!</definedName>
    <definedName name="TEST0" localSheetId="9">'9. Expenses by nature'!#REF!</definedName>
    <definedName name="TEST0">#REF!</definedName>
    <definedName name="TEST1" localSheetId="1">'1. Volume'!#REF!</definedName>
    <definedName name="TEST1" localSheetId="10">'10. Hedge'!#REF!</definedName>
    <definedName name="TEST1" localSheetId="11">'11. Debt'!#REF!</definedName>
    <definedName name="TEST1" localSheetId="12">'12. Macroeconomics'!#REF!</definedName>
    <definedName name="TEST1" localSheetId="13">'13. ESG'!#REF!</definedName>
    <definedName name="TEST1" localSheetId="14">#REF!</definedName>
    <definedName name="TEST1" localSheetId="15">'15.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Investments (CAPEX)'!#REF!</definedName>
    <definedName name="TEST1" localSheetId="9">'9. Expenses by nature'!#REF!</definedName>
    <definedName name="TEST1">#REF!</definedName>
    <definedName name="TEST2" localSheetId="1">'1. Volume'!#REF!</definedName>
    <definedName name="TEST2" localSheetId="10">'10. Hedge'!#REF!</definedName>
    <definedName name="TEST2" localSheetId="11">'11. Debt'!#REF!</definedName>
    <definedName name="TEST2" localSheetId="12">'12. Macroeconomics'!#REF!</definedName>
    <definedName name="TEST2" localSheetId="13">'13. ESG'!#REF!</definedName>
    <definedName name="TEST2" localSheetId="14">#REF!</definedName>
    <definedName name="TEST2" localSheetId="15">'15.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Investments (CAPEX)'!#REF!</definedName>
    <definedName name="TEST2" localSheetId="9">'9. Expenses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2">'12. Macroeconomics'!#REF!</definedName>
    <definedName name="tt" localSheetId="13">'13. ESG'!#REF!</definedName>
    <definedName name="tt" localSheetId="14">#REF!</definedName>
    <definedName name="tt" localSheetId="15">'15.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Investments (CAPEX)'!#REF!</definedName>
    <definedName name="tt" localSheetId="9">'9. Expenses by nature'!#REF!</definedName>
    <definedName name="tt">#REF!</definedName>
    <definedName name="UFIR" localSheetId="1">'1. Volume'!#REF!</definedName>
    <definedName name="UFIR" localSheetId="10">'10. Hedge'!#REF!</definedName>
    <definedName name="UFIR" localSheetId="11">'11. Debt'!#REF!</definedName>
    <definedName name="UFIR" localSheetId="12">'12. Macroeconomics'!#REF!</definedName>
    <definedName name="UFIR" localSheetId="13">'13. ESG'!#REF!</definedName>
    <definedName name="UFIR" localSheetId="14">#REF!</definedName>
    <definedName name="UFIR" localSheetId="15">'15.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Investments (CAPEX)'!#REF!</definedName>
    <definedName name="UFIR" localSheetId="9">'9. Expenses by nature'!#REF!</definedName>
    <definedName name="UFIR">#REF!</definedName>
    <definedName name="us00" localSheetId="1">'1. Volume'!#REF!</definedName>
    <definedName name="us00" localSheetId="10">'10. Hedge'!#REF!</definedName>
    <definedName name="us00" localSheetId="11">'11. Debt'!#REF!</definedName>
    <definedName name="us00" localSheetId="12">'12. Macroeconomics'!#REF!</definedName>
    <definedName name="us00" localSheetId="13">'13. ESG'!#REF!</definedName>
    <definedName name="us00" localSheetId="14">#REF!</definedName>
    <definedName name="us00" localSheetId="15">'15.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Investments (CAPEX)'!#REF!</definedName>
    <definedName name="us00" localSheetId="9">'9. Expenses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2">'12. Macroeconomics'!#REF!</definedName>
    <definedName name="Vol_Vendas" localSheetId="13">'13. ESG'!#REF!</definedName>
    <definedName name="Vol_Vendas" localSheetId="14">#REF!</definedName>
    <definedName name="Vol_Vendas" localSheetId="15">'15.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Investments (CAPEX)'!#REF!</definedName>
    <definedName name="Vol_Vendas" localSheetId="9">'9. Expenses by nature'!#REF!</definedName>
    <definedName name="Vol_Vendas">#REF!</definedName>
    <definedName name="W" localSheetId="1">'1. Volume'!#REF!</definedName>
    <definedName name="W" localSheetId="10">'10. Hedge'!#REF!</definedName>
    <definedName name="W" localSheetId="11">'11. Debt'!#REF!</definedName>
    <definedName name="W" localSheetId="12">'12. Macroeconomics'!#REF!</definedName>
    <definedName name="W" localSheetId="13">'13. ESG'!#REF!</definedName>
    <definedName name="W" localSheetId="14">#REF!</definedName>
    <definedName name="W" localSheetId="15">'15.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Investments (CAPEX)'!#REF!</definedName>
    <definedName name="W" localSheetId="9">'9. Expenses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2">'12. Macroeconomics'!#REF!</definedName>
    <definedName name="xxxxx" localSheetId="13">'13. ESG'!#REF!</definedName>
    <definedName name="xxxxx" localSheetId="14">#REF!</definedName>
    <definedName name="xxxxx" localSheetId="15">'15.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Investments (CAPEX)'!#REF!</definedName>
    <definedName name="xxxxx" localSheetId="9">'9. Expenses by nature'!#REF!</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1" l="1"/>
  <c r="I19" i="45"/>
  <c r="W16" i="48"/>
  <c r="W34" i="48" s="1"/>
  <c r="W37" i="48" s="1"/>
  <c r="Y58" i="42"/>
  <c r="Y52" i="42"/>
  <c r="Y46" i="42"/>
  <c r="Y40" i="42"/>
  <c r="Y34" i="42"/>
  <c r="Y28" i="42"/>
  <c r="X28" i="42"/>
  <c r="Y21" i="42"/>
  <c r="Y15" i="42"/>
  <c r="V55" i="40"/>
  <c r="V65" i="40"/>
  <c r="V80" i="40"/>
  <c r="V84" i="40"/>
  <c r="V8" i="38"/>
  <c r="V39" i="38"/>
  <c r="V8" i="17"/>
  <c r="V18" i="17"/>
  <c r="V25" i="17"/>
  <c r="V32" i="17"/>
  <c r="V34" i="48"/>
  <c r="V37" i="48" s="1"/>
  <c r="Q34" i="48"/>
  <c r="Q37" i="48" s="1"/>
  <c r="P34" i="48"/>
  <c r="P37" i="48" s="1"/>
  <c r="O34" i="48"/>
  <c r="O37" i="48" s="1"/>
  <c r="N34" i="48"/>
  <c r="N37" i="48" s="1"/>
  <c r="I34" i="48"/>
  <c r="I37" i="48" s="1"/>
  <c r="H34" i="48"/>
  <c r="H37" i="48" s="1"/>
  <c r="G34" i="48"/>
  <c r="G37" i="48" s="1"/>
  <c r="F34" i="48"/>
  <c r="F37" i="48" s="1"/>
  <c r="V16" i="48"/>
  <c r="U16" i="48"/>
  <c r="U34" i="48" s="1"/>
  <c r="U37" i="48" s="1"/>
  <c r="T16" i="48"/>
  <c r="T34" i="48" s="1"/>
  <c r="T37" i="48" s="1"/>
  <c r="S16" i="48"/>
  <c r="S34" i="48" s="1"/>
  <c r="S37" i="48" s="1"/>
  <c r="R16" i="48"/>
  <c r="R34" i="48" s="1"/>
  <c r="R37" i="48" s="1"/>
  <c r="Q16" i="48"/>
  <c r="P16" i="48"/>
  <c r="O16" i="48"/>
  <c r="N16" i="48"/>
  <c r="M16" i="48"/>
  <c r="M34" i="48" s="1"/>
  <c r="M37" i="48" s="1"/>
  <c r="L16" i="48"/>
  <c r="L34" i="48" s="1"/>
  <c r="L37" i="48" s="1"/>
  <c r="K16" i="48"/>
  <c r="K34" i="48" s="1"/>
  <c r="K37" i="48" s="1"/>
  <c r="J16" i="48"/>
  <c r="J34" i="48" s="1"/>
  <c r="J37" i="48" s="1"/>
  <c r="I16" i="48"/>
  <c r="H16" i="48"/>
  <c r="G16" i="48"/>
  <c r="F16" i="48"/>
  <c r="E16" i="48"/>
  <c r="E34" i="48" s="1"/>
  <c r="E37" i="48" s="1"/>
  <c r="D16" i="48"/>
  <c r="D34" i="48" s="1"/>
  <c r="D37" i="48" s="1"/>
  <c r="C16" i="48"/>
  <c r="C34" i="48" s="1"/>
  <c r="C37" i="48" s="1"/>
  <c r="R11" i="29"/>
  <c r="R15" i="29" s="1"/>
  <c r="R19" i="29" s="1"/>
  <c r="R22" i="29" s="1"/>
  <c r="F15" i="31"/>
  <c r="F13" i="31"/>
  <c r="I16" i="45"/>
  <c r="Q11" i="45" s="1"/>
  <c r="G15" i="45"/>
  <c r="G14" i="45"/>
  <c r="I13" i="45"/>
  <c r="G13" i="45"/>
  <c r="Q12" i="45"/>
  <c r="R12" i="45" s="1"/>
  <c r="G12" i="45"/>
  <c r="G11" i="45"/>
  <c r="Q10" i="45"/>
  <c r="I10" i="45"/>
  <c r="Q9" i="45" s="1"/>
  <c r="G10" i="45"/>
  <c r="G9" i="45"/>
  <c r="I8" i="45"/>
  <c r="Q8" i="45" s="1"/>
  <c r="G8" i="45"/>
  <c r="F52" i="34"/>
  <c r="E52" i="34"/>
  <c r="D52" i="34"/>
  <c r="F50" i="34"/>
  <c r="E50" i="34"/>
  <c r="D50" i="34"/>
  <c r="F43" i="34"/>
  <c r="E43" i="34"/>
  <c r="D43" i="34"/>
  <c r="C22" i="29"/>
  <c r="Q11" i="29"/>
  <c r="Q15" i="29" s="1"/>
  <c r="Q19" i="29" s="1"/>
  <c r="Q22" i="29" s="1"/>
  <c r="P11" i="29"/>
  <c r="P15" i="29" s="1"/>
  <c r="P19" i="29" s="1"/>
  <c r="P22" i="29" s="1"/>
  <c r="O11" i="29"/>
  <c r="O15" i="29" s="1"/>
  <c r="O19" i="29" s="1"/>
  <c r="O22" i="29" s="1"/>
  <c r="N11" i="29"/>
  <c r="N15" i="29" s="1"/>
  <c r="N19" i="29" s="1"/>
  <c r="N22" i="29" s="1"/>
  <c r="M11" i="29"/>
  <c r="M15" i="29" s="1"/>
  <c r="M19" i="29" s="1"/>
  <c r="M22" i="29" s="1"/>
  <c r="L11" i="29"/>
  <c r="L15" i="29" s="1"/>
  <c r="L19" i="29" s="1"/>
  <c r="L22" i="29" s="1"/>
  <c r="K11" i="29"/>
  <c r="K15" i="29" s="1"/>
  <c r="K19" i="29" s="1"/>
  <c r="K22" i="29" s="1"/>
  <c r="J11" i="29"/>
  <c r="J15" i="29" s="1"/>
  <c r="J19" i="29" s="1"/>
  <c r="J22" i="29" s="1"/>
  <c r="I11" i="29"/>
  <c r="I15" i="29" s="1"/>
  <c r="I19" i="29" s="1"/>
  <c r="I22" i="29" s="1"/>
  <c r="H11" i="29"/>
  <c r="H15" i="29" s="1"/>
  <c r="H19" i="29" s="1"/>
  <c r="H22" i="29" s="1"/>
  <c r="G11" i="29"/>
  <c r="G15" i="29" s="1"/>
  <c r="G19" i="29" s="1"/>
  <c r="G22" i="29" s="1"/>
  <c r="F11" i="29"/>
  <c r="F15" i="29" s="1"/>
  <c r="F19" i="29" s="1"/>
  <c r="F22" i="29" s="1"/>
  <c r="E11" i="29"/>
  <c r="E15" i="29" s="1"/>
  <c r="E19" i="29" s="1"/>
  <c r="E22" i="29" s="1"/>
  <c r="D11" i="29"/>
  <c r="D15" i="29" s="1"/>
  <c r="D19" i="29" s="1"/>
  <c r="D22" i="29" s="1"/>
  <c r="C11" i="29"/>
  <c r="C15" i="29" s="1"/>
  <c r="L26" i="35"/>
  <c r="K26" i="35"/>
  <c r="J26" i="35"/>
  <c r="I26" i="35"/>
  <c r="H26" i="35"/>
  <c r="G26" i="35"/>
  <c r="F26" i="35"/>
  <c r="E26" i="35"/>
  <c r="D26" i="35"/>
  <c r="C26" i="35"/>
  <c r="L20" i="35"/>
  <c r="K20" i="35"/>
  <c r="J20" i="35"/>
  <c r="I20" i="35"/>
  <c r="H20" i="35"/>
  <c r="G20" i="35"/>
  <c r="F20" i="35"/>
  <c r="E20" i="35"/>
  <c r="D20" i="35"/>
  <c r="C20" i="35"/>
  <c r="K14" i="35"/>
  <c r="J14" i="35"/>
  <c r="I14" i="35"/>
  <c r="H14" i="35"/>
  <c r="G14" i="35"/>
  <c r="F14" i="35"/>
  <c r="E14" i="35"/>
  <c r="D14" i="35"/>
  <c r="C14" i="35"/>
  <c r="L8" i="35"/>
  <c r="L14" i="35" s="1"/>
  <c r="Q31" i="39"/>
  <c r="P31" i="39"/>
  <c r="O31" i="39"/>
  <c r="N31" i="39"/>
  <c r="M31" i="39"/>
  <c r="L31" i="39"/>
  <c r="K31" i="39"/>
  <c r="J31" i="39"/>
  <c r="I31" i="39"/>
  <c r="H31" i="39"/>
  <c r="G31" i="39"/>
  <c r="F31" i="39"/>
  <c r="E31" i="39"/>
  <c r="D31" i="39"/>
  <c r="C31" i="39"/>
  <c r="Q25" i="39"/>
  <c r="P25" i="39"/>
  <c r="O25" i="39"/>
  <c r="N25" i="39"/>
  <c r="M25" i="39"/>
  <c r="L25" i="39"/>
  <c r="K25" i="39"/>
  <c r="J25" i="39"/>
  <c r="I25" i="39"/>
  <c r="H25" i="39"/>
  <c r="G25" i="39"/>
  <c r="F25" i="39"/>
  <c r="E25" i="39"/>
  <c r="D25" i="39"/>
  <c r="C25" i="39"/>
  <c r="Q17" i="39"/>
  <c r="P17" i="39"/>
  <c r="O17" i="39"/>
  <c r="N17" i="39"/>
  <c r="M17" i="39"/>
  <c r="L17" i="39"/>
  <c r="K17" i="39"/>
  <c r="J17" i="39"/>
  <c r="I17" i="39"/>
  <c r="H17" i="39"/>
  <c r="G17" i="39"/>
  <c r="F17" i="39"/>
  <c r="E17" i="39"/>
  <c r="D17" i="39"/>
  <c r="C17" i="39"/>
  <c r="Q9" i="39"/>
  <c r="P9" i="39"/>
  <c r="O9" i="39"/>
  <c r="N9" i="39"/>
  <c r="M9" i="39"/>
  <c r="L9" i="39"/>
  <c r="K9" i="39"/>
  <c r="J9" i="39"/>
  <c r="I9" i="39"/>
  <c r="H9" i="39"/>
  <c r="G9" i="39"/>
  <c r="F9" i="39"/>
  <c r="E9" i="39"/>
  <c r="D9" i="39"/>
  <c r="C9" i="39"/>
  <c r="R21" i="46"/>
  <c r="Q21" i="46"/>
  <c r="P21" i="46"/>
  <c r="N21" i="46"/>
  <c r="M21" i="46"/>
  <c r="L21" i="46"/>
  <c r="J21" i="46"/>
  <c r="I21" i="46"/>
  <c r="H21" i="46"/>
  <c r="F21" i="46"/>
  <c r="E21" i="46"/>
  <c r="D21" i="46"/>
  <c r="C21" i="46"/>
  <c r="R19" i="46"/>
  <c r="Q19" i="46"/>
  <c r="P19" i="46"/>
  <c r="N19" i="46"/>
  <c r="M19" i="46"/>
  <c r="L19" i="46"/>
  <c r="J19" i="46"/>
  <c r="I19" i="46"/>
  <c r="H19" i="46"/>
  <c r="F19" i="46"/>
  <c r="E19" i="46"/>
  <c r="D19" i="46"/>
  <c r="C19" i="46"/>
  <c r="R15" i="46"/>
  <c r="N15" i="46"/>
  <c r="J15" i="46"/>
  <c r="F15" i="46"/>
  <c r="E15" i="46"/>
  <c r="D15" i="46"/>
  <c r="R13" i="46"/>
  <c r="N13" i="46"/>
  <c r="J13" i="46"/>
  <c r="F13" i="46"/>
  <c r="E13" i="46"/>
  <c r="D13" i="46"/>
  <c r="R11" i="46"/>
  <c r="N11" i="46"/>
  <c r="J11" i="46"/>
  <c r="F11" i="46"/>
  <c r="E11" i="46"/>
  <c r="D11" i="46"/>
  <c r="K65" i="42"/>
  <c r="I64" i="42"/>
  <c r="I62" i="42"/>
  <c r="I60" i="42"/>
  <c r="E60" i="42"/>
  <c r="E58" i="42" s="1"/>
  <c r="I59" i="42"/>
  <c r="X58" i="42"/>
  <c r="F11" i="31" s="1"/>
  <c r="W58" i="42"/>
  <c r="V58" i="42"/>
  <c r="U58" i="42"/>
  <c r="T58" i="42"/>
  <c r="S58" i="42"/>
  <c r="R58" i="42"/>
  <c r="Q58" i="42"/>
  <c r="P58" i="42"/>
  <c r="O58" i="42"/>
  <c r="N58" i="42"/>
  <c r="M58" i="42"/>
  <c r="L58" i="42"/>
  <c r="K58" i="42"/>
  <c r="J58" i="42"/>
  <c r="H58" i="42"/>
  <c r="G58" i="42"/>
  <c r="F58" i="42"/>
  <c r="D58" i="42"/>
  <c r="C58" i="42"/>
  <c r="I57" i="42"/>
  <c r="X52" i="42"/>
  <c r="W52" i="42"/>
  <c r="V52" i="42"/>
  <c r="U52" i="42"/>
  <c r="T52" i="42"/>
  <c r="S52" i="42"/>
  <c r="R52" i="42"/>
  <c r="Q52" i="42"/>
  <c r="P52" i="42"/>
  <c r="O52" i="42"/>
  <c r="N52" i="42"/>
  <c r="M52" i="42"/>
  <c r="L52" i="42"/>
  <c r="K52" i="42"/>
  <c r="J52" i="42"/>
  <c r="I52" i="42"/>
  <c r="H52" i="42"/>
  <c r="G52" i="42"/>
  <c r="F52" i="42"/>
  <c r="E52" i="42"/>
  <c r="D52" i="42"/>
  <c r="C52" i="42"/>
  <c r="X46" i="42"/>
  <c r="W46" i="42"/>
  <c r="V46" i="42"/>
  <c r="U46" i="42"/>
  <c r="T46" i="42"/>
  <c r="S46" i="42"/>
  <c r="R46" i="42"/>
  <c r="Q46" i="42"/>
  <c r="P46" i="42"/>
  <c r="O46" i="42"/>
  <c r="N46" i="42"/>
  <c r="M46" i="42"/>
  <c r="L46" i="42"/>
  <c r="K46" i="42"/>
  <c r="J46" i="42"/>
  <c r="I46" i="42"/>
  <c r="H46" i="42"/>
  <c r="G46" i="42"/>
  <c r="F46" i="42"/>
  <c r="E46" i="42"/>
  <c r="D46" i="42"/>
  <c r="C46" i="42"/>
  <c r="I44" i="42"/>
  <c r="Q42" i="42"/>
  <c r="Q40" i="42" s="1"/>
  <c r="Q27" i="42" s="1"/>
  <c r="E42" i="42"/>
  <c r="E40" i="42" s="1"/>
  <c r="E27" i="42" s="1"/>
  <c r="X40" i="42"/>
  <c r="W40" i="42"/>
  <c r="V40" i="42"/>
  <c r="U40" i="42"/>
  <c r="U27" i="42" s="1"/>
  <c r="T40" i="42"/>
  <c r="S40" i="42"/>
  <c r="R40" i="42"/>
  <c r="P40" i="42"/>
  <c r="O40" i="42"/>
  <c r="N40" i="42"/>
  <c r="M40" i="42"/>
  <c r="M27" i="42" s="1"/>
  <c r="L40" i="42"/>
  <c r="K40" i="42"/>
  <c r="J40" i="42"/>
  <c r="I40" i="42"/>
  <c r="H40" i="42"/>
  <c r="G40" i="42"/>
  <c r="F40" i="42"/>
  <c r="D40" i="42"/>
  <c r="C40" i="42"/>
  <c r="X34" i="42"/>
  <c r="W34" i="42"/>
  <c r="V34" i="42"/>
  <c r="U34" i="42"/>
  <c r="T34" i="42"/>
  <c r="S34" i="42"/>
  <c r="R34" i="42"/>
  <c r="Q34" i="42"/>
  <c r="P34" i="42"/>
  <c r="O34" i="42"/>
  <c r="N34" i="42"/>
  <c r="M34" i="42"/>
  <c r="L34" i="42"/>
  <c r="K34" i="42"/>
  <c r="J34" i="42"/>
  <c r="I34" i="42"/>
  <c r="H34" i="42"/>
  <c r="G34" i="42"/>
  <c r="F34" i="42"/>
  <c r="E34" i="42"/>
  <c r="D34" i="42"/>
  <c r="C34" i="42"/>
  <c r="I33" i="42"/>
  <c r="I32" i="42"/>
  <c r="I31" i="42"/>
  <c r="I30" i="42"/>
  <c r="E30" i="42"/>
  <c r="E28" i="42" s="1"/>
  <c r="I29" i="42"/>
  <c r="W28" i="42"/>
  <c r="W27" i="42" s="1"/>
  <c r="V28" i="42"/>
  <c r="U28" i="42"/>
  <c r="T28" i="42"/>
  <c r="S28" i="42"/>
  <c r="S27" i="42" s="1"/>
  <c r="R28" i="42"/>
  <c r="Q28" i="42"/>
  <c r="P28" i="42"/>
  <c r="O28" i="42"/>
  <c r="O27" i="42" s="1"/>
  <c r="N28" i="42"/>
  <c r="N27" i="42" s="1"/>
  <c r="M28" i="42"/>
  <c r="L28" i="42"/>
  <c r="K28" i="42"/>
  <c r="K27" i="42" s="1"/>
  <c r="J28" i="42"/>
  <c r="J27" i="42" s="1"/>
  <c r="H28" i="42"/>
  <c r="G28" i="42"/>
  <c r="F28" i="42"/>
  <c r="D28" i="42"/>
  <c r="D27" i="42" s="1"/>
  <c r="C28" i="42"/>
  <c r="X27" i="42"/>
  <c r="T27" i="42"/>
  <c r="X26" i="42"/>
  <c r="X65" i="42" s="1"/>
  <c r="W26" i="42"/>
  <c r="W65" i="42" s="1"/>
  <c r="V26" i="42"/>
  <c r="V65" i="42" s="1"/>
  <c r="U26" i="42"/>
  <c r="U65" i="42" s="1"/>
  <c r="T26" i="42"/>
  <c r="T65" i="42" s="1"/>
  <c r="S26" i="42"/>
  <c r="S65" i="42" s="1"/>
  <c r="R26" i="42"/>
  <c r="R65" i="42" s="1"/>
  <c r="Q26" i="42"/>
  <c r="Q65" i="42" s="1"/>
  <c r="P26" i="42"/>
  <c r="P65" i="42" s="1"/>
  <c r="O26" i="42"/>
  <c r="O65" i="42" s="1"/>
  <c r="N26" i="42"/>
  <c r="N65" i="42" s="1"/>
  <c r="M26" i="42"/>
  <c r="M65" i="42" s="1"/>
  <c r="L26" i="42"/>
  <c r="L65" i="42" s="1"/>
  <c r="K26" i="42"/>
  <c r="J26" i="42"/>
  <c r="J65" i="42" s="1"/>
  <c r="H26" i="42"/>
  <c r="H65" i="42" s="1"/>
  <c r="G26" i="42"/>
  <c r="G65" i="42" s="1"/>
  <c r="F26" i="42"/>
  <c r="F65" i="42" s="1"/>
  <c r="E26" i="42"/>
  <c r="E65" i="42" s="1"/>
  <c r="D26" i="42"/>
  <c r="D65" i="42" s="1"/>
  <c r="C26" i="42"/>
  <c r="C65" i="42" s="1"/>
  <c r="X25" i="42"/>
  <c r="W25" i="42"/>
  <c r="V25" i="42"/>
  <c r="U25" i="42"/>
  <c r="T25" i="42"/>
  <c r="S25" i="42"/>
  <c r="R25" i="42"/>
  <c r="Q25" i="42"/>
  <c r="P25" i="42"/>
  <c r="O25" i="42"/>
  <c r="N25" i="42"/>
  <c r="M25" i="42"/>
  <c r="L25" i="42"/>
  <c r="K25" i="42"/>
  <c r="J25" i="42"/>
  <c r="I25" i="42"/>
  <c r="H25" i="42"/>
  <c r="G25" i="42"/>
  <c r="F25" i="42"/>
  <c r="E25" i="42"/>
  <c r="D25" i="42"/>
  <c r="C25" i="42"/>
  <c r="X24" i="42"/>
  <c r="W24" i="42"/>
  <c r="V24" i="42"/>
  <c r="U24" i="42"/>
  <c r="T24" i="42"/>
  <c r="S24" i="42"/>
  <c r="R24" i="42"/>
  <c r="Q24" i="42"/>
  <c r="P24" i="42"/>
  <c r="O24" i="42"/>
  <c r="N24" i="42"/>
  <c r="M24" i="42"/>
  <c r="L24" i="42"/>
  <c r="L21" i="42" s="1"/>
  <c r="K24" i="42"/>
  <c r="J24" i="42"/>
  <c r="H24" i="42"/>
  <c r="G24" i="42"/>
  <c r="F24" i="42"/>
  <c r="E24" i="42"/>
  <c r="D24" i="42"/>
  <c r="C24" i="42"/>
  <c r="X23" i="42"/>
  <c r="W23" i="42"/>
  <c r="V23" i="42"/>
  <c r="U23" i="42"/>
  <c r="T23" i="42"/>
  <c r="S23" i="42"/>
  <c r="R23" i="42"/>
  <c r="Q23" i="42"/>
  <c r="P23" i="42"/>
  <c r="O23" i="42"/>
  <c r="N23" i="42"/>
  <c r="M23" i="42"/>
  <c r="L23" i="42"/>
  <c r="K23" i="42"/>
  <c r="J23" i="42"/>
  <c r="H23" i="42"/>
  <c r="G23" i="42"/>
  <c r="F23" i="42"/>
  <c r="D23" i="42"/>
  <c r="C23" i="42"/>
  <c r="X22" i="42"/>
  <c r="W22" i="42"/>
  <c r="V22" i="42"/>
  <c r="U22" i="42"/>
  <c r="T22" i="42"/>
  <c r="S22" i="42"/>
  <c r="R22" i="42"/>
  <c r="R21" i="42" s="1"/>
  <c r="Q22" i="42"/>
  <c r="P22" i="42"/>
  <c r="O22" i="42"/>
  <c r="N22" i="42"/>
  <c r="M22" i="42"/>
  <c r="M21" i="42" s="1"/>
  <c r="L22" i="42"/>
  <c r="K22" i="42"/>
  <c r="J22" i="42"/>
  <c r="H22" i="42"/>
  <c r="G22" i="42"/>
  <c r="F22" i="42"/>
  <c r="E22" i="42"/>
  <c r="D22" i="42"/>
  <c r="D21" i="42" s="1"/>
  <c r="C22" i="42"/>
  <c r="I18" i="42"/>
  <c r="I24" i="42" s="1"/>
  <c r="I17" i="42"/>
  <c r="E17" i="42"/>
  <c r="E15" i="42" s="1"/>
  <c r="I16" i="42"/>
  <c r="I22" i="42" s="1"/>
  <c r="X15" i="42"/>
  <c r="W15" i="42"/>
  <c r="V15" i="42"/>
  <c r="U15" i="42"/>
  <c r="T15" i="42"/>
  <c r="S15" i="42"/>
  <c r="R15" i="42"/>
  <c r="Q15" i="42"/>
  <c r="P15" i="42"/>
  <c r="O15" i="42"/>
  <c r="N15" i="42"/>
  <c r="M15" i="42"/>
  <c r="L15" i="42"/>
  <c r="K15" i="42"/>
  <c r="J15" i="42"/>
  <c r="H15" i="42"/>
  <c r="G15" i="42"/>
  <c r="F15" i="42"/>
  <c r="D15" i="42"/>
  <c r="C15" i="42"/>
  <c r="I14" i="42"/>
  <c r="E11" i="42"/>
  <c r="X9" i="42"/>
  <c r="W9" i="42"/>
  <c r="V9" i="42"/>
  <c r="U9" i="42"/>
  <c r="T9" i="42"/>
  <c r="S9" i="42"/>
  <c r="R9" i="42"/>
  <c r="Q9" i="42"/>
  <c r="P9" i="42"/>
  <c r="O9" i="42"/>
  <c r="N9" i="42"/>
  <c r="M9" i="42"/>
  <c r="L9" i="42"/>
  <c r="K9" i="42"/>
  <c r="J9" i="42"/>
  <c r="H9" i="42"/>
  <c r="G9" i="42"/>
  <c r="F9" i="42"/>
  <c r="E9" i="42"/>
  <c r="D9" i="42"/>
  <c r="C9" i="42"/>
  <c r="S84" i="40"/>
  <c r="R84" i="40"/>
  <c r="Q84" i="40"/>
  <c r="P84" i="40"/>
  <c r="O84" i="40"/>
  <c r="N84" i="40"/>
  <c r="M84" i="40"/>
  <c r="L84" i="40"/>
  <c r="J84" i="40"/>
  <c r="I84" i="40"/>
  <c r="H84" i="40"/>
  <c r="U80" i="40"/>
  <c r="T80" i="40"/>
  <c r="S80" i="40"/>
  <c r="R80" i="40"/>
  <c r="Q80" i="40"/>
  <c r="P80" i="40"/>
  <c r="O80" i="40"/>
  <c r="N80" i="40"/>
  <c r="M80" i="40"/>
  <c r="L80" i="40"/>
  <c r="K80" i="40"/>
  <c r="J80" i="40"/>
  <c r="I80" i="40"/>
  <c r="H80" i="40"/>
  <c r="G80" i="40"/>
  <c r="F80" i="40"/>
  <c r="E80" i="40"/>
  <c r="D80" i="40"/>
  <c r="C80" i="40"/>
  <c r="U65" i="40"/>
  <c r="T65" i="40"/>
  <c r="S65" i="40"/>
  <c r="R65" i="40"/>
  <c r="Q65" i="40"/>
  <c r="P65" i="40"/>
  <c r="O65" i="40"/>
  <c r="N65" i="40"/>
  <c r="M65" i="40"/>
  <c r="L65" i="40"/>
  <c r="K65" i="40"/>
  <c r="J65" i="40"/>
  <c r="I65" i="40"/>
  <c r="H65" i="40"/>
  <c r="G65" i="40"/>
  <c r="F65" i="40"/>
  <c r="E65" i="40"/>
  <c r="D65" i="40"/>
  <c r="C65" i="40"/>
  <c r="T55" i="40"/>
  <c r="S55" i="40"/>
  <c r="R55" i="40"/>
  <c r="Q55" i="40"/>
  <c r="P55" i="40"/>
  <c r="O55" i="40"/>
  <c r="N55" i="40"/>
  <c r="M55" i="40"/>
  <c r="L55" i="40"/>
  <c r="K55" i="40"/>
  <c r="J55" i="40"/>
  <c r="I55" i="40"/>
  <c r="H55" i="40"/>
  <c r="G55" i="40"/>
  <c r="F55" i="40"/>
  <c r="E55" i="40"/>
  <c r="D55" i="40"/>
  <c r="C55" i="40"/>
  <c r="U29" i="40"/>
  <c r="U55" i="40" s="1"/>
  <c r="M70" i="38"/>
  <c r="L70" i="38"/>
  <c r="K70" i="38"/>
  <c r="I70" i="38"/>
  <c r="H70" i="38"/>
  <c r="G70" i="38"/>
  <c r="M62" i="38"/>
  <c r="L62" i="38"/>
  <c r="K62" i="38"/>
  <c r="I62" i="38"/>
  <c r="H62" i="38"/>
  <c r="G62" i="38"/>
  <c r="M41" i="38"/>
  <c r="L41" i="38"/>
  <c r="K41" i="38"/>
  <c r="I41" i="38"/>
  <c r="H41" i="38"/>
  <c r="G41" i="38"/>
  <c r="U39" i="38"/>
  <c r="T39" i="38"/>
  <c r="S39" i="38"/>
  <c r="R39" i="38"/>
  <c r="Q39" i="38"/>
  <c r="P39" i="38"/>
  <c r="O39" i="38"/>
  <c r="N39" i="38"/>
  <c r="J39" i="38"/>
  <c r="F39" i="38"/>
  <c r="E39" i="38"/>
  <c r="D39" i="38"/>
  <c r="C39" i="38"/>
  <c r="M23" i="38"/>
  <c r="L23" i="38"/>
  <c r="K23" i="38"/>
  <c r="I23" i="38"/>
  <c r="H23" i="38"/>
  <c r="G23" i="38"/>
  <c r="M10" i="38"/>
  <c r="L10" i="38"/>
  <c r="K10" i="38"/>
  <c r="I10" i="38"/>
  <c r="H10" i="38"/>
  <c r="G10" i="38"/>
  <c r="U8" i="38"/>
  <c r="T8" i="38"/>
  <c r="S8" i="38"/>
  <c r="R8" i="38"/>
  <c r="Q8" i="38"/>
  <c r="P8" i="38"/>
  <c r="O8" i="38"/>
  <c r="N8" i="38"/>
  <c r="J8" i="38"/>
  <c r="F8" i="38"/>
  <c r="E8" i="38"/>
  <c r="D8" i="38"/>
  <c r="C8" i="38"/>
  <c r="U32" i="37"/>
  <c r="T32" i="37"/>
  <c r="S32" i="37"/>
  <c r="R32" i="37"/>
  <c r="Q32" i="37"/>
  <c r="P32" i="37"/>
  <c r="O32" i="37"/>
  <c r="N32" i="37"/>
  <c r="M32" i="37"/>
  <c r="L32" i="37"/>
  <c r="K32" i="37"/>
  <c r="I32" i="37"/>
  <c r="H32" i="37"/>
  <c r="F32" i="37"/>
  <c r="E32" i="37"/>
  <c r="D32" i="37"/>
  <c r="C32" i="37"/>
  <c r="G31" i="37"/>
  <c r="G32" i="37" s="1"/>
  <c r="G29" i="37"/>
  <c r="J29" i="37" s="1"/>
  <c r="G28" i="37"/>
  <c r="J28" i="37" s="1"/>
  <c r="G26" i="37"/>
  <c r="J26" i="37" s="1"/>
  <c r="G25" i="37"/>
  <c r="J25" i="37" s="1"/>
  <c r="G23" i="37"/>
  <c r="J23" i="37" s="1"/>
  <c r="G22" i="37"/>
  <c r="J22" i="37" s="1"/>
  <c r="G21" i="37"/>
  <c r="J21" i="37" s="1"/>
  <c r="G19" i="37"/>
  <c r="J19" i="37" s="1"/>
  <c r="G17" i="37"/>
  <c r="J17" i="37" s="1"/>
  <c r="G16" i="37"/>
  <c r="J16" i="37" s="1"/>
  <c r="G15" i="37"/>
  <c r="J15" i="37" s="1"/>
  <c r="G13" i="37"/>
  <c r="J13" i="37" s="1"/>
  <c r="G11" i="37"/>
  <c r="J11" i="37" s="1"/>
  <c r="I10" i="37"/>
  <c r="G10" i="37"/>
  <c r="I9" i="37"/>
  <c r="G9" i="37"/>
  <c r="U32" i="17"/>
  <c r="T32" i="17"/>
  <c r="S32" i="17"/>
  <c r="R32" i="17"/>
  <c r="Q32" i="17"/>
  <c r="P32" i="17"/>
  <c r="O32" i="17"/>
  <c r="N32" i="17"/>
  <c r="M32" i="17"/>
  <c r="L32" i="17"/>
  <c r="K32" i="17"/>
  <c r="J32" i="17"/>
  <c r="I32" i="17"/>
  <c r="H32" i="17"/>
  <c r="G32" i="17"/>
  <c r="F32" i="17"/>
  <c r="E32" i="17"/>
  <c r="D32" i="17"/>
  <c r="C32" i="17"/>
  <c r="U25" i="17"/>
  <c r="T25" i="17"/>
  <c r="S25" i="17"/>
  <c r="R25" i="17"/>
  <c r="Q25" i="17"/>
  <c r="P25" i="17"/>
  <c r="O25" i="17"/>
  <c r="N25" i="17"/>
  <c r="M25" i="17"/>
  <c r="L25" i="17"/>
  <c r="K25" i="17"/>
  <c r="J25" i="17"/>
  <c r="I25" i="17"/>
  <c r="H25" i="17"/>
  <c r="G25" i="17"/>
  <c r="F25" i="17"/>
  <c r="E25" i="17"/>
  <c r="D25" i="17"/>
  <c r="C25" i="17"/>
  <c r="U18" i="17"/>
  <c r="T18" i="17"/>
  <c r="S18" i="17"/>
  <c r="R18" i="17"/>
  <c r="Q18" i="17"/>
  <c r="P18" i="17"/>
  <c r="O18" i="17"/>
  <c r="N18" i="17"/>
  <c r="M18" i="17"/>
  <c r="L18" i="17"/>
  <c r="K18" i="17"/>
  <c r="J18" i="17"/>
  <c r="I18" i="17"/>
  <c r="H18" i="17"/>
  <c r="G18" i="17"/>
  <c r="F18" i="17"/>
  <c r="E18" i="17"/>
  <c r="D18" i="17"/>
  <c r="C18" i="17"/>
  <c r="U8" i="17"/>
  <c r="T8" i="17"/>
  <c r="S8" i="17"/>
  <c r="R8" i="17"/>
  <c r="Q8" i="17"/>
  <c r="P8" i="17"/>
  <c r="O8" i="17"/>
  <c r="N8" i="17"/>
  <c r="M8" i="17"/>
  <c r="L8" i="17"/>
  <c r="K8" i="17"/>
  <c r="J8" i="17"/>
  <c r="I8" i="17"/>
  <c r="H8" i="17"/>
  <c r="G8" i="17"/>
  <c r="F8" i="17"/>
  <c r="E8" i="17"/>
  <c r="D8" i="17"/>
  <c r="C8" i="17"/>
  <c r="L39" i="38" l="1"/>
  <c r="Y27" i="42"/>
  <c r="M82" i="40"/>
  <c r="V82" i="40"/>
  <c r="I8" i="38"/>
  <c r="L8" i="38"/>
  <c r="H39" i="38"/>
  <c r="M39" i="38"/>
  <c r="G8" i="38"/>
  <c r="J9" i="37"/>
  <c r="J31" i="37"/>
  <c r="J32" i="37" s="1"/>
  <c r="C82" i="40"/>
  <c r="G82" i="40"/>
  <c r="K82" i="40"/>
  <c r="D82" i="40"/>
  <c r="H82" i="40"/>
  <c r="L82" i="40"/>
  <c r="P82" i="40"/>
  <c r="T82" i="40"/>
  <c r="I39" i="38"/>
  <c r="F82" i="40"/>
  <c r="J82" i="40"/>
  <c r="N82" i="40"/>
  <c r="R82" i="40"/>
  <c r="E82" i="40"/>
  <c r="I82" i="40"/>
  <c r="J10" i="37"/>
  <c r="H8" i="38"/>
  <c r="M8" i="38"/>
  <c r="K8" i="38"/>
  <c r="E23" i="42"/>
  <c r="E21" i="42" s="1"/>
  <c r="Q21" i="42"/>
  <c r="G39" i="38"/>
  <c r="C21" i="42"/>
  <c r="G21" i="42"/>
  <c r="P21" i="42"/>
  <c r="T21" i="42"/>
  <c r="X21" i="42"/>
  <c r="F21" i="42"/>
  <c r="R27" i="42"/>
  <c r="V27" i="42"/>
  <c r="F27" i="42"/>
  <c r="H27" i="42"/>
  <c r="P27" i="42"/>
  <c r="Q82" i="40"/>
  <c r="I15" i="42"/>
  <c r="G27" i="42"/>
  <c r="I58" i="42"/>
  <c r="K39" i="38"/>
  <c r="N21" i="42"/>
  <c r="V21" i="42"/>
  <c r="H21" i="42"/>
  <c r="C27" i="42"/>
  <c r="U82" i="40"/>
  <c r="J21" i="42"/>
  <c r="L27" i="42"/>
  <c r="G22" i="45"/>
  <c r="O82" i="40"/>
  <c r="S82" i="40"/>
  <c r="S86" i="40" s="1"/>
  <c r="T84" i="40" s="1"/>
  <c r="I26" i="42"/>
  <c r="I65" i="42" s="1"/>
  <c r="I9" i="42"/>
  <c r="K21" i="42"/>
  <c r="O21" i="42"/>
  <c r="S21" i="42"/>
  <c r="W21" i="42"/>
  <c r="I23" i="42"/>
  <c r="U21" i="42"/>
  <c r="H22" i="45"/>
  <c r="I28" i="42"/>
  <c r="I27" i="42" s="1"/>
  <c r="T86" i="40" l="1"/>
  <c r="U84" i="40" s="1"/>
  <c r="I2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Lara Ribeiro de Lima</author>
  </authors>
  <commentList>
    <comment ref="B25" authorId="0" shapeId="0" xr:uid="{5F2F209C-34CB-49D2-B3FE-414DA87BF6FF}">
      <text>
        <r>
          <rPr>
            <b/>
            <sz val="10"/>
            <color indexed="81"/>
            <rFont val="Calibri Light"/>
            <family val="2"/>
            <scheme val="major"/>
          </rPr>
          <t xml:space="preserve">Encargos tributários: </t>
        </r>
        <r>
          <rPr>
            <sz val="10"/>
            <color indexed="81"/>
            <rFont val="Calibri Light"/>
            <family val="2"/>
            <scheme val="major"/>
          </rPr>
          <t>Os ajustes são referentes aos gastos com IOF, PIS e COFINS incidentes sobre as receitas financeiras da Companhia e que estão classificados em despesas tributárias.</t>
        </r>
      </text>
    </comment>
  </commentList>
</comments>
</file>

<file path=xl/sharedStrings.xml><?xml version="1.0" encoding="utf-8"?>
<sst xmlns="http://schemas.openxmlformats.org/spreadsheetml/2006/main" count="1024" uniqueCount="577">
  <si>
    <t>1. Volume</t>
  </si>
  <si>
    <t>Diesel</t>
  </si>
  <si>
    <t>B2B</t>
  </si>
  <si>
    <t>GAV</t>
  </si>
  <si>
    <t>VIBRA ENERGIA</t>
  </si>
  <si>
    <t>CAPEX</t>
  </si>
  <si>
    <t>(1.2) B2B</t>
  </si>
  <si>
    <t>(2.2) B2B</t>
  </si>
  <si>
    <t>(3.2) B2B</t>
  </si>
  <si>
    <t>(7.2) B2B</t>
  </si>
  <si>
    <t>(6.2) B2B</t>
  </si>
  <si>
    <t>SWAP</t>
  </si>
  <si>
    <t>CDI</t>
  </si>
  <si>
    <t>IPCA</t>
  </si>
  <si>
    <t>(5.2) B2B</t>
  </si>
  <si>
    <t>VIBRA ENERGIA (R$ milhões)</t>
  </si>
  <si>
    <t>EBITDA/m³</t>
  </si>
  <si>
    <t>Real</t>
  </si>
  <si>
    <t>Δ</t>
  </si>
  <si>
    <t>CBIOS</t>
  </si>
  <si>
    <t>AMS</t>
  </si>
  <si>
    <t>Despesas Operacionais Ajustadas</t>
  </si>
  <si>
    <t>(4.1.2) B2B</t>
  </si>
  <si>
    <t>GRI 102-8</t>
  </si>
  <si>
    <t>6530*</t>
  </si>
  <si>
    <t>GRI 102-38</t>
  </si>
  <si>
    <t>GRI 102-39</t>
  </si>
  <si>
    <t>GRI 405-2</t>
  </si>
  <si>
    <t>-</t>
  </si>
  <si>
    <t>GRI 403-9</t>
  </si>
  <si>
    <t>GRI 205-2</t>
  </si>
  <si>
    <t>GRI 205-3</t>
  </si>
  <si>
    <t>GRI 413-1</t>
  </si>
  <si>
    <t>Porcentagem de operações com engajamento na comunidade local implementado, avaliações de impacto e/ou programas de desenvolvimento</t>
  </si>
  <si>
    <t>%</t>
  </si>
  <si>
    <t>GRI 413-2</t>
  </si>
  <si>
    <t>Impactos</t>
  </si>
  <si>
    <t>Impactos reais</t>
  </si>
  <si>
    <t>Aumento do tráfego de caminhões, aumento da movimentação de veículos e pessoas no entorno de nossas unidades e realização de obras.</t>
  </si>
  <si>
    <t>Impactos potenciais</t>
  </si>
  <si>
    <t>Contaminação de água subterrânea e solo; impactos causados por acidentes de trânsito; alteração da qualidade do ar, remoção de comunidades e desapropriação de imóveis</t>
  </si>
  <si>
    <t>Aumento do tráfego de caminhões, aumento da movimentação de veículos e pessoas no entorno de nossas unidades e realização de obras</t>
  </si>
  <si>
    <t>Contaminação de água subterrânea e solo; impactos causados por acidentes de trânsito; alteração da qualidade do ar.</t>
  </si>
  <si>
    <t>Impactos potenciais de trabalho escravo contemporâneo na lavoura de cana-de-açúcar</t>
  </si>
  <si>
    <t>Nota: Separamos as informações por tipo de operação, pois os impactos são similares. Nossas unidades estão indicadas no mapa do capítulo "Nossas Unidades".</t>
  </si>
  <si>
    <t>1. Operação de armazenagem e distribuição de combustíveis</t>
  </si>
  <si>
    <t>2. Operação de produção e distribuição de lubrificantes</t>
  </si>
  <si>
    <t>3. Operação de aquisição de biocombustíveis</t>
  </si>
  <si>
    <t>Local da Operação</t>
  </si>
  <si>
    <t>GRI 305-1</t>
  </si>
  <si>
    <t>GRI 102-48 | 305-3</t>
  </si>
  <si>
    <t>Status</t>
  </si>
  <si>
    <t>Total</t>
  </si>
  <si>
    <t>(*) (**)</t>
  </si>
  <si>
    <t>USDBRL</t>
  </si>
  <si>
    <t>GRI 303-3 | 303-5</t>
  </si>
  <si>
    <t>GRI 306-3</t>
  </si>
  <si>
    <t>GRI 305-4</t>
  </si>
  <si>
    <t>GRI 303-3</t>
  </si>
  <si>
    <t>GRI 302-1</t>
  </si>
  <si>
    <t>Biodiesel (B100)¹</t>
  </si>
  <si>
    <t>GRI 302-3</t>
  </si>
  <si>
    <t>GRI 302-4</t>
  </si>
  <si>
    <t>(4.2.2) B2B</t>
  </si>
  <si>
    <t>(4.3.2) B2B</t>
  </si>
  <si>
    <t>jan-mar</t>
  </si>
  <si>
    <t>IPCA (m-1)*</t>
  </si>
  <si>
    <t>Selic</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</si>
  <si>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</si>
  <si>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</si>
  <si>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</si>
  <si>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</si>
  <si>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</si>
  <si>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</si>
  <si>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</si>
  <si>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</si>
  <si>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</si>
  <si>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Net income before finance income / (expense), results in equity-accounted investments, and income tax</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</si>
  <si>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</si>
  <si>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</si>
  <si>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</si>
  <si>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</si>
  <si>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</si>
  <si>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</si>
  <si>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</si>
  <si>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</si>
  <si>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</si>
  <si>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Net income for the period</t>
  </si>
  <si>
    <t>Result, basic and diluted per stock  - R$</t>
  </si>
  <si>
    <t>Share capital: 1,165,000,000 ordinary.</t>
  </si>
  <si>
    <t>VIBRA ENERGIA - Consolidated</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</si>
  <si>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</si>
  <si>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</si>
  <si>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</si>
  <si>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</si>
  <si>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</si>
  <si>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</si>
  <si>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</si>
  <si>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</si>
  <si>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</si>
  <si>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</si>
  <si>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Assets held for sale</t>
  </si>
  <si>
    <t>Other current assets</t>
  </si>
  <si>
    <t>Noncurrent</t>
  </si>
  <si>
    <t xml:space="preserve">Judicial deposits </t>
  </si>
  <si>
    <t xml:space="preserve">Deferred income and social contribution tax </t>
  </si>
  <si>
    <t>Other noncurrent assets</t>
  </si>
  <si>
    <t>Investments</t>
  </si>
  <si>
    <t>Property, plant and equipment</t>
  </si>
  <si>
    <t>Intangible assets</t>
  </si>
  <si>
    <t>Loans and financing related party</t>
  </si>
  <si>
    <t>LIABILITIES + EQUITY</t>
  </si>
  <si>
    <t>Equity</t>
  </si>
  <si>
    <t>Paid-in capital</t>
  </si>
  <si>
    <t>Revenue reserves</t>
  </si>
  <si>
    <t>Capital reserves</t>
  </si>
  <si>
    <t>Treasury stock</t>
  </si>
  <si>
    <t>Asset and liability valuation adjustments</t>
  </si>
  <si>
    <t>Cash flows from operating activities</t>
  </si>
  <si>
    <t>Adjustments to:</t>
  </si>
  <si>
    <t>Depreciation and amortization</t>
  </si>
  <si>
    <t>Expected credit losses, net of reversal</t>
  </si>
  <si>
    <t xml:space="preserve">Income on the sale / derecognition of assets </t>
  </si>
  <si>
    <t>Appropriation of insurance, rent and other</t>
  </si>
  <si>
    <t>Net monetary and exchange variance</t>
  </si>
  <si>
    <t>Gain at fair value, financial instruments, net</t>
  </si>
  <si>
    <t>Expenses on pension and health plans</t>
  </si>
  <si>
    <t>Provision for judicial and administrative proceedings, net of reversal</t>
  </si>
  <si>
    <t>Provision Discount due to salary renegotiation</t>
  </si>
  <si>
    <t>Provision for decarbonization credits (CBIOS)</t>
  </si>
  <si>
    <t>Recovery of PIS and Cofins - exclusion of ICMS from the calculation base</t>
  </si>
  <si>
    <t>ICMS credits - End of permanent status "Tax Substitution"</t>
  </si>
  <si>
    <t>Gain on concession agreement compensation</t>
  </si>
  <si>
    <t>Other adjustments</t>
  </si>
  <si>
    <t>Earnings on material interests</t>
  </si>
  <si>
    <t>Appropriation / derecognition of early bonuses awarded to customers</t>
  </si>
  <si>
    <t>Decrease (increase) in assets and increase (decrease) in liabilities</t>
  </si>
  <si>
    <t>Judicial Deposits</t>
  </si>
  <si>
    <t>Acquisition for decarbonization credits (CBIOS)</t>
  </si>
  <si>
    <t>Trade and other receivables</t>
  </si>
  <si>
    <t>Advanced bonuses awarded to clients</t>
  </si>
  <si>
    <t>Trade accounts payable</t>
  </si>
  <si>
    <t>Income and social contribution taxes paid</t>
  </si>
  <si>
    <t>Taxes, fees and contributions</t>
  </si>
  <si>
    <t>Pension and health plan</t>
  </si>
  <si>
    <t>Voluntary redundancy incentivization plan</t>
  </si>
  <si>
    <t>Redundancy program and restructuring</t>
  </si>
  <si>
    <t>Payments of legal proceedings</t>
  </si>
  <si>
    <t>Customer advances</t>
  </si>
  <si>
    <t>Other assets and liabilities, net</t>
  </si>
  <si>
    <t>Net cash provided by operations</t>
  </si>
  <si>
    <t>Investment activities</t>
  </si>
  <si>
    <t>Acquisitions of PPE and intangible assets</t>
  </si>
  <si>
    <t>Investments in equity investments</t>
  </si>
  <si>
    <t>Receipt from the sale of assets</t>
  </si>
  <si>
    <t>Investments in securities</t>
  </si>
  <si>
    <t>Dividends received</t>
  </si>
  <si>
    <t>Receipt of loans awarded</t>
  </si>
  <si>
    <t>Cash effect from the loss of control over interest</t>
  </si>
  <si>
    <t>Net cash used in in investment activities</t>
  </si>
  <si>
    <t>Financing activities</t>
  </si>
  <si>
    <t>Financing</t>
  </si>
  <si>
    <t>Loans and financing</t>
  </si>
  <si>
    <t>Amortization of principal</t>
  </si>
  <si>
    <t>Amortization of interest</t>
  </si>
  <si>
    <t>Dividends and interest on shareholders’ equity paid</t>
  </si>
  <si>
    <t>Leases</t>
  </si>
  <si>
    <t>Payments of principal</t>
  </si>
  <si>
    <t>Interest payments</t>
  </si>
  <si>
    <t>Others</t>
  </si>
  <si>
    <t>Net cash generated in financing activities</t>
  </si>
  <si>
    <t>Net change in cash and cash equivalents in the period</t>
  </si>
  <si>
    <t>Cash and cash equivalents at beginning of period</t>
  </si>
  <si>
    <t>Cash and cash equivalents at end of period</t>
  </si>
  <si>
    <t>Assignments credit rights - FIDC-NP / Share buyback</t>
  </si>
  <si>
    <t>Loss of value of asset recovery  - Impairment</t>
  </si>
  <si>
    <t>(millions)</t>
  </si>
  <si>
    <t>Income and social contribution taxes</t>
  </si>
  <si>
    <t>Taxes and contributions payable</t>
  </si>
  <si>
    <t>Dividends and interest on shareholders' equity payable</t>
  </si>
  <si>
    <t>Payroll, vacations, charges, bonuses and profit sharing</t>
  </si>
  <si>
    <t xml:space="preserve">Provision for decarbonization credits </t>
  </si>
  <si>
    <t>Other accounts and expenses payable</t>
  </si>
  <si>
    <t>Derivative financial instrument</t>
  </si>
  <si>
    <t>Provision for judicial and administrative proceedings</t>
  </si>
  <si>
    <t>AVIATION</t>
  </si>
  <si>
    <t>(1) Sales Revenue</t>
  </si>
  <si>
    <t>(1.1) Retail</t>
  </si>
  <si>
    <t>(1.3) Aviation</t>
  </si>
  <si>
    <t>(1.4) Corporate</t>
  </si>
  <si>
    <t>(1.5) Reconciliation with financial statements</t>
  </si>
  <si>
    <t>(2.1) Retail</t>
  </si>
  <si>
    <t>(2.3) Aviation</t>
  </si>
  <si>
    <t>(2.4) Corporate</t>
  </si>
  <si>
    <t>(2.5) Reconciliation with financial statements</t>
  </si>
  <si>
    <t>(2) Cost of goods sold</t>
  </si>
  <si>
    <t>(3.1) Retail</t>
  </si>
  <si>
    <t>(3.3) Aviation</t>
  </si>
  <si>
    <t>(3.4) Corporate</t>
  </si>
  <si>
    <t>(3.5) Reconciliation with financial statements</t>
  </si>
  <si>
    <t>(8.1) Reconciliation with financial statements</t>
  </si>
  <si>
    <t>(8) Net income (loss) before tax</t>
  </si>
  <si>
    <t>(7) Adjusted EBITDA</t>
  </si>
  <si>
    <t>(7.1) Retail</t>
  </si>
  <si>
    <t>(7.3) Aviation</t>
  </si>
  <si>
    <t>(7.4) Corporate</t>
  </si>
  <si>
    <t>(7.5) Reconciliation with financial statements</t>
  </si>
  <si>
    <t>(6) Net finance income</t>
  </si>
  <si>
    <t>(6.1) Retail</t>
  </si>
  <si>
    <t>(6.3) Aviation</t>
  </si>
  <si>
    <t>(6.4) Corporate</t>
  </si>
  <si>
    <t>(6.5) Reconciliation with financial statements</t>
  </si>
  <si>
    <t>(5) Equity earnings</t>
  </si>
  <si>
    <t>(5.1) Retail</t>
  </si>
  <si>
    <t>(5.3) Aviation</t>
  </si>
  <si>
    <t>(5.4) Corporate</t>
  </si>
  <si>
    <t>(5.5) Reconciliation with financial statements</t>
  </si>
  <si>
    <t>(4.3) Other net revenue (expenses)</t>
  </si>
  <si>
    <t>(4.3.1) Retail</t>
  </si>
  <si>
    <t>(4.3.3) Aviation</t>
  </si>
  <si>
    <t>(4.3.4) Corporate</t>
  </si>
  <si>
    <t>(4.3.5) Reconciliation with financial statements</t>
  </si>
  <si>
    <t>(4.2) Tax</t>
  </si>
  <si>
    <t>(4.2.1) Retail</t>
  </si>
  <si>
    <t>(4.2.3) Aviation</t>
  </si>
  <si>
    <t>(4.2.4) Corporate</t>
  </si>
  <si>
    <t>(4.2.5) Reconciliation with financial statements</t>
  </si>
  <si>
    <t>(4.1) General, administrative and sales</t>
  </si>
  <si>
    <t>(4.1.1) Retail</t>
  </si>
  <si>
    <t>(4.1.3) Aviation</t>
  </si>
  <si>
    <t>(4.1.4) Corporate</t>
  </si>
  <si>
    <t>(4.1.5) Reconciliation with financial statements</t>
  </si>
  <si>
    <t>(4) Expenses</t>
  </si>
  <si>
    <t>(3) Gross profit</t>
  </si>
  <si>
    <t>Performance Bonuses</t>
  </si>
  <si>
    <t>Values ​​granted to customers based on compliance with contractually agreed deadlines and performances.</t>
  </si>
  <si>
    <t>BONUSES</t>
  </si>
  <si>
    <t>VIBRA ENERGIA (R$ millions)</t>
  </si>
  <si>
    <t>Award and sales rebates</t>
  </si>
  <si>
    <t>Acquisitions of fixed and intangible assets</t>
  </si>
  <si>
    <t>Investments in equity interests</t>
  </si>
  <si>
    <r>
      <t xml:space="preserve">VIBRA ENERGIA - Consolidated </t>
    </r>
    <r>
      <rPr>
        <sz val="12"/>
        <color rgb="FF0E7716"/>
        <rFont val="Arial"/>
        <family val="2"/>
      </rPr>
      <t>(millions)</t>
    </r>
  </si>
  <si>
    <t>Cost of goods sold</t>
  </si>
  <si>
    <t>Products for resale</t>
  </si>
  <si>
    <t>Third-party services, freight and rentals</t>
  </si>
  <si>
    <t>Personnel expenses</t>
  </si>
  <si>
    <t>Change in stocks</t>
  </si>
  <si>
    <t>Expected Credit Losses (*)</t>
  </si>
  <si>
    <t>Losses with bad debts (*)</t>
  </si>
  <si>
    <t>Salary renegotiation allowance</t>
  </si>
  <si>
    <t>General and Administrative Expenses</t>
  </si>
  <si>
    <t>Tax credits - ICMS on the PIS and COFINS calculation basis</t>
  </si>
  <si>
    <t>ICMS credits – End of definitiveness</t>
  </si>
  <si>
    <t>Recovery of PIS/COFINS Credits - Ninety</t>
  </si>
  <si>
    <t>Property expropriation</t>
  </si>
  <si>
    <t>Rent Expenses</t>
  </si>
  <si>
    <t>Indemnity gain from the concession contract GAS ES</t>
  </si>
  <si>
    <t>Losses and provisions with legal proceedings</t>
  </si>
  <si>
    <t>Profit participation</t>
  </si>
  <si>
    <t xml:space="preserve">Plan for jobs and salaries </t>
  </si>
  <si>
    <t>Volunteer dismissal incentive plan</t>
  </si>
  <si>
    <t>Dismissal and restructuring program</t>
  </si>
  <si>
    <t>Pension and health plan - inactive</t>
  </si>
  <si>
    <t>2. Income Statement</t>
  </si>
  <si>
    <t>(thousand of m³)</t>
  </si>
  <si>
    <t>Gasoline</t>
  </si>
  <si>
    <t>Ethanol</t>
  </si>
  <si>
    <t>Fuel Oil</t>
  </si>
  <si>
    <t>Coke</t>
  </si>
  <si>
    <t>Fuel Aviation</t>
  </si>
  <si>
    <t>ATF</t>
  </si>
  <si>
    <t xml:space="preserve">B2B Segment: </t>
  </si>
  <si>
    <t>*note 1: B2B without aviation segment</t>
  </si>
  <si>
    <t>*note 2: Stratura considered in line "Others" of B2B.</t>
  </si>
  <si>
    <t>oct-dec</t>
  </si>
  <si>
    <t>apr-jun</t>
  </si>
  <si>
    <t>jul-sept</t>
  </si>
  <si>
    <t>4Q17</t>
  </si>
  <si>
    <t>1Q18</t>
  </si>
  <si>
    <t>2Q18</t>
  </si>
  <si>
    <t>3Q18</t>
  </si>
  <si>
    <t>4Q18</t>
  </si>
  <si>
    <t>1Q19</t>
  </si>
  <si>
    <t>2Q19</t>
  </si>
  <si>
    <t>3Q19</t>
  </si>
  <si>
    <t>4Q19</t>
  </si>
  <si>
    <t>1Q20</t>
  </si>
  <si>
    <t>2Q20</t>
  </si>
  <si>
    <t>3Q20</t>
  </si>
  <si>
    <t>4Q20</t>
  </si>
  <si>
    <t>1Q21</t>
  </si>
  <si>
    <t>2Q21</t>
  </si>
  <si>
    <t>3Q21</t>
  </si>
  <si>
    <t>1Q17</t>
  </si>
  <si>
    <t>2Q17</t>
  </si>
  <si>
    <t>3Q17</t>
  </si>
  <si>
    <t>4. Cash Flow Reconciliation (CFR)</t>
  </si>
  <si>
    <t>5. Segment Reporting</t>
  </si>
  <si>
    <t>jan-dec</t>
  </si>
  <si>
    <t>3. Balance Sheet</t>
  </si>
  <si>
    <t>Loans transactions with holding shareholder</t>
  </si>
  <si>
    <t>Cession of credit rights</t>
  </si>
  <si>
    <t>Awards by performance</t>
  </si>
  <si>
    <t>Voluntary departures incentive Plan</t>
  </si>
  <si>
    <t>Profit Share Program</t>
  </si>
  <si>
    <t>Bonds and securities</t>
  </si>
  <si>
    <t>Decarbonization credit provision</t>
  </si>
  <si>
    <t>Franchise income, rents and royalties</t>
  </si>
  <si>
    <t>Joint Storage Revenue</t>
  </si>
  <si>
    <t>Recovery taxes of PIS and Cofins</t>
  </si>
  <si>
    <t>Institutional relations and cultural projects</t>
  </si>
  <si>
    <t>Disposal result/ assets retirement</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</si>
  <si>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</si>
  <si>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</si>
  <si>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</si>
  <si>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</si>
  <si>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</si>
  <si>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Consolidated (R$ millions)</t>
  </si>
  <si>
    <t>Operational expenses</t>
  </si>
  <si>
    <t>Settled Commodities Hedge</t>
  </si>
  <si>
    <t>Commodities Hedge to perform</t>
  </si>
  <si>
    <t>PIS/COFINS result</t>
  </si>
  <si>
    <t>Operational expenses without Hedge | CBIOs | PIS e COFINS | AMS</t>
  </si>
  <si>
    <t>Retail (R$ millions)</t>
  </si>
  <si>
    <t>Operational expenses adjusted</t>
  </si>
  <si>
    <t>Settled Hedge Result</t>
  </si>
  <si>
    <t xml:space="preserve">Operational expenses without Hedge | CBIOs </t>
  </si>
  <si>
    <t>B2B (R$ millions)</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</si>
  <si>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</si>
  <si>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</si>
  <si>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</si>
  <si>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</si>
  <si>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</si>
  <si>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</si>
  <si>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</si>
  <si>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</si>
  <si>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</si>
  <si>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GDP</t>
  </si>
  <si>
    <t>Dividends</t>
  </si>
  <si>
    <t>Men</t>
  </si>
  <si>
    <t>Woman</t>
  </si>
  <si>
    <t>Employees</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</si>
  <si>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</si>
  <si>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</si>
  <si>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</si>
  <si>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</si>
  <si>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</si>
  <si>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</si>
  <si>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</si>
  <si>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</si>
  <si>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</si>
  <si>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</si>
  <si>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</si>
  <si>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</si>
  <si>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</si>
  <si>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</si>
  <si>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</si>
  <si>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</si>
  <si>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</si>
  <si>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</si>
  <si>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</si>
  <si>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</si>
  <si>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</si>
  <si>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</si>
  <si>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</si>
  <si>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</si>
  <si>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Average total annual compensation for all employees</t>
  </si>
  <si>
    <t>percentage increase YoY</t>
  </si>
  <si>
    <t>Proportion (%)</t>
  </si>
  <si>
    <t>Mathematical ratio between base salary and compensation for women and men in each functional category</t>
  </si>
  <si>
    <t>Coordination</t>
  </si>
  <si>
    <t>Supervision</t>
  </si>
  <si>
    <t>Note: On 12/31/2020 there were no women in the supervisory position</t>
  </si>
  <si>
    <t>Employee health and safety rates and figures</t>
  </si>
  <si>
    <t>Number of fatalities as a result of work-related injuries</t>
  </si>
  <si>
    <t>Fatality rate as a result of work-related injuries</t>
  </si>
  <si>
    <t>Number of highly consequential work-related injuries (excluding fatalities)</t>
  </si>
  <si>
    <t>Rate of highly consequential work-related injuries (excluding fatalities)</t>
  </si>
  <si>
    <t>Number of reportable work-related injuries</t>
  </si>
  <si>
    <t>Rate of reportable work-related injuries</t>
  </si>
  <si>
    <t>In 2020 the HHER (Human Hours of Exposure to Risk) of employees was 5,298,167, Rates are calculated based on 1,000,000 hours worked, The calculation of our indicators accounts for employees, interns (1/2 of the HHER because they are 4-hour workers) and Youth Apprentice (1/2 of the HHER because they are 4-hour workers), We also consider injuries that only need first aid in the item “Number of reportable work-related injuries”</t>
  </si>
  <si>
    <t>Health, safety and environmental indicators</t>
  </si>
  <si>
    <t>Oil and oil derivative leaks having an impact on the environment (VAZO, m3 )</t>
  </si>
  <si>
    <t>Reported Accident Rate (RAR, injured per million of HHER)</t>
  </si>
  <si>
    <t>Percentage of Lost Work Time (LWT %)</t>
  </si>
  <si>
    <t>Factoring in preventive leave due to Covid-19, the accumulated result in 2020 was 1,59</t>
  </si>
  <si>
    <t>Fraud and corruption cases</t>
  </si>
  <si>
    <t>Total Number of confirmed cases</t>
  </si>
  <si>
    <t>Nature of reported cases</t>
  </si>
  <si>
    <t>Total number of confirmed cases in which employees were terminated or disciplined for corruption</t>
  </si>
  <si>
    <t>Total number of confirmed cases in which contracts with business partners were rescinded or not renewed as a result of corruptionrelated violations</t>
  </si>
  <si>
    <t>Asset misappropriation, corruption and bid rigging</t>
  </si>
  <si>
    <t>Asset misappropriation and other issues</t>
  </si>
  <si>
    <t>One case of misrepresentation, one case of misuse of privileged company information, and two cases of supplier favoring</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</si>
  <si>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t>
  </si>
  <si>
    <t>Corporate governance</t>
  </si>
  <si>
    <t>Internal public</t>
  </si>
  <si>
    <t>Communities</t>
  </si>
  <si>
    <t>Environment</t>
  </si>
  <si>
    <t xml:space="preserve">Percentage of operations with implemented local community engagement, impact assessments and/or development programs </t>
  </si>
  <si>
    <t>Social impact assessments, including gender impact assessments, based on participatory processes (Community mapping)</t>
  </si>
  <si>
    <t>Environmental impact assessments and continuous monitoring (LAIPDs)</t>
  </si>
  <si>
    <t>Public reporting of results of environmental and social impact assessments</t>
  </si>
  <si>
    <t>Local development programs based on the needs of local communities</t>
  </si>
  <si>
    <t>Stakeholder engagement plans based on mappings of these parties (Community Relationship Plans)</t>
  </si>
  <si>
    <t>Committees and processes for wideranging outreach with the local community, including vulnerable groups (Community Advisory Council of Campos Elíseos – Duque de Caxias (RJ) and Grupo da Cidade Nova)</t>
  </si>
  <si>
    <t>We only consider units operated directly by us, In item i, we consider units that have updated the registration of communities, including social impacts, and disregard aviation units and individual areas, In item ii, we consider the units that have Aspects, Impacts, Hazards and Risks Assessments (LAIPDs) or Preliminary hazard analyses (APRs) or Risk analyses (EARs), considered as Envi-ronmental Aspects and Impact Assessment Practices,</t>
  </si>
  <si>
    <t>Direct greenhouse gas emissions (t co2 equivalent)</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</si>
  <si>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</si>
  <si>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</si>
  <si>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</si>
  <si>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</si>
  <si>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</si>
  <si>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Emissions included are only from Scope 1 and 2, The gases included in the calculation were CO2 – carbon dioxide; CH4 – Methane; N2O – nitrous oxide; HFCs – hydrofluorocarbons,</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</si>
  <si>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</si>
  <si>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</si>
  <si>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</si>
  <si>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</si>
  <si>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</si>
  <si>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</si>
  <si>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</si>
  <si>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</si>
  <si>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</si>
  <si>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CONSUMPTION OF FUELS FROM RENEWABLE SOURCES (GJ)</t>
  </si>
  <si>
    <t>Ethanol²</t>
  </si>
  <si>
    <t>Note: 1) Portion of biofuel component of the diesel oil on the market (11 and 12%); 2) Portion of biofuel component of the automotive gasoline sold in the market (27,5%),</t>
  </si>
  <si>
    <t>Energy consumed (gj)</t>
  </si>
  <si>
    <t>Electricity</t>
  </si>
  <si>
    <t>Steam</t>
  </si>
  <si>
    <t>Photovoltaics</t>
  </si>
  <si>
    <t>Note: The solar (photovoltaic) energy generated at the administrative headquarters is responsible for a 3,2% decrease in the electricity purchased in 2020.</t>
  </si>
  <si>
    <t>Total energy consumed (gj)</t>
  </si>
  <si>
    <t>Fuels from non-renewable sources</t>
  </si>
  <si>
    <t>Fuels from renewable sources 2</t>
  </si>
  <si>
    <t>Energy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</si>
  <si>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</si>
  <si>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</si>
  <si>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</si>
  <si>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</si>
  <si>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</si>
  <si>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</si>
  <si>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</si>
  <si>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Reductions in energy consumption achieved directly as a result of improvements in conservation and efficiency (gj)</t>
  </si>
  <si>
    <t>Consumption of fuels from nonrenewable sources within the organization</t>
  </si>
  <si>
    <t>Electricity consumption within the organization</t>
  </si>
  <si>
    <t>Biogenic co2 emissions (t co2 equivalent)</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</si>
  <si>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scope 3 categories were not included in the inventory as they are not as representative as the product use category, because the product we sell is carbon intensive,</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</si>
  <si>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</si>
  <si>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</si>
  <si>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</si>
  <si>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</si>
  <si>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</si>
  <si>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</si>
  <si>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</si>
  <si>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Waste by composition, in metric tons (t)</t>
  </si>
  <si>
    <t>Oily sludge and miscellaneous contaminated with hydrocarbons1</t>
  </si>
  <si>
    <t>Construction waste (Class A)</t>
  </si>
  <si>
    <t>Uncontaminated soil, sweeping and pruning</t>
  </si>
  <si>
    <t>Metal drum</t>
  </si>
  <si>
    <t>Common urban solid wast (estimated)</t>
  </si>
  <si>
    <t>Wood and pallets</t>
  </si>
  <si>
    <t>Sanitary wast (septic tank)</t>
  </si>
  <si>
    <t>Cardboard and paper</t>
  </si>
  <si>
    <t>Plastics and plastic packaging</t>
  </si>
  <si>
    <t>Iron scrap</t>
  </si>
  <si>
    <t>Aluminum (cans in general)</t>
  </si>
  <si>
    <t>Cells and batteries</t>
  </si>
  <si>
    <t>Light bulbs</t>
  </si>
  <si>
    <t>Glass (except lights)</t>
  </si>
  <si>
    <t>Spills</t>
  </si>
  <si>
    <t>Total number and volume of significant spills reported</t>
  </si>
  <si>
    <t>Total volume of leaks above 1 bbl</t>
  </si>
  <si>
    <t>Total number of leaks above 1 bbl</t>
  </si>
  <si>
    <t>1) Leaks of volumes greater than one barrel (0,159 m3 ) that have reached the environment are computed, 2) The total of 18,47 m3 equates to about 116 barrels,</t>
  </si>
  <si>
    <t>*Interest rate set by Government used to index long term loans</t>
  </si>
  <si>
    <t>Long term interest rate ("TJLP")* (Nominal rate)</t>
  </si>
  <si>
    <t xml:space="preserve">Source: BCB | IBGE </t>
  </si>
  <si>
    <t>Economic Activity</t>
  </si>
  <si>
    <t>accrued quartely</t>
  </si>
  <si>
    <t>enf of term</t>
  </si>
  <si>
    <t>Period</t>
  </si>
  <si>
    <t>Payment date</t>
  </si>
  <si>
    <t>Gross value (R$)</t>
  </si>
  <si>
    <t>Value/ year (R$)</t>
  </si>
  <si>
    <t xml:space="preserve">Interest on Net Equity </t>
  </si>
  <si>
    <t>Net Operating Revenue</t>
  </si>
  <si>
    <t>Adjusted EBITDA</t>
  </si>
  <si>
    <t>Net Income</t>
  </si>
  <si>
    <t>Stock Target Price</t>
  </si>
  <si>
    <t>* considered the median for consensus</t>
  </si>
  <si>
    <t>(Real - consensus)</t>
  </si>
  <si>
    <t>Consensus</t>
  </si>
  <si>
    <t xml:space="preserve">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September 30, 2021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 	</t>
  </si>
  <si>
    <t>Dividends complementary to the mandatory minimum and part of the additional dividends approved in the Extraordinary General Meeting.</t>
  </si>
  <si>
    <t>2nd installment related to remuneration to shareholders in the form of dividends, approved in the Extraordinary General Meeting.</t>
  </si>
  <si>
    <t>Anticipation of a part of Interest on Net Equity.</t>
  </si>
  <si>
    <t>Proceeds</t>
  </si>
  <si>
    <t>EX-dividend date</t>
  </si>
  <si>
    <t>Gross value per share (R$)</t>
  </si>
  <si>
    <t>37/07/2020</t>
  </si>
  <si>
    <t>Included 3390 outsourced. In 2019 we only considered outsourced companies in the administrative areas. In 2020, we also started to consider the security, employees of the operation area and employees of general services (maintenance, cleaning, canopy).</t>
  </si>
  <si>
    <t>Number and percentage of members of the governance body to whom they were communicated and who received training on anti-corruption policies and procedures adopted by us, by region</t>
  </si>
  <si>
    <t>Southeast</t>
  </si>
  <si>
    <t>Total number of members in the year</t>
  </si>
  <si>
    <t>Total number of members reported and trained</t>
  </si>
  <si>
    <t>Percentage of reported and trained members</t>
  </si>
  <si>
    <t>Total number and percentage of employees who have been reported and who have received training on anti-corruption policies and procedures adopted by us</t>
  </si>
  <si>
    <t>Total number of reported and trained employees</t>
  </si>
  <si>
    <t>Percentage of reported and trained employees</t>
  </si>
  <si>
    <t>Note: Members of the governance body: they were considered the Board of Directors and executive board. Value of trained employees considers the training performed in the last 3 years.</t>
  </si>
  <si>
    <t>out-dec</t>
  </si>
  <si>
    <t>Gain from indemnity concession contract</t>
  </si>
  <si>
    <t>Provision for incentive to voluntary shutdown</t>
  </si>
  <si>
    <t>Capital payment / Mutual transaction</t>
  </si>
  <si>
    <r>
      <t xml:space="preserve">VIBRA ENERGIA  - Consolidated </t>
    </r>
    <r>
      <rPr>
        <sz val="12"/>
        <color rgb="FF0E7716"/>
        <rFont val="Arial"/>
        <family val="2"/>
      </rPr>
      <t>(millions)</t>
    </r>
  </si>
  <si>
    <t>Sales Revenue</t>
  </si>
  <si>
    <t>Appropriation of advance bonuses granted to customers¹</t>
  </si>
  <si>
    <t>Costs of products sold</t>
  </si>
  <si>
    <t>Actuarial remeasurement - Heath plan</t>
  </si>
  <si>
    <t>Sales, general and administrative</t>
  </si>
  <si>
    <t>Expected credit losses²</t>
  </si>
  <si>
    <t>Rescission funds from shutdown plans</t>
  </si>
  <si>
    <t>Consulting expenses - Organizational Transformation Plan</t>
  </si>
  <si>
    <t>Tax³</t>
  </si>
  <si>
    <t>Tax amnesties</t>
  </si>
  <si>
    <t>Tax charges</t>
  </si>
  <si>
    <t>Tax charges on disposal revenue - Pecém and Muricy</t>
  </si>
  <si>
    <t>Other income (expenses), net</t>
  </si>
  <si>
    <t>Losses and provisions with lawsuits</t>
  </si>
  <si>
    <t>Shutdown plans</t>
  </si>
  <si>
    <t>Lava-jato</t>
  </si>
  <si>
    <t>Impairment</t>
  </si>
  <si>
    <t>Salary renegotiation allowance - Organizational Transformation Plan</t>
  </si>
  <si>
    <t>Commodity hedging operations in progress</t>
  </si>
  <si>
    <t>Result with disposal - Pecém and Muricy</t>
  </si>
  <si>
    <t>Result with disposal - Stratura</t>
  </si>
  <si>
    <t>Income on the sale - Brasil Carbonos</t>
  </si>
  <si>
    <t>Net finance income</t>
  </si>
  <si>
    <t>TOTAL</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</si>
  <si>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</si>
  <si>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</si>
  <si>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</si>
  <si>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</si>
  <si>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6. Reconciliation with the financial statements</t>
  </si>
  <si>
    <t>8. Investments (CAPEX)</t>
  </si>
  <si>
    <t>9. Expenses by nature</t>
  </si>
  <si>
    <t>10. Hedge</t>
  </si>
  <si>
    <t>11. Debt</t>
  </si>
  <si>
    <t>12. Macroeconomics</t>
  </si>
  <si>
    <t>13. ESG</t>
  </si>
  <si>
    <t>15. Consensus</t>
  </si>
  <si>
    <t>VIBRA ENERGIA  - Consolidated (millions)</t>
  </si>
  <si>
    <t>EBITDA Composition</t>
  </si>
  <si>
    <t>Net financial result</t>
  </si>
  <si>
    <t>EBITDA</t>
  </si>
  <si>
    <t>Estimated losses on doubtful accounts - Electricity Sector (Isolated and Interconnected System)</t>
  </si>
  <si>
    <t>Losses and provisions with judicial and administrative proceedings</t>
  </si>
  <si>
    <t>Amortization of advance bonuses granted to customers</t>
  </si>
  <si>
    <t>Rescission Funds (Optional and Executive Shutdown Plan)</t>
  </si>
  <si>
    <t>Tax Amnesties Program</t>
  </si>
  <si>
    <t>Result with divestment - Brasil Carbonos</t>
  </si>
  <si>
    <t>Tax expenses on financial results</t>
  </si>
  <si>
    <t xml:space="preserve"> ADJUSTED EBITDA</t>
  </si>
  <si>
    <t>Sales volumes (millions of m³)</t>
  </si>
  <si>
    <t>ADJUSTED EBITDA MARGIN (R$/m³)</t>
  </si>
  <si>
    <t>7. EBITDA Reconciliation</t>
  </si>
  <si>
    <t>4Q22</t>
  </si>
  <si>
    <t>Financing of product supply</t>
  </si>
  <si>
    <t>Provision of short-term premiums and incentives</t>
  </si>
  <si>
    <t>Payment of short-term rewards and incentives</t>
  </si>
  <si>
    <t>4Q21</t>
  </si>
  <si>
    <t> 5,5805</t>
  </si>
  <si>
    <t>Anticipation of the 2nd installment of Interest on Net Equity.</t>
  </si>
  <si>
    <t>Dividends complementary to the mandatory minimum.</t>
  </si>
  <si>
    <t>12/14/2021</t>
  </si>
  <si>
    <t>12/23/2021</t>
  </si>
  <si>
    <t>RETAIL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</si>
</sst>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m/d/yyyy;@"/>
    <numFmt numFmtId="181" formatCode="&quot;in up to&quot;\ [$-409]mmm\-yyyy;@"/>
    <numFmt numFmtId="182" formatCode="[$-409]mmm\-yy;@"/>
    <numFmt numFmtId="183" formatCode="[$$-409]#,##0_);\([$$-409]#,##0\);[$$-409]#,##0_);@_)"/>
    <numFmt numFmtId="184" formatCode="0.0000000"/>
  </numFmts>
  <fonts count="106"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b/>
      <sz val="20"/>
      <color theme="1"/>
      <name val="Calibri"/>
      <family val="2"/>
      <scheme val="minor"/>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b/>
      <sz val="9"/>
      <color rgb="FFFFFFFF"/>
      <name val="Arial"/>
      <family val="2"/>
    </font>
    <font>
      <sz val="9"/>
      <color rgb="FF595959"/>
      <name val="Arial"/>
      <family val="2"/>
    </font>
    <font>
      <b/>
      <sz val="9"/>
      <color rgb="FF595959"/>
      <name val="Arial"/>
      <family val="2"/>
    </font>
    <font>
      <sz val="12"/>
      <color theme="1"/>
      <name val="Trebuchet MS"/>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sz val="10"/>
      <color theme="1" tint="0.249977111117893"/>
      <name val="Arial"/>
      <family val="2"/>
    </font>
    <font>
      <b/>
      <sz val="14"/>
      <color theme="0"/>
      <name val="Arial"/>
      <family val="2"/>
    </font>
    <font>
      <b/>
      <sz val="14"/>
      <color rgb="FF0E7716"/>
      <name val="Arial"/>
      <family val="2"/>
    </font>
    <font>
      <u/>
      <sz val="12"/>
      <color theme="1" tint="0.34998626667073579"/>
      <name val="Arial"/>
      <family val="2"/>
    </font>
    <font>
      <i/>
      <sz val="12"/>
      <color theme="1" tint="0.249977111117893"/>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0"/>
      <color rgb="FF425563"/>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8"/>
      <color theme="0" tint="-0.14999847407452621"/>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sz val="11"/>
      <color theme="0" tint="-0.34998626667073579"/>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249977111117893"/>
      <name val="Arial"/>
      <family val="2"/>
    </font>
    <font>
      <sz val="11"/>
      <color theme="1" tint="0.499984740745262"/>
      <name val="Arial"/>
      <family val="2"/>
    </font>
    <font>
      <sz val="9"/>
      <color theme="1"/>
      <name val="Arial"/>
      <family val="2"/>
    </font>
    <font>
      <sz val="11"/>
      <color theme="0" tint="-0.14999847407452621"/>
      <name val="Arial"/>
      <family val="2"/>
    </font>
    <font>
      <sz val="10"/>
      <color theme="0" tint="-0.249977111117893"/>
      <name val="Arial"/>
      <family val="2"/>
    </font>
    <font>
      <sz val="9"/>
      <color rgb="FF000000"/>
      <name val="Arial"/>
      <family val="2"/>
    </font>
    <font>
      <sz val="12"/>
      <color theme="2" tint="-0.249977111117893"/>
      <name val="Arial"/>
      <family val="2"/>
    </font>
    <font>
      <b/>
      <sz val="12"/>
      <name val="Arial"/>
      <family val="2"/>
    </font>
    <font>
      <i/>
      <u/>
      <sz val="12"/>
      <color theme="1" tint="0.249977111117893"/>
      <name val="Trebuchet MS"/>
      <family val="2"/>
    </font>
    <font>
      <sz val="12"/>
      <color theme="0" tint="-0.499984740745262"/>
      <name val="Calibri Light"/>
      <family val="2"/>
      <scheme val="major"/>
    </font>
    <font>
      <b/>
      <sz val="10"/>
      <color indexed="81"/>
      <name val="Calibri Light"/>
      <family val="2"/>
      <scheme val="major"/>
    </font>
    <font>
      <sz val="10"/>
      <color indexed="81"/>
      <name val="Calibri Light"/>
      <family val="2"/>
      <scheme val="major"/>
    </font>
    <font>
      <sz val="8"/>
      <name val="Calibri"/>
      <family val="2"/>
      <scheme val="minor"/>
    </font>
  </fonts>
  <fills count="3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style="thick">
        <color theme="0"/>
      </right>
      <top/>
      <bottom style="thin">
        <color theme="0" tint="-0.499984740745262"/>
      </bottom>
      <diagonal/>
    </border>
    <border>
      <left/>
      <right/>
      <top style="thin">
        <color theme="0" tint="-0.499984740745262"/>
      </top>
      <bottom/>
      <diagonal/>
    </border>
    <border>
      <left/>
      <right style="thick">
        <color theme="0"/>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9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7" borderId="0" applyNumberFormat="0" applyBorder="0" applyAlignment="0" applyProtection="0"/>
    <xf numFmtId="0" fontId="11" fillId="19" borderId="1" applyNumberFormat="0" applyAlignment="0" applyProtection="0"/>
    <xf numFmtId="0" fontId="12" fillId="20" borderId="2" applyNumberFormat="0" applyAlignment="0" applyProtection="0"/>
    <xf numFmtId="0" fontId="13" fillId="0" borderId="3" applyNumberFormat="0" applyFill="0" applyAlignment="0" applyProtection="0"/>
    <xf numFmtId="3" fontId="25" fillId="0" borderId="0" applyFont="0" applyFill="0" applyBorder="0" applyAlignment="0" applyProtection="0"/>
    <xf numFmtId="0" fontId="26"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14" fillId="10" borderId="1" applyNumberFormat="0" applyAlignment="0" applyProtection="0"/>
    <xf numFmtId="168" fontId="7" fillId="0" borderId="0" applyFont="0" applyFill="0" applyBorder="0" applyAlignment="0" applyProtection="0"/>
    <xf numFmtId="0" fontId="15" fillId="6" borderId="0" applyNumberFormat="0" applyBorder="0" applyAlignment="0" applyProtection="0"/>
    <xf numFmtId="0" fontId="16" fillId="25" borderId="0" applyNumberFormat="0" applyBorder="0" applyAlignment="0" applyProtection="0"/>
    <xf numFmtId="0" fontId="7" fillId="0" borderId="0"/>
    <xf numFmtId="0" fontId="7" fillId="0" borderId="0"/>
    <xf numFmtId="0" fontId="7" fillId="26" borderId="4" applyNumberFormat="0" applyFont="0" applyAlignment="0" applyProtection="0"/>
    <xf numFmtId="0" fontId="7" fillId="26" borderId="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27" borderId="5"/>
    <xf numFmtId="0" fontId="17" fillId="19" borderId="6"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7" fillId="0" borderId="0" applyNumberFormat="0" applyFill="0" applyBorder="0" applyProtection="0">
      <alignment horizontal="center"/>
    </xf>
    <xf numFmtId="0" fontId="28" fillId="0" borderId="0" applyNumberFormat="0" applyFill="0" applyBorder="0" applyProtection="0">
      <alignment horizontal="center"/>
    </xf>
    <xf numFmtId="4" fontId="2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7" fillId="0" borderId="0"/>
    <xf numFmtId="43" fontId="7" fillId="0" borderId="0" applyFont="0" applyFill="0" applyBorder="0" applyAlignment="0" applyProtection="0"/>
    <xf numFmtId="0" fontId="1"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19" borderId="11" applyNumberFormat="0" applyAlignment="0" applyProtection="0"/>
    <xf numFmtId="0" fontId="14" fillId="10" borderId="11" applyNumberFormat="0" applyAlignment="0" applyProtection="0"/>
    <xf numFmtId="0" fontId="7" fillId="26" borderId="12" applyNumberFormat="0" applyFont="0" applyAlignment="0" applyProtection="0"/>
    <xf numFmtId="0" fontId="7" fillId="26" borderId="12" applyNumberFormat="0" applyFont="0" applyAlignment="0" applyProtection="0"/>
    <xf numFmtId="0" fontId="17" fillId="19" borderId="13" applyNumberFormat="0" applyAlignment="0" applyProtection="0"/>
    <xf numFmtId="0" fontId="24" fillId="0" borderId="14" applyNumberFormat="0" applyFill="0" applyAlignment="0" applyProtection="0"/>
    <xf numFmtId="169" fontId="7" fillId="0" borderId="0" applyFont="0" applyFill="0" applyBorder="0" applyAlignment="0" applyProtection="0"/>
    <xf numFmtId="170" fontId="7" fillId="0" borderId="0" applyFill="0" applyBorder="0" applyAlignment="0" applyProtection="0"/>
    <xf numFmtId="0" fontId="1" fillId="0" borderId="0"/>
    <xf numFmtId="43" fontId="7" fillId="0" borderId="0" applyFont="0" applyFill="0" applyBorder="0" applyAlignment="0" applyProtection="0"/>
    <xf numFmtId="43" fontId="8"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cellStyleXfs>
  <cellXfs count="559">
    <xf numFmtId="0" fontId="0" fillId="0" borderId="0" xfId="0"/>
    <xf numFmtId="0" fontId="0" fillId="0" borderId="0" xfId="0" applyAlignment="1">
      <alignment horizontal="center"/>
    </xf>
    <xf numFmtId="0" fontId="2" fillId="0" borderId="0" xfId="2"/>
    <xf numFmtId="0" fontId="5" fillId="0" borderId="0" xfId="0" applyFont="1"/>
    <xf numFmtId="0" fontId="6" fillId="0" borderId="0" xfId="0" applyFont="1" applyAlignment="1">
      <alignment horizontal="left" vertical="center" indent="1"/>
    </xf>
    <xf numFmtId="0" fontId="1" fillId="0" borderId="0" xfId="0" applyFont="1"/>
    <xf numFmtId="0" fontId="29" fillId="0" borderId="0" xfId="0" applyFont="1"/>
    <xf numFmtId="0" fontId="29" fillId="0" borderId="0" xfId="0" applyFont="1" applyAlignment="1">
      <alignment horizontal="center"/>
    </xf>
    <xf numFmtId="0" fontId="30" fillId="0" borderId="0" xfId="0" applyFont="1"/>
    <xf numFmtId="0" fontId="29" fillId="0" borderId="0" xfId="0" applyFont="1" applyAlignment="1">
      <alignment horizontal="left" vertical="center"/>
    </xf>
    <xf numFmtId="0" fontId="0" fillId="0" borderId="0" xfId="0" applyFill="1"/>
    <xf numFmtId="0" fontId="4" fillId="0" borderId="0" xfId="3" applyFont="1" applyAlignment="1">
      <alignment horizontal="left" vertical="center"/>
    </xf>
    <xf numFmtId="0" fontId="29" fillId="0" borderId="0" xfId="0" applyFont="1" applyBorder="1"/>
    <xf numFmtId="0" fontId="0" fillId="0" borderId="0" xfId="0" applyFill="1" applyBorder="1"/>
    <xf numFmtId="0" fontId="31" fillId="0" borderId="0" xfId="0" applyFont="1"/>
    <xf numFmtId="0" fontId="32" fillId="0" borderId="0" xfId="0" applyFont="1" applyFill="1"/>
    <xf numFmtId="0" fontId="32" fillId="0" borderId="0" xfId="0" applyFont="1" applyFill="1" applyAlignment="1">
      <alignment horizontal="center"/>
    </xf>
    <xf numFmtId="0" fontId="34" fillId="0" borderId="0" xfId="0" applyFont="1"/>
    <xf numFmtId="0" fontId="29" fillId="0" borderId="0" xfId="0" applyFont="1" applyFill="1" applyBorder="1"/>
    <xf numFmtId="0" fontId="0" fillId="0" borderId="0" xfId="0" applyBorder="1" applyAlignment="1">
      <alignment horizontal="center"/>
    </xf>
    <xf numFmtId="0" fontId="31" fillId="0" borderId="0" xfId="0" applyFont="1" applyAlignment="1">
      <alignment horizontal="left" vertical="center"/>
    </xf>
    <xf numFmtId="0" fontId="29"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34" fillId="0" borderId="0" xfId="0" applyFont="1" applyFill="1"/>
    <xf numFmtId="0" fontId="35" fillId="31" borderId="0" xfId="0" applyFont="1" applyFill="1" applyAlignment="1">
      <alignment horizontal="center" vertical="center"/>
    </xf>
    <xf numFmtId="0" fontId="35" fillId="31" borderId="0" xfId="0" applyFont="1" applyFill="1" applyAlignment="1">
      <alignment horizontal="center" vertical="center" wrapText="1"/>
    </xf>
    <xf numFmtId="0" fontId="36" fillId="0" borderId="0" xfId="0" applyFont="1" applyAlignment="1">
      <alignment horizontal="center" vertical="center" wrapText="1"/>
    </xf>
    <xf numFmtId="0" fontId="36" fillId="0" borderId="31" xfId="0" applyFont="1" applyBorder="1" applyAlignment="1">
      <alignment horizontal="center" vertical="center" wrapText="1"/>
    </xf>
    <xf numFmtId="0" fontId="36" fillId="0" borderId="31" xfId="0" applyFont="1" applyBorder="1" applyAlignment="1">
      <alignment vertical="center" wrapText="1"/>
    </xf>
    <xf numFmtId="172" fontId="36" fillId="0" borderId="31" xfId="0" applyNumberFormat="1" applyFont="1" applyBorder="1" applyAlignment="1">
      <alignment horizontal="right" vertical="center"/>
    </xf>
    <xf numFmtId="4" fontId="36" fillId="0" borderId="31" xfId="0" applyNumberFormat="1" applyFont="1" applyBorder="1" applyAlignment="1">
      <alignment horizontal="right" vertical="center"/>
    </xf>
    <xf numFmtId="0" fontId="36" fillId="0" borderId="31" xfId="0" applyFont="1" applyBorder="1" applyAlignment="1">
      <alignment horizontal="right" vertical="center"/>
    </xf>
    <xf numFmtId="0" fontId="36" fillId="3" borderId="31" xfId="0" applyFont="1" applyFill="1" applyBorder="1" applyAlignment="1">
      <alignment horizontal="center" vertical="center" wrapText="1"/>
    </xf>
    <xf numFmtId="0" fontId="36" fillId="3" borderId="31" xfId="0" applyFont="1" applyFill="1" applyBorder="1" applyAlignment="1">
      <alignment vertical="center" wrapText="1"/>
    </xf>
    <xf numFmtId="0" fontId="36" fillId="3" borderId="31" xfId="0" quotePrefix="1" applyFont="1" applyFill="1" applyBorder="1" applyAlignment="1">
      <alignment horizontal="right" vertical="center"/>
    </xf>
    <xf numFmtId="4" fontId="36" fillId="3" borderId="31" xfId="0" applyNumberFormat="1" applyFont="1" applyFill="1" applyBorder="1" applyAlignment="1">
      <alignment horizontal="right" vertical="center"/>
    </xf>
    <xf numFmtId="0" fontId="37" fillId="32" borderId="0" xfId="0" applyFont="1" applyFill="1" applyAlignment="1">
      <alignment vertical="center"/>
    </xf>
    <xf numFmtId="0" fontId="37" fillId="32" borderId="0" xfId="0" applyFont="1" applyFill="1" applyAlignment="1">
      <alignment horizontal="right" vertical="center"/>
    </xf>
    <xf numFmtId="0" fontId="38" fillId="0" borderId="0" xfId="0" applyFont="1"/>
    <xf numFmtId="0" fontId="0" fillId="0" borderId="0" xfId="0" applyAlignment="1"/>
    <xf numFmtId="0" fontId="35" fillId="31" borderId="0" xfId="0" applyFont="1" applyFill="1" applyBorder="1" applyAlignment="1">
      <alignment horizontal="center" vertical="center"/>
    </xf>
    <xf numFmtId="14" fontId="39" fillId="0" borderId="0" xfId="0" applyNumberFormat="1" applyFont="1" applyAlignment="1">
      <alignment horizontal="right" vertical="center"/>
    </xf>
    <xf numFmtId="14" fontId="39" fillId="0" borderId="15" xfId="0" applyNumberFormat="1" applyFont="1" applyBorder="1" applyAlignment="1">
      <alignment horizontal="right" vertical="center"/>
    </xf>
    <xf numFmtId="0" fontId="40" fillId="30" borderId="0" xfId="0" applyFont="1" applyFill="1" applyBorder="1" applyAlignment="1">
      <alignment horizontal="right" vertical="center"/>
    </xf>
    <xf numFmtId="0" fontId="40" fillId="30" borderId="15" xfId="0" applyFont="1" applyFill="1" applyBorder="1" applyAlignment="1">
      <alignment horizontal="right" vertical="center"/>
    </xf>
    <xf numFmtId="0" fontId="39" fillId="0" borderId="0" xfId="0" applyFont="1" applyAlignment="1">
      <alignment horizontal="right" vertical="center"/>
    </xf>
    <xf numFmtId="0" fontId="39" fillId="0" borderId="15" xfId="0" applyFont="1" applyBorder="1" applyAlignment="1">
      <alignment horizontal="right" vertical="center"/>
    </xf>
    <xf numFmtId="0" fontId="41" fillId="29" borderId="0" xfId="0" applyFont="1" applyFill="1" applyBorder="1" applyAlignment="1">
      <alignment horizontal="right" vertical="center"/>
    </xf>
    <xf numFmtId="0" fontId="41" fillId="29" borderId="15" xfId="0" applyFont="1" applyFill="1" applyBorder="1" applyAlignment="1">
      <alignment horizontal="right" vertical="center"/>
    </xf>
    <xf numFmtId="0" fontId="43" fillId="0" borderId="19" xfId="0" applyFont="1" applyFill="1" applyBorder="1" applyAlignment="1">
      <alignment horizontal="right" vertical="center"/>
    </xf>
    <xf numFmtId="0" fontId="43" fillId="0" borderId="20" xfId="0" applyFont="1" applyFill="1" applyBorder="1" applyAlignment="1">
      <alignment horizontal="right" vertical="center"/>
    </xf>
    <xf numFmtId="0" fontId="41" fillId="0" borderId="19" xfId="0" applyFont="1" applyFill="1" applyBorder="1" applyAlignment="1">
      <alignment horizontal="right" vertical="center"/>
    </xf>
    <xf numFmtId="0" fontId="41" fillId="0" borderId="20" xfId="0" applyFont="1" applyFill="1" applyBorder="1" applyAlignment="1">
      <alignment horizontal="right" vertical="center"/>
    </xf>
    <xf numFmtId="3" fontId="41" fillId="0" borderId="19" xfId="0" applyNumberFormat="1" applyFont="1" applyFill="1" applyBorder="1" applyAlignment="1">
      <alignment vertical="center"/>
    </xf>
    <xf numFmtId="3" fontId="41" fillId="0" borderId="19" xfId="0" applyNumberFormat="1" applyFont="1" applyFill="1" applyBorder="1" applyAlignment="1">
      <alignment horizontal="right" vertical="center"/>
    </xf>
    <xf numFmtId="3" fontId="41" fillId="0" borderId="20" xfId="0" applyNumberFormat="1" applyFont="1" applyFill="1" applyBorder="1" applyAlignment="1">
      <alignment horizontal="right" vertical="center"/>
    </xf>
    <xf numFmtId="0" fontId="46" fillId="0" borderId="0" xfId="0" applyFont="1" applyAlignment="1">
      <alignment horizontal="right" vertical="center"/>
    </xf>
    <xf numFmtId="0" fontId="46" fillId="0" borderId="15" xfId="0" applyFont="1" applyBorder="1" applyAlignment="1">
      <alignment horizontal="right" vertical="center"/>
    </xf>
    <xf numFmtId="14" fontId="48" fillId="0" borderId="0" xfId="0" applyNumberFormat="1" applyFont="1" applyAlignment="1">
      <alignment horizontal="right" vertical="center"/>
    </xf>
    <xf numFmtId="14" fontId="48" fillId="0" borderId="15" xfId="0" applyNumberFormat="1" applyFont="1" applyBorder="1" applyAlignment="1">
      <alignment horizontal="right" vertical="center"/>
    </xf>
    <xf numFmtId="0" fontId="49" fillId="30" borderId="0" xfId="0" applyFont="1" applyFill="1" applyBorder="1" applyAlignment="1">
      <alignment horizontal="right" vertical="center"/>
    </xf>
    <xf numFmtId="0" fontId="49" fillId="30" borderId="15" xfId="0" applyFont="1" applyFill="1" applyBorder="1" applyAlignment="1">
      <alignment horizontal="right" vertical="center"/>
    </xf>
    <xf numFmtId="0" fontId="48" fillId="0" borderId="0" xfId="0" applyFont="1" applyAlignment="1">
      <alignment horizontal="right" vertical="center"/>
    </xf>
    <xf numFmtId="0" fontId="48" fillId="0" borderId="15" xfId="0" applyFont="1" applyBorder="1" applyAlignment="1">
      <alignment horizontal="right" vertical="center"/>
    </xf>
    <xf numFmtId="0" fontId="50" fillId="29" borderId="33" xfId="0" applyFont="1" applyFill="1" applyBorder="1" applyAlignment="1">
      <alignment horizontal="right" vertical="center"/>
    </xf>
    <xf numFmtId="0" fontId="50" fillId="29" borderId="0" xfId="0" applyFont="1" applyFill="1" applyBorder="1" applyAlignment="1">
      <alignment horizontal="right" vertical="center"/>
    </xf>
    <xf numFmtId="0" fontId="50" fillId="29" borderId="15" xfId="0" applyFont="1" applyFill="1" applyBorder="1" applyAlignment="1">
      <alignment horizontal="right" vertical="center"/>
    </xf>
    <xf numFmtId="171" fontId="51" fillId="4" borderId="16" xfId="0" applyNumberFormat="1" applyFont="1" applyFill="1" applyBorder="1" applyAlignment="1">
      <alignment horizontal="right" vertical="center"/>
    </xf>
    <xf numFmtId="171" fontId="51" fillId="4" borderId="17" xfId="0" applyNumberFormat="1" applyFont="1" applyFill="1" applyBorder="1" applyAlignment="1">
      <alignment horizontal="right" vertical="center"/>
    </xf>
    <xf numFmtId="0" fontId="52" fillId="0" borderId="19" xfId="0" applyFont="1" applyFill="1" applyBorder="1" applyAlignment="1">
      <alignment horizontal="right" vertical="center"/>
    </xf>
    <xf numFmtId="0" fontId="52" fillId="0" borderId="20" xfId="0" applyFont="1" applyFill="1" applyBorder="1" applyAlignment="1">
      <alignment horizontal="right" vertical="center"/>
    </xf>
    <xf numFmtId="0" fontId="50" fillId="0" borderId="19" xfId="0" applyFont="1" applyFill="1" applyBorder="1" applyAlignment="1">
      <alignment horizontal="right" vertical="center"/>
    </xf>
    <xf numFmtId="0" fontId="50" fillId="0" borderId="20" xfId="0" applyFont="1" applyFill="1" applyBorder="1" applyAlignment="1">
      <alignment horizontal="right" vertical="center"/>
    </xf>
    <xf numFmtId="3" fontId="50" fillId="0" borderId="19" xfId="0" applyNumberFormat="1" applyFont="1" applyFill="1" applyBorder="1" applyAlignment="1">
      <alignment vertical="center"/>
    </xf>
    <xf numFmtId="3" fontId="50" fillId="2" borderId="0" xfId="0" applyNumberFormat="1" applyFont="1" applyFill="1" applyAlignment="1">
      <alignment horizontal="right" vertical="center"/>
    </xf>
    <xf numFmtId="3" fontId="50" fillId="2" borderId="15" xfId="0" applyNumberFormat="1" applyFont="1" applyFill="1" applyBorder="1" applyAlignment="1">
      <alignment horizontal="right" vertical="center"/>
    </xf>
    <xf numFmtId="3" fontId="53" fillId="0" borderId="0" xfId="0" applyNumberFormat="1" applyFont="1" applyAlignment="1">
      <alignment horizontal="right" vertical="center"/>
    </xf>
    <xf numFmtId="3" fontId="53" fillId="0" borderId="15" xfId="0" applyNumberFormat="1" applyFont="1" applyBorder="1" applyAlignment="1">
      <alignment horizontal="right" vertical="center"/>
    </xf>
    <xf numFmtId="3" fontId="50" fillId="0" borderId="19" xfId="0" applyNumberFormat="1" applyFont="1" applyFill="1" applyBorder="1" applyAlignment="1">
      <alignment horizontal="right" vertical="center"/>
    </xf>
    <xf numFmtId="3" fontId="50" fillId="0" borderId="20" xfId="0" applyNumberFormat="1" applyFont="1" applyFill="1" applyBorder="1" applyAlignment="1">
      <alignment horizontal="right" vertical="center"/>
    </xf>
    <xf numFmtId="3" fontId="50" fillId="2" borderId="0" xfId="0" applyNumberFormat="1" applyFont="1" applyFill="1" applyAlignment="1">
      <alignment vertical="center"/>
    </xf>
    <xf numFmtId="3" fontId="50" fillId="2" borderId="15" xfId="0" applyNumberFormat="1" applyFont="1" applyFill="1" applyBorder="1" applyAlignment="1">
      <alignment vertical="center"/>
    </xf>
    <xf numFmtId="3" fontId="54" fillId="0" borderId="0" xfId="0" applyNumberFormat="1" applyFont="1" applyFill="1"/>
    <xf numFmtId="0" fontId="46" fillId="0" borderId="0" xfId="0" applyFont="1"/>
    <xf numFmtId="0" fontId="55" fillId="30" borderId="0" xfId="3" applyFont="1" applyFill="1" applyBorder="1" applyAlignment="1">
      <alignment vertical="center"/>
    </xf>
    <xf numFmtId="0" fontId="41" fillId="29" borderId="0" xfId="0" applyFont="1" applyFill="1" applyBorder="1" applyAlignment="1">
      <alignment horizontal="center" vertical="center"/>
    </xf>
    <xf numFmtId="0" fontId="42" fillId="4" borderId="16" xfId="0" applyFont="1" applyFill="1" applyBorder="1"/>
    <xf numFmtId="0" fontId="56" fillId="0" borderId="19" xfId="0" applyFont="1" applyFill="1" applyBorder="1"/>
    <xf numFmtId="0" fontId="44" fillId="2" borderId="0" xfId="0" applyFont="1" applyFill="1" applyAlignment="1">
      <alignment horizontal="left"/>
    </xf>
    <xf numFmtId="0" fontId="44" fillId="0" borderId="0" xfId="0" applyFont="1" applyAlignment="1">
      <alignment horizontal="left" indent="3"/>
    </xf>
    <xf numFmtId="0" fontId="57" fillId="0" borderId="0" xfId="0" applyFont="1"/>
    <xf numFmtId="0" fontId="58" fillId="0" borderId="0" xfId="0" applyFont="1" applyAlignment="1">
      <alignment horizontal="left"/>
    </xf>
    <xf numFmtId="0" fontId="41" fillId="0" borderId="0" xfId="0" applyFont="1" applyAlignment="1">
      <alignment vertical="center"/>
    </xf>
    <xf numFmtId="0" fontId="44" fillId="0" borderId="0" xfId="0" applyFont="1" applyAlignment="1">
      <alignment horizontal="left" vertical="center" indent="4"/>
    </xf>
    <xf numFmtId="0" fontId="41" fillId="0" borderId="21" xfId="0" applyFont="1" applyBorder="1" applyAlignment="1">
      <alignment vertical="center"/>
    </xf>
    <xf numFmtId="0" fontId="44" fillId="0" borderId="0" xfId="0" applyFont="1" applyAlignment="1">
      <alignment horizontal="left" vertical="center" indent="1"/>
    </xf>
    <xf numFmtId="0" fontId="44" fillId="0" borderId="0" xfId="0" applyFont="1" applyFill="1" applyBorder="1" applyAlignment="1">
      <alignment horizontal="left" vertical="center" indent="4"/>
    </xf>
    <xf numFmtId="0" fontId="44" fillId="0" borderId="0" xfId="0" applyFont="1" applyAlignment="1">
      <alignment vertical="center"/>
    </xf>
    <xf numFmtId="0" fontId="41" fillId="29" borderId="0" xfId="0" applyFont="1" applyFill="1" applyAlignment="1">
      <alignment vertical="center"/>
    </xf>
    <xf numFmtId="0" fontId="46" fillId="0" borderId="0" xfId="0" applyFont="1" applyAlignment="1">
      <alignment vertical="center"/>
    </xf>
    <xf numFmtId="0" fontId="44" fillId="0" borderId="0" xfId="0" applyFont="1" applyFill="1" applyBorder="1" applyAlignment="1">
      <alignment vertical="center"/>
    </xf>
    <xf numFmtId="0" fontId="46" fillId="0" borderId="0" xfId="0" applyFont="1" applyBorder="1"/>
    <xf numFmtId="0" fontId="59" fillId="0" borderId="0" xfId="3" applyFont="1" applyAlignment="1">
      <alignment horizontal="left" vertical="center"/>
    </xf>
    <xf numFmtId="166" fontId="44" fillId="0" borderId="15" xfId="0" applyNumberFormat="1" applyFont="1" applyBorder="1" applyAlignment="1">
      <alignment horizontal="right" vertical="center"/>
    </xf>
    <xf numFmtId="166" fontId="44" fillId="0" borderId="0" xfId="0" applyNumberFormat="1" applyFont="1" applyAlignment="1">
      <alignment horizontal="right" vertical="center"/>
    </xf>
    <xf numFmtId="0" fontId="39" fillId="0" borderId="0" xfId="0" applyFont="1" applyBorder="1"/>
    <xf numFmtId="0" fontId="39" fillId="0" borderId="0" xfId="0" applyFont="1"/>
    <xf numFmtId="0" fontId="52" fillId="0" borderId="0" xfId="3" applyFont="1" applyAlignment="1">
      <alignment horizontal="left" vertical="center"/>
    </xf>
    <xf numFmtId="14" fontId="61" fillId="0" borderId="15" xfId="0" applyNumberFormat="1" applyFont="1" applyBorder="1" applyAlignment="1">
      <alignment horizontal="left" vertical="center"/>
    </xf>
    <xf numFmtId="0" fontId="49" fillId="30" borderId="15" xfId="0" applyFont="1" applyFill="1" applyBorder="1"/>
    <xf numFmtId="14" fontId="48" fillId="0" borderId="34" xfId="0" applyNumberFormat="1" applyFont="1" applyBorder="1" applyAlignment="1">
      <alignment horizontal="right" vertical="center"/>
    </xf>
    <xf numFmtId="14" fontId="48" fillId="0" borderId="38" xfId="0" applyNumberFormat="1" applyFont="1" applyBorder="1" applyAlignment="1">
      <alignment horizontal="right" vertical="center"/>
    </xf>
    <xf numFmtId="3" fontId="50" fillId="2" borderId="35" xfId="0" applyNumberFormat="1" applyFont="1" applyFill="1" applyBorder="1" applyAlignment="1">
      <alignment horizontal="right" vertical="center"/>
    </xf>
    <xf numFmtId="3" fontId="50" fillId="2" borderId="37" xfId="0" applyNumberFormat="1" applyFont="1" applyFill="1" applyBorder="1" applyAlignment="1">
      <alignment horizontal="right" vertical="center"/>
    </xf>
    <xf numFmtId="166" fontId="50" fillId="0" borderId="15" xfId="0" applyNumberFormat="1" applyFont="1" applyBorder="1" applyAlignment="1">
      <alignment horizontal="right" vertical="center"/>
    </xf>
    <xf numFmtId="166" fontId="50" fillId="0" borderId="18" xfId="0" applyNumberFormat="1" applyFont="1" applyBorder="1" applyAlignment="1">
      <alignment horizontal="right" vertical="center"/>
    </xf>
    <xf numFmtId="166" fontId="50" fillId="0" borderId="0" xfId="0" applyNumberFormat="1" applyFont="1" applyAlignment="1">
      <alignment horizontal="right" vertical="center"/>
    </xf>
    <xf numFmtId="166" fontId="53" fillId="0" borderId="15" xfId="0" applyNumberFormat="1" applyFont="1" applyBorder="1" applyAlignment="1">
      <alignment horizontal="right" vertical="center"/>
    </xf>
    <xf numFmtId="166" fontId="53" fillId="0" borderId="18" xfId="0" applyNumberFormat="1" applyFont="1" applyBorder="1" applyAlignment="1">
      <alignment horizontal="right" vertical="center"/>
    </xf>
    <xf numFmtId="166" fontId="53" fillId="0" borderId="0" xfId="0" applyNumberFormat="1" applyFont="1" applyAlignment="1">
      <alignment horizontal="right" vertical="center"/>
    </xf>
    <xf numFmtId="167" fontId="50" fillId="0" borderId="22" xfId="0" applyNumberFormat="1" applyFont="1" applyFill="1" applyBorder="1" applyAlignment="1">
      <alignment horizontal="right"/>
    </xf>
    <xf numFmtId="167" fontId="50" fillId="0" borderId="36" xfId="0" applyNumberFormat="1" applyFont="1" applyFill="1" applyBorder="1" applyAlignment="1">
      <alignment horizontal="right"/>
    </xf>
    <xf numFmtId="167" fontId="50" fillId="0" borderId="21" xfId="0" applyNumberFormat="1" applyFont="1" applyFill="1" applyBorder="1" applyAlignment="1">
      <alignment horizontal="right"/>
    </xf>
    <xf numFmtId="3" fontId="53" fillId="0" borderId="18" xfId="0" applyNumberFormat="1" applyFont="1" applyBorder="1" applyAlignment="1">
      <alignment horizontal="right" vertical="center"/>
    </xf>
    <xf numFmtId="167" fontId="53" fillId="0" borderId="15" xfId="6" applyNumberFormat="1" applyFont="1" applyBorder="1"/>
    <xf numFmtId="167" fontId="53" fillId="0" borderId="18" xfId="6" applyNumberFormat="1" applyFont="1" applyBorder="1"/>
    <xf numFmtId="167" fontId="53" fillId="0" borderId="0" xfId="6" applyNumberFormat="1" applyFont="1"/>
    <xf numFmtId="3" fontId="50" fillId="0" borderId="15" xfId="0" applyNumberFormat="1" applyFont="1" applyBorder="1" applyAlignment="1">
      <alignment horizontal="right" vertical="center"/>
    </xf>
    <xf numFmtId="3" fontId="50" fillId="0" borderId="18" xfId="0" applyNumberFormat="1" applyFont="1" applyBorder="1" applyAlignment="1">
      <alignment horizontal="right" vertical="center"/>
    </xf>
    <xf numFmtId="3" fontId="50" fillId="0" borderId="0" xfId="0" applyNumberFormat="1" applyFont="1" applyAlignment="1">
      <alignment horizontal="right" vertical="center"/>
    </xf>
    <xf numFmtId="165" fontId="53" fillId="29" borderId="35" xfId="0" applyNumberFormat="1" applyFont="1" applyFill="1" applyBorder="1" applyAlignment="1">
      <alignment horizontal="right" vertical="center"/>
    </xf>
    <xf numFmtId="165" fontId="53" fillId="29" borderId="37" xfId="0" applyNumberFormat="1" applyFont="1" applyFill="1" applyBorder="1" applyAlignment="1">
      <alignment horizontal="right" vertical="center"/>
    </xf>
    <xf numFmtId="165" fontId="53" fillId="29" borderId="0" xfId="0" applyNumberFormat="1" applyFont="1" applyFill="1" applyBorder="1" applyAlignment="1">
      <alignment horizontal="right" vertical="center"/>
    </xf>
    <xf numFmtId="165" fontId="53" fillId="29" borderId="15" xfId="0" applyNumberFormat="1" applyFont="1" applyFill="1" applyBorder="1" applyAlignment="1">
      <alignment horizontal="right" vertical="center"/>
    </xf>
    <xf numFmtId="0" fontId="48" fillId="0" borderId="0" xfId="0" applyFont="1" applyBorder="1"/>
    <xf numFmtId="0" fontId="48" fillId="0" borderId="0" xfId="0" applyFont="1" applyBorder="1" applyAlignment="1">
      <alignment horizontal="right" vertical="center"/>
    </xf>
    <xf numFmtId="0" fontId="48" fillId="0" borderId="0" xfId="0" applyFont="1"/>
    <xf numFmtId="0" fontId="44" fillId="2" borderId="21" xfId="0" applyFont="1" applyFill="1" applyBorder="1" applyAlignment="1">
      <alignment horizontal="left"/>
    </xf>
    <xf numFmtId="0" fontId="44" fillId="0" borderId="0" xfId="0" applyFont="1" applyFill="1" applyAlignment="1">
      <alignment horizontal="left"/>
    </xf>
    <xf numFmtId="0" fontId="41" fillId="0" borderId="21" xfId="0" applyFont="1" applyBorder="1" applyAlignment="1">
      <alignment horizontal="left" vertical="center"/>
    </xf>
    <xf numFmtId="0" fontId="44" fillId="0" borderId="0" xfId="0" applyFont="1" applyFill="1" applyBorder="1" applyAlignment="1">
      <alignment horizontal="left" vertical="center"/>
    </xf>
    <xf numFmtId="0" fontId="46" fillId="0" borderId="0" xfId="0" applyFont="1" applyBorder="1" applyAlignment="1">
      <alignment horizontal="left" vertical="center"/>
    </xf>
    <xf numFmtId="0" fontId="44" fillId="0" borderId="0" xfId="0" applyFont="1" applyFill="1" applyBorder="1" applyAlignment="1">
      <alignment horizontal="left"/>
    </xf>
    <xf numFmtId="0" fontId="44" fillId="0" borderId="0" xfId="0" applyFont="1" applyAlignment="1">
      <alignment horizontal="left" vertical="center" indent="2"/>
    </xf>
    <xf numFmtId="0" fontId="44" fillId="0" borderId="0" xfId="0" applyFont="1" applyFill="1" applyAlignment="1">
      <alignment horizontal="left" vertical="center" indent="2"/>
    </xf>
    <xf numFmtId="3" fontId="45" fillId="0" borderId="15" xfId="0" applyNumberFormat="1" applyFont="1" applyFill="1" applyBorder="1" applyAlignment="1">
      <alignment horizontal="right" vertical="center"/>
    </xf>
    <xf numFmtId="3" fontId="45" fillId="0" borderId="0" xfId="0" applyNumberFormat="1" applyFont="1" applyFill="1" applyAlignment="1">
      <alignment horizontal="right" vertical="center"/>
    </xf>
    <xf numFmtId="167" fontId="62" fillId="0" borderId="15" xfId="6" applyNumberFormat="1" applyFont="1" applyBorder="1"/>
    <xf numFmtId="167" fontId="62" fillId="0" borderId="0" xfId="6" applyNumberFormat="1" applyFont="1"/>
    <xf numFmtId="0" fontId="52" fillId="0" borderId="20" xfId="0" applyFont="1" applyFill="1" applyBorder="1"/>
    <xf numFmtId="173" fontId="50" fillId="2" borderId="22" xfId="0" applyNumberFormat="1" applyFont="1" applyFill="1" applyBorder="1" applyAlignment="1">
      <alignment horizontal="right" vertical="center"/>
    </xf>
    <xf numFmtId="167" fontId="50" fillId="2" borderId="21" xfId="0" applyNumberFormat="1" applyFont="1" applyFill="1" applyBorder="1" applyAlignment="1">
      <alignment horizontal="right" vertical="center"/>
    </xf>
    <xf numFmtId="3" fontId="50" fillId="0" borderId="15" xfId="0" applyNumberFormat="1" applyFont="1" applyFill="1" applyBorder="1" applyAlignment="1">
      <alignment horizontal="right" vertical="center"/>
    </xf>
    <xf numFmtId="3" fontId="50" fillId="0" borderId="0" xfId="0" applyNumberFormat="1" applyFont="1" applyFill="1" applyAlignment="1">
      <alignment horizontal="right" vertical="center"/>
    </xf>
    <xf numFmtId="3" fontId="50" fillId="0" borderId="22" xfId="0" applyNumberFormat="1" applyFont="1" applyBorder="1" applyAlignment="1">
      <alignment vertical="center"/>
    </xf>
    <xf numFmtId="3" fontId="50" fillId="0" borderId="21" xfId="0" applyNumberFormat="1" applyFont="1" applyBorder="1" applyAlignment="1">
      <alignment vertical="center"/>
    </xf>
    <xf numFmtId="167" fontId="63" fillId="0" borderId="15" xfId="6" applyNumberFormat="1" applyFont="1" applyBorder="1"/>
    <xf numFmtId="167" fontId="63" fillId="0" borderId="0" xfId="6" applyNumberFormat="1" applyFont="1"/>
    <xf numFmtId="3" fontId="53" fillId="0" borderId="15" xfId="0" applyNumberFormat="1" applyFont="1" applyFill="1" applyBorder="1" applyAlignment="1">
      <alignment vertical="center"/>
    </xf>
    <xf numFmtId="3" fontId="53" fillId="0" borderId="0" xfId="0" applyNumberFormat="1" applyFont="1" applyFill="1" applyBorder="1" applyAlignment="1">
      <alignment vertical="center"/>
    </xf>
    <xf numFmtId="0" fontId="53" fillId="0" borderId="15" xfId="0" applyFont="1" applyBorder="1" applyAlignment="1">
      <alignment vertical="center"/>
    </xf>
    <xf numFmtId="0" fontId="53" fillId="0" borderId="0" xfId="0" applyFont="1" applyAlignment="1">
      <alignment vertical="center"/>
    </xf>
    <xf numFmtId="0" fontId="53" fillId="0" borderId="0" xfId="0" applyFont="1" applyFill="1" applyBorder="1" applyAlignment="1">
      <alignment vertical="center"/>
    </xf>
    <xf numFmtId="3" fontId="50" fillId="0" borderId="0" xfId="0" applyNumberFormat="1" applyFont="1" applyFill="1" applyBorder="1" applyAlignment="1">
      <alignment horizontal="right" vertical="center"/>
    </xf>
    <xf numFmtId="0" fontId="53" fillId="0" borderId="15" xfId="0" applyFont="1" applyBorder="1" applyAlignment="1">
      <alignment horizontal="right" vertical="center"/>
    </xf>
    <xf numFmtId="0" fontId="53" fillId="0" borderId="0" xfId="0" applyFont="1" applyAlignment="1">
      <alignment horizontal="right" vertical="center"/>
    </xf>
    <xf numFmtId="0" fontId="64" fillId="0" borderId="0" xfId="0" applyFont="1" applyAlignment="1">
      <alignment vertical="center"/>
    </xf>
    <xf numFmtId="0" fontId="41" fillId="0" borderId="0" xfId="0" applyFont="1" applyFill="1" applyBorder="1" applyAlignment="1">
      <alignment vertical="center"/>
    </xf>
    <xf numFmtId="0" fontId="44" fillId="0" borderId="0" xfId="0" applyFont="1" applyFill="1" applyAlignment="1">
      <alignment horizontal="left" indent="3"/>
    </xf>
    <xf numFmtId="0" fontId="44" fillId="0" borderId="0" xfId="0" applyFont="1" applyAlignment="1">
      <alignment horizontal="left" vertical="center" indent="3"/>
    </xf>
    <xf numFmtId="0" fontId="44" fillId="0" borderId="0" xfId="0" applyFont="1" applyFill="1" applyBorder="1" applyAlignment="1">
      <alignment horizontal="left" vertical="center" indent="3"/>
    </xf>
    <xf numFmtId="0" fontId="41" fillId="0" borderId="0" xfId="0" applyFont="1" applyBorder="1" applyAlignment="1">
      <alignment vertical="center"/>
    </xf>
    <xf numFmtId="0" fontId="41" fillId="0" borderId="0" xfId="0" applyFont="1" applyAlignment="1">
      <alignment horizontal="left" vertical="center" indent="4"/>
    </xf>
    <xf numFmtId="0" fontId="44" fillId="0" borderId="0" xfId="0" applyFont="1" applyAlignment="1">
      <alignment horizontal="left" vertical="center" indent="6"/>
    </xf>
    <xf numFmtId="0" fontId="41" fillId="0" borderId="0" xfId="0" applyFont="1" applyFill="1" applyBorder="1" applyAlignment="1">
      <alignment horizontal="left" vertical="center" indent="4"/>
    </xf>
    <xf numFmtId="0" fontId="40" fillId="30" borderId="0" xfId="0" applyFont="1" applyFill="1" applyAlignment="1">
      <alignment horizontal="right" vertical="center"/>
    </xf>
    <xf numFmtId="0" fontId="65" fillId="0" borderId="0" xfId="2" applyFont="1" applyFill="1" applyBorder="1" applyAlignment="1">
      <alignment horizontal="right" vertical="center"/>
    </xf>
    <xf numFmtId="0" fontId="39" fillId="0" borderId="0" xfId="0" applyFont="1" applyFill="1" applyAlignment="1">
      <alignment horizontal="right" vertical="center"/>
    </xf>
    <xf numFmtId="0" fontId="41" fillId="29" borderId="0" xfId="0" applyFont="1" applyFill="1" applyAlignment="1">
      <alignment horizontal="right" vertical="center"/>
    </xf>
    <xf numFmtId="0" fontId="66" fillId="0" borderId="0" xfId="0" applyFont="1" applyFill="1"/>
    <xf numFmtId="0" fontId="45" fillId="0" borderId="0" xfId="0" applyFont="1"/>
    <xf numFmtId="0" fontId="39" fillId="0" borderId="0" xfId="0" applyFont="1" applyFill="1" applyBorder="1" applyAlignment="1">
      <alignment horizontal="right" vertical="center"/>
    </xf>
    <xf numFmtId="0" fontId="39" fillId="0" borderId="0" xfId="0" applyFont="1" applyFill="1"/>
    <xf numFmtId="0" fontId="49" fillId="30" borderId="0" xfId="0" applyFont="1" applyFill="1" applyAlignment="1">
      <alignment horizontal="right" vertical="center"/>
    </xf>
    <xf numFmtId="0" fontId="48" fillId="0" borderId="0" xfId="0" applyFont="1" applyFill="1" applyAlignment="1">
      <alignment horizontal="right" vertical="center"/>
    </xf>
    <xf numFmtId="3" fontId="50" fillId="0" borderId="19" xfId="0" applyNumberFormat="1" applyFont="1" applyBorder="1" applyAlignment="1">
      <alignment vertical="center"/>
    </xf>
    <xf numFmtId="0" fontId="52" fillId="0" borderId="0" xfId="0" applyFont="1" applyFill="1"/>
    <xf numFmtId="0" fontId="50" fillId="0" borderId="0" xfId="0" applyFont="1"/>
    <xf numFmtId="3" fontId="50" fillId="0" borderId="22" xfId="0" applyNumberFormat="1" applyFont="1" applyBorder="1" applyAlignment="1">
      <alignment horizontal="right" vertical="center"/>
    </xf>
    <xf numFmtId="173" fontId="50" fillId="0" borderId="22" xfId="0" applyNumberFormat="1" applyFont="1" applyBorder="1" applyAlignment="1">
      <alignment horizontal="right" vertical="center"/>
    </xf>
    <xf numFmtId="3" fontId="50" fillId="0" borderId="21" xfId="0" applyNumberFormat="1" applyFont="1" applyBorder="1" applyAlignment="1">
      <alignment horizontal="right" vertical="center"/>
    </xf>
    <xf numFmtId="3" fontId="50" fillId="0" borderId="22" xfId="0" applyNumberFormat="1" applyFont="1" applyFill="1" applyBorder="1" applyAlignment="1">
      <alignment horizontal="right" vertical="center"/>
    </xf>
    <xf numFmtId="3" fontId="50" fillId="0" borderId="21" xfId="0" applyNumberFormat="1" applyFont="1" applyFill="1" applyBorder="1" applyAlignment="1">
      <alignment horizontal="right" vertical="center"/>
    </xf>
    <xf numFmtId="3" fontId="50" fillId="0" borderId="0" xfId="1" applyNumberFormat="1" applyFont="1" applyFill="1" applyBorder="1" applyAlignment="1">
      <alignment horizontal="right" vertical="center"/>
    </xf>
    <xf numFmtId="3" fontId="50" fillId="0" borderId="0" xfId="1" applyNumberFormat="1" applyFont="1" applyAlignment="1">
      <alignment horizontal="right" vertical="center"/>
    </xf>
    <xf numFmtId="0" fontId="48" fillId="0" borderId="0" xfId="0" applyFont="1" applyFill="1" applyBorder="1"/>
    <xf numFmtId="167" fontId="63" fillId="0" borderId="15" xfId="6" applyNumberFormat="1" applyFont="1" applyBorder="1" applyAlignment="1">
      <alignment horizontal="center"/>
    </xf>
    <xf numFmtId="167" fontId="63" fillId="0" borderId="0" xfId="6" applyNumberFormat="1" applyFont="1" applyAlignment="1">
      <alignment horizontal="center"/>
    </xf>
    <xf numFmtId="3" fontId="53" fillId="0" borderId="0" xfId="0" applyNumberFormat="1" applyFont="1" applyFill="1" applyBorder="1" applyAlignment="1">
      <alignment horizontal="right" vertical="center"/>
    </xf>
    <xf numFmtId="3" fontId="53" fillId="0" borderId="0" xfId="1" applyNumberFormat="1" applyFont="1" applyFill="1" applyBorder="1" applyAlignment="1">
      <alignment horizontal="right" vertical="center"/>
    </xf>
    <xf numFmtId="3" fontId="53" fillId="0" borderId="0" xfId="1" applyNumberFormat="1" applyFont="1" applyAlignment="1">
      <alignment horizontal="right" vertical="center"/>
    </xf>
    <xf numFmtId="173" fontId="50" fillId="0" borderId="21" xfId="1" applyNumberFormat="1" applyFont="1" applyBorder="1" applyAlignment="1">
      <alignment horizontal="right" vertical="center"/>
    </xf>
    <xf numFmtId="173" fontId="50" fillId="0" borderId="21" xfId="1" applyNumberFormat="1" applyFont="1" applyFill="1" applyBorder="1" applyAlignment="1">
      <alignment horizontal="right" vertical="center"/>
    </xf>
    <xf numFmtId="173" fontId="53" fillId="0" borderId="0" xfId="1" applyNumberFormat="1" applyFont="1" applyAlignment="1">
      <alignment horizontal="right" vertical="center"/>
    </xf>
    <xf numFmtId="173" fontId="50" fillId="0" borderId="0" xfId="0" applyNumberFormat="1" applyFont="1" applyAlignment="1">
      <alignment horizontal="right" vertical="center"/>
    </xf>
    <xf numFmtId="173" fontId="50" fillId="0" borderId="21" xfId="0" applyNumberFormat="1" applyFont="1" applyFill="1" applyBorder="1" applyAlignment="1">
      <alignment horizontal="right" vertical="center"/>
    </xf>
    <xf numFmtId="173" fontId="50" fillId="0" borderId="21" xfId="0" applyNumberFormat="1" applyFont="1" applyBorder="1" applyAlignment="1">
      <alignment horizontal="right" vertical="center"/>
    </xf>
    <xf numFmtId="167" fontId="68" fillId="0" borderId="15" xfId="6" applyNumberFormat="1" applyFont="1" applyBorder="1"/>
    <xf numFmtId="0" fontId="48" fillId="0" borderId="0" xfId="0" applyFont="1" applyFill="1"/>
    <xf numFmtId="167" fontId="50" fillId="0" borderId="21" xfId="0" applyNumberFormat="1" applyFont="1" applyBorder="1" applyAlignment="1">
      <alignment horizontal="right" vertical="center"/>
    </xf>
    <xf numFmtId="167" fontId="50" fillId="0" borderId="21" xfId="0" applyNumberFormat="1" applyFont="1" applyFill="1" applyBorder="1" applyAlignment="1">
      <alignment horizontal="right" vertical="center"/>
    </xf>
    <xf numFmtId="0" fontId="69" fillId="0" borderId="0" xfId="2" applyFont="1"/>
    <xf numFmtId="0" fontId="39" fillId="0" borderId="0" xfId="0" applyFont="1" applyAlignment="1">
      <alignment horizontal="center"/>
    </xf>
    <xf numFmtId="0" fontId="39" fillId="0" borderId="0" xfId="0" applyFont="1" applyFill="1" applyBorder="1"/>
    <xf numFmtId="0" fontId="40" fillId="30" borderId="0" xfId="0" applyFont="1" applyFill="1" applyBorder="1"/>
    <xf numFmtId="0" fontId="66" fillId="0" borderId="0" xfId="0" applyFont="1" applyFill="1" applyAlignment="1">
      <alignment horizontal="center"/>
    </xf>
    <xf numFmtId="0" fontId="43" fillId="0" borderId="0" xfId="0" applyFont="1"/>
    <xf numFmtId="0" fontId="49" fillId="30" borderId="0" xfId="0" applyFont="1" applyFill="1" applyBorder="1"/>
    <xf numFmtId="0" fontId="52" fillId="0" borderId="19" xfId="0" applyFont="1" applyFill="1" applyBorder="1"/>
    <xf numFmtId="3" fontId="50" fillId="0" borderId="21" xfId="1" applyNumberFormat="1" applyFont="1" applyBorder="1" applyAlignment="1">
      <alignment horizontal="right" vertical="center"/>
    </xf>
    <xf numFmtId="167" fontId="53" fillId="0" borderId="0" xfId="0" applyNumberFormat="1" applyFont="1" applyAlignment="1">
      <alignment horizontal="right" vertical="center"/>
    </xf>
    <xf numFmtId="167" fontId="53" fillId="0" borderId="15" xfId="0" applyNumberFormat="1" applyFont="1" applyBorder="1" applyAlignment="1">
      <alignment horizontal="right" vertical="center"/>
    </xf>
    <xf numFmtId="167" fontId="53" fillId="0" borderId="0" xfId="0" applyNumberFormat="1" applyFont="1" applyFill="1" applyAlignment="1">
      <alignment horizontal="right" vertical="center"/>
    </xf>
    <xf numFmtId="167" fontId="53" fillId="0" borderId="0" xfId="1" applyNumberFormat="1" applyFont="1" applyAlignment="1">
      <alignment horizontal="right" vertical="center"/>
    </xf>
    <xf numFmtId="167" fontId="50" fillId="0" borderId="21" xfId="1" applyNumberFormat="1" applyFont="1" applyBorder="1" applyAlignment="1">
      <alignment horizontal="right" vertical="center"/>
    </xf>
    <xf numFmtId="167" fontId="53" fillId="0" borderId="0" xfId="0" applyNumberFormat="1" applyFont="1" applyFill="1" applyBorder="1" applyAlignment="1">
      <alignment horizontal="right" vertical="center"/>
    </xf>
    <xf numFmtId="167" fontId="50" fillId="0" borderId="0" xfId="1" applyNumberFormat="1" applyFont="1" applyAlignment="1">
      <alignment horizontal="right" vertical="center"/>
    </xf>
    <xf numFmtId="167" fontId="53" fillId="0" borderId="15" xfId="1" applyNumberFormat="1" applyFont="1" applyBorder="1" applyAlignment="1">
      <alignment horizontal="right" vertical="center"/>
    </xf>
    <xf numFmtId="167" fontId="53" fillId="0" borderId="0" xfId="1" applyNumberFormat="1" applyFont="1" applyFill="1" applyAlignment="1">
      <alignment horizontal="right" vertical="center"/>
    </xf>
    <xf numFmtId="167" fontId="53" fillId="0" borderId="15" xfId="1" applyNumberFormat="1" applyFont="1" applyFill="1" applyBorder="1" applyAlignment="1">
      <alignment horizontal="right" vertical="center"/>
    </xf>
    <xf numFmtId="167" fontId="50" fillId="0" borderId="22" xfId="0" applyNumberFormat="1" applyFont="1" applyBorder="1" applyAlignment="1">
      <alignment horizontal="right" vertical="center"/>
    </xf>
    <xf numFmtId="167" fontId="50" fillId="0" borderId="22" xfId="1" applyNumberFormat="1" applyFont="1" applyBorder="1" applyAlignment="1">
      <alignment horizontal="right" vertical="center"/>
    </xf>
    <xf numFmtId="167" fontId="50" fillId="0" borderId="22" xfId="1" applyNumberFormat="1" applyFont="1" applyFill="1" applyBorder="1" applyAlignment="1">
      <alignment horizontal="right" vertical="center"/>
    </xf>
    <xf numFmtId="0" fontId="69" fillId="0" borderId="0" xfId="2" applyFont="1" applyBorder="1"/>
    <xf numFmtId="0" fontId="55" fillId="30" borderId="0" xfId="3" applyFont="1" applyFill="1" applyAlignment="1">
      <alignment vertical="center"/>
    </xf>
    <xf numFmtId="0" fontId="40" fillId="30" borderId="0" xfId="0" applyFont="1" applyFill="1"/>
    <xf numFmtId="0" fontId="41" fillId="29" borderId="0" xfId="0" applyFont="1" applyFill="1"/>
    <xf numFmtId="0" fontId="70" fillId="30" borderId="0" xfId="0" applyFont="1" applyFill="1" applyAlignment="1">
      <alignment horizontal="left" vertical="center"/>
    </xf>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0" fontId="46" fillId="0" borderId="0" xfId="0" applyFont="1" applyAlignment="1">
      <alignment horizontal="left" vertical="center"/>
    </xf>
    <xf numFmtId="3" fontId="46" fillId="0" borderId="0" xfId="0" applyNumberFormat="1" applyFont="1" applyAlignment="1">
      <alignment horizontal="right" vertical="center"/>
    </xf>
    <xf numFmtId="3" fontId="46" fillId="0" borderId="15" xfId="0" applyNumberFormat="1" applyFont="1" applyBorder="1" applyAlignment="1">
      <alignment horizontal="right" vertical="center"/>
    </xf>
    <xf numFmtId="0" fontId="41" fillId="0" borderId="16" xfId="0" applyFont="1" applyBorder="1"/>
    <xf numFmtId="0" fontId="46" fillId="0" borderId="16" xfId="0" applyFont="1" applyBorder="1"/>
    <xf numFmtId="0" fontId="46" fillId="0" borderId="16" xfId="0" applyFont="1" applyBorder="1" applyAlignment="1">
      <alignment horizontal="right" vertical="center"/>
    </xf>
    <xf numFmtId="0" fontId="46" fillId="0" borderId="17" xfId="0" applyFont="1" applyBorder="1" applyAlignment="1">
      <alignment horizontal="right" vertical="center"/>
    </xf>
    <xf numFmtId="3" fontId="46" fillId="0" borderId="16" xfId="0" applyNumberFormat="1" applyFont="1" applyBorder="1" applyAlignment="1">
      <alignment vertical="center"/>
    </xf>
    <xf numFmtId="0" fontId="71" fillId="4" borderId="0" xfId="0" applyFont="1" applyFill="1"/>
    <xf numFmtId="167" fontId="44" fillId="0" borderId="0" xfId="0" applyNumberFormat="1" applyFont="1" applyBorder="1" applyAlignment="1">
      <alignment horizontal="right" vertical="center"/>
    </xf>
    <xf numFmtId="0" fontId="72" fillId="4" borderId="0" xfId="0" applyFont="1" applyFill="1"/>
    <xf numFmtId="0" fontId="72" fillId="4" borderId="0" xfId="0" applyFont="1" applyFill="1" applyAlignment="1">
      <alignment horizontal="left" indent="4"/>
    </xf>
    <xf numFmtId="3" fontId="43" fillId="4" borderId="0" xfId="0" applyNumberFormat="1" applyFont="1" applyFill="1" applyAlignment="1">
      <alignment horizontal="right" vertical="center"/>
    </xf>
    <xf numFmtId="3" fontId="43" fillId="4" borderId="15" xfId="0" applyNumberFormat="1" applyFont="1" applyFill="1" applyBorder="1" applyAlignment="1">
      <alignment horizontal="right" vertical="center"/>
    </xf>
    <xf numFmtId="167" fontId="73" fillId="0" borderId="0" xfId="0" applyNumberFormat="1" applyFont="1" applyAlignment="1">
      <alignment vertical="center"/>
    </xf>
    <xf numFmtId="0" fontId="74" fillId="0" borderId="0" xfId="0" applyFont="1" applyAlignment="1">
      <alignment horizontal="left" wrapText="1"/>
    </xf>
    <xf numFmtId="167" fontId="73" fillId="0" borderId="0" xfId="0" applyNumberFormat="1" applyFont="1" applyAlignment="1">
      <alignment horizontal="right"/>
    </xf>
    <xf numFmtId="0" fontId="75" fillId="0" borderId="0" xfId="0" applyFont="1"/>
    <xf numFmtId="167" fontId="46" fillId="0" borderId="0" xfId="0" applyNumberFormat="1" applyFont="1" applyAlignment="1">
      <alignment vertical="center"/>
    </xf>
    <xf numFmtId="0" fontId="46" fillId="0" borderId="0" xfId="0" applyFont="1" applyAlignment="1">
      <alignment horizontal="left" indent="6"/>
    </xf>
    <xf numFmtId="3" fontId="46" fillId="0" borderId="0" xfId="0" applyNumberFormat="1" applyFont="1" applyAlignment="1">
      <alignment vertical="center"/>
    </xf>
    <xf numFmtId="0" fontId="76" fillId="0" borderId="0" xfId="0" applyFont="1" applyAlignment="1">
      <alignment horizontal="right" vertical="center"/>
    </xf>
    <xf numFmtId="0" fontId="76" fillId="0" borderId="15" xfId="0" applyFont="1" applyBorder="1" applyAlignment="1">
      <alignment horizontal="right" vertical="center"/>
    </xf>
    <xf numFmtId="0" fontId="45" fillId="0" borderId="0" xfId="0" applyFont="1" applyFill="1"/>
    <xf numFmtId="0" fontId="41" fillId="2" borderId="21" xfId="0" applyFont="1" applyFill="1" applyBorder="1" applyAlignment="1">
      <alignment vertical="center"/>
    </xf>
    <xf numFmtId="167" fontId="67" fillId="2" borderId="21" xfId="6" applyNumberFormat="1" applyFont="1" applyFill="1" applyBorder="1"/>
    <xf numFmtId="167" fontId="67" fillId="2" borderId="22" xfId="6" applyNumberFormat="1" applyFont="1" applyFill="1" applyBorder="1"/>
    <xf numFmtId="0" fontId="62" fillId="0" borderId="0" xfId="0" applyFont="1" applyAlignment="1">
      <alignment horizontal="left" vertical="center" indent="4"/>
    </xf>
    <xf numFmtId="0" fontId="78" fillId="0" borderId="0" xfId="0" applyFont="1"/>
    <xf numFmtId="14" fontId="39" fillId="0" borderId="0" xfId="0" applyNumberFormat="1" applyFont="1" applyBorder="1" applyAlignment="1">
      <alignment horizontal="right" vertical="center"/>
    </xf>
    <xf numFmtId="0" fontId="79" fillId="0" borderId="0" xfId="0" applyFont="1" applyFill="1" applyBorder="1"/>
    <xf numFmtId="166" fontId="41" fillId="0" borderId="0" xfId="0" applyNumberFormat="1" applyFont="1" applyAlignment="1">
      <alignment horizontal="right"/>
    </xf>
    <xf numFmtId="166" fontId="41" fillId="0" borderId="0" xfId="0" applyNumberFormat="1" applyFont="1" applyFill="1" applyAlignment="1">
      <alignment horizontal="right"/>
    </xf>
    <xf numFmtId="0" fontId="80" fillId="4" borderId="0" xfId="0" applyFont="1" applyFill="1" applyAlignment="1">
      <alignment horizontal="left" indent="2"/>
    </xf>
    <xf numFmtId="166" fontId="73" fillId="0" borderId="0" xfId="0" applyNumberFormat="1" applyFont="1" applyAlignment="1">
      <alignment horizontal="right"/>
    </xf>
    <xf numFmtId="0" fontId="80" fillId="0" borderId="0" xfId="0" applyFont="1" applyAlignment="1">
      <alignment horizontal="left" indent="2"/>
    </xf>
    <xf numFmtId="166" fontId="41" fillId="2" borderId="21" xfId="1" applyNumberFormat="1" applyFont="1" applyFill="1" applyBorder="1" applyAlignment="1">
      <alignment horizontal="right" vertical="center"/>
    </xf>
    <xf numFmtId="0" fontId="80" fillId="0" borderId="0" xfId="0" applyFont="1" applyAlignment="1">
      <alignment horizontal="left" indent="6"/>
    </xf>
    <xf numFmtId="3" fontId="46" fillId="0" borderId="0" xfId="0" applyNumberFormat="1" applyFont="1" applyBorder="1" applyAlignment="1">
      <alignment horizontal="right" vertical="center"/>
    </xf>
    <xf numFmtId="0" fontId="79" fillId="4" borderId="0" xfId="0" applyFont="1" applyFill="1" applyAlignment="1">
      <alignment horizontal="left"/>
    </xf>
    <xf numFmtId="0" fontId="80" fillId="0" borderId="0" xfId="0" applyFont="1"/>
    <xf numFmtId="0" fontId="81" fillId="4" borderId="0" xfId="0" applyFont="1" applyFill="1"/>
    <xf numFmtId="14" fontId="82" fillId="0" borderId="0" xfId="0" applyNumberFormat="1" applyFont="1" applyAlignment="1">
      <alignment horizontal="right" vertical="center"/>
    </xf>
    <xf numFmtId="0" fontId="46" fillId="4" borderId="0" xfId="0" applyFont="1" applyFill="1" applyAlignment="1">
      <alignment horizontal="left" indent="4"/>
    </xf>
    <xf numFmtId="166" fontId="44" fillId="4" borderId="15" xfId="0" applyNumberFormat="1" applyFont="1" applyFill="1" applyBorder="1" applyAlignment="1">
      <alignment horizontal="right" vertical="center"/>
    </xf>
    <xf numFmtId="166" fontId="44" fillId="4" borderId="0" xfId="0" applyNumberFormat="1" applyFont="1" applyFill="1" applyAlignment="1">
      <alignment horizontal="right" vertical="center"/>
    </xf>
    <xf numFmtId="166" fontId="44" fillId="4" borderId="0" xfId="0" applyNumberFormat="1" applyFont="1" applyFill="1" applyAlignment="1">
      <alignment vertical="center"/>
    </xf>
    <xf numFmtId="0" fontId="41" fillId="0" borderId="21" xfId="0" applyFont="1" applyFill="1" applyBorder="1" applyAlignment="1">
      <alignment vertical="center"/>
    </xf>
    <xf numFmtId="166" fontId="41" fillId="0" borderId="21" xfId="1" applyNumberFormat="1" applyFont="1" applyFill="1" applyBorder="1" applyAlignment="1">
      <alignment horizontal="right" vertical="center"/>
    </xf>
    <xf numFmtId="0" fontId="46" fillId="0" borderId="0" xfId="0" applyFont="1" applyFill="1"/>
    <xf numFmtId="166" fontId="41" fillId="0" borderId="0" xfId="1" applyNumberFormat="1" applyFont="1" applyFill="1" applyBorder="1" applyAlignment="1">
      <alignment horizontal="right" vertical="center"/>
    </xf>
    <xf numFmtId="0" fontId="46" fillId="0" borderId="0" xfId="0" applyFont="1" applyAlignment="1">
      <alignment horizontal="left" indent="4"/>
    </xf>
    <xf numFmtId="166" fontId="41" fillId="4" borderId="0" xfId="0" applyNumberFormat="1" applyFont="1" applyFill="1" applyAlignment="1">
      <alignment horizontal="right" vertical="center"/>
    </xf>
    <xf numFmtId="166" fontId="44" fillId="0" borderId="0" xfId="0" applyNumberFormat="1" applyFont="1" applyAlignment="1">
      <alignment horizontal="right"/>
    </xf>
    <xf numFmtId="166" fontId="41" fillId="0" borderId="22" xfId="1" applyNumberFormat="1" applyFont="1" applyFill="1" applyBorder="1" applyAlignment="1">
      <alignment horizontal="right" vertical="center"/>
    </xf>
    <xf numFmtId="166" fontId="44" fillId="0" borderId="0" xfId="0" applyNumberFormat="1" applyFont="1" applyAlignment="1">
      <alignment vertical="center"/>
    </xf>
    <xf numFmtId="166" fontId="41" fillId="0" borderId="22" xfId="1" applyNumberFormat="1" applyFont="1" applyBorder="1" applyAlignment="1">
      <alignment horizontal="right" vertical="center"/>
    </xf>
    <xf numFmtId="166" fontId="41" fillId="0" borderId="21" xfId="1" applyNumberFormat="1" applyFont="1" applyBorder="1" applyAlignment="1">
      <alignment horizontal="right" vertical="center"/>
    </xf>
    <xf numFmtId="166" fontId="44" fillId="0" borderId="0" xfId="0" applyNumberFormat="1" applyFont="1"/>
    <xf numFmtId="166" fontId="44" fillId="0" borderId="0" xfId="1" applyNumberFormat="1" applyFont="1" applyFill="1" applyBorder="1" applyAlignment="1">
      <alignment horizontal="right" vertical="center"/>
    </xf>
    <xf numFmtId="175" fontId="44" fillId="0" borderId="15" xfId="1" applyNumberFormat="1" applyFont="1" applyBorder="1" applyAlignment="1">
      <alignment horizontal="right" vertical="center"/>
    </xf>
    <xf numFmtId="175" fontId="44" fillId="0" borderId="0" xfId="1" applyNumberFormat="1" applyFont="1" applyBorder="1" applyAlignment="1">
      <alignment horizontal="right" vertical="center"/>
    </xf>
    <xf numFmtId="176" fontId="44" fillId="0" borderId="0" xfId="1" applyNumberFormat="1" applyFont="1" applyFill="1" applyAlignment="1">
      <alignment horizontal="center" vertical="center"/>
    </xf>
    <xf numFmtId="176" fontId="44" fillId="0" borderId="0" xfId="1" applyNumberFormat="1" applyFont="1" applyAlignment="1">
      <alignment horizontal="center" vertical="center"/>
    </xf>
    <xf numFmtId="164" fontId="41" fillId="2" borderId="22" xfId="1" applyNumberFormat="1" applyFont="1" applyFill="1" applyBorder="1" applyAlignment="1">
      <alignment horizontal="right" vertical="center"/>
    </xf>
    <xf numFmtId="164" fontId="41" fillId="2" borderId="21" xfId="1" applyNumberFormat="1" applyFont="1" applyFill="1" applyBorder="1" applyAlignment="1">
      <alignment horizontal="right" vertical="center"/>
    </xf>
    <xf numFmtId="10" fontId="39" fillId="0" borderId="0" xfId="0" applyNumberFormat="1" applyFont="1"/>
    <xf numFmtId="164" fontId="44" fillId="0" borderId="0" xfId="1" applyNumberFormat="1" applyFont="1" applyFill="1" applyBorder="1" applyAlignment="1">
      <alignment horizontal="right" vertical="center"/>
    </xf>
    <xf numFmtId="174" fontId="41" fillId="2" borderId="22" xfId="1" applyNumberFormat="1" applyFont="1" applyFill="1" applyBorder="1" applyAlignment="1">
      <alignment horizontal="right" vertical="center"/>
    </xf>
    <xf numFmtId="174" fontId="41" fillId="2" borderId="21" xfId="1" applyNumberFormat="1" applyFont="1" applyFill="1" applyBorder="1" applyAlignment="1">
      <alignment horizontal="right" vertical="center"/>
    </xf>
    <xf numFmtId="166" fontId="39" fillId="0" borderId="15" xfId="0" applyNumberFormat="1" applyFont="1" applyBorder="1" applyAlignment="1">
      <alignment horizontal="right" vertical="center"/>
    </xf>
    <xf numFmtId="166" fontId="39" fillId="0" borderId="0" xfId="0" applyNumberFormat="1" applyFont="1" applyAlignment="1">
      <alignment horizontal="right" vertical="center"/>
    </xf>
    <xf numFmtId="174" fontId="39" fillId="0" borderId="0" xfId="0" applyNumberFormat="1" applyFont="1" applyAlignment="1">
      <alignment horizontal="right" vertical="center"/>
    </xf>
    <xf numFmtId="174" fontId="39" fillId="0" borderId="15" xfId="0" applyNumberFormat="1" applyFont="1" applyBorder="1" applyAlignment="1">
      <alignment horizontal="right" vertical="center"/>
    </xf>
    <xf numFmtId="0" fontId="83" fillId="0" borderId="39" xfId="0" applyFont="1" applyBorder="1"/>
    <xf numFmtId="164" fontId="83" fillId="0" borderId="39" xfId="1" applyNumberFormat="1" applyFont="1" applyBorder="1" applyAlignment="1">
      <alignment horizontal="right" vertical="center"/>
    </xf>
    <xf numFmtId="0" fontId="83" fillId="0" borderId="40" xfId="0" applyFont="1" applyBorder="1"/>
    <xf numFmtId="164" fontId="83" fillId="0" borderId="40" xfId="1" applyNumberFormat="1" applyFont="1" applyBorder="1" applyAlignment="1">
      <alignment horizontal="right" vertical="center"/>
    </xf>
    <xf numFmtId="178" fontId="83" fillId="0" borderId="40" xfId="1" applyNumberFormat="1" applyFont="1" applyBorder="1" applyAlignment="1">
      <alignment horizontal="right" vertical="center"/>
    </xf>
    <xf numFmtId="166" fontId="39" fillId="0" borderId="0" xfId="0" applyNumberFormat="1" applyFont="1" applyBorder="1" applyAlignment="1">
      <alignment horizontal="right" vertical="center"/>
    </xf>
    <xf numFmtId="0" fontId="84" fillId="0" borderId="0" xfId="0" applyFont="1"/>
    <xf numFmtId="166" fontId="41" fillId="0" borderId="0" xfId="1" applyNumberFormat="1" applyFont="1" applyBorder="1" applyAlignment="1">
      <alignment horizontal="right" vertical="center"/>
    </xf>
    <xf numFmtId="0" fontId="41" fillId="29" borderId="0" xfId="0" applyFont="1" applyFill="1" applyBorder="1"/>
    <xf numFmtId="0" fontId="41" fillId="0" borderId="16" xfId="0" applyFont="1" applyFill="1" applyBorder="1"/>
    <xf numFmtId="0" fontId="46" fillId="0" borderId="16" xfId="0" applyFont="1" applyFill="1" applyBorder="1"/>
    <xf numFmtId="0" fontId="46" fillId="0" borderId="16" xfId="0" applyFont="1" applyFill="1" applyBorder="1" applyAlignment="1">
      <alignment horizontal="right" vertical="center"/>
    </xf>
    <xf numFmtId="0" fontId="46" fillId="0" borderId="17" xfId="0" applyFont="1" applyFill="1" applyBorder="1" applyAlignment="1">
      <alignment horizontal="right" vertical="center"/>
    </xf>
    <xf numFmtId="3" fontId="46" fillId="0" borderId="16" xfId="0" applyNumberFormat="1" applyFont="1" applyFill="1" applyBorder="1" applyAlignment="1">
      <alignment vertical="center"/>
    </xf>
    <xf numFmtId="0" fontId="39" fillId="0" borderId="0" xfId="0" applyFont="1" applyFill="1" applyAlignment="1">
      <alignment horizontal="center"/>
    </xf>
    <xf numFmtId="0" fontId="44" fillId="4" borderId="0" xfId="0" applyFont="1" applyFill="1" applyAlignment="1">
      <alignment horizontal="left" indent="4"/>
    </xf>
    <xf numFmtId="10" fontId="44" fillId="4" borderId="15" xfId="1" applyNumberFormat="1" applyFont="1" applyFill="1" applyBorder="1" applyAlignment="1">
      <alignment horizontal="right" vertical="center"/>
    </xf>
    <xf numFmtId="10" fontId="44" fillId="4" borderId="0" xfId="1" applyNumberFormat="1" applyFont="1" applyFill="1" applyAlignment="1">
      <alignment horizontal="right" vertical="center"/>
    </xf>
    <xf numFmtId="10" fontId="44" fillId="4" borderId="0" xfId="1" applyNumberFormat="1" applyFont="1" applyFill="1" applyAlignment="1">
      <alignment vertical="center"/>
    </xf>
    <xf numFmtId="10" fontId="44" fillId="4" borderId="0" xfId="1" applyNumberFormat="1" applyFont="1" applyFill="1"/>
    <xf numFmtId="0" fontId="72" fillId="4" borderId="0" xfId="0" applyFont="1" applyFill="1" applyAlignment="1">
      <alignment horizontal="left" vertical="center"/>
    </xf>
    <xf numFmtId="3" fontId="43" fillId="4" borderId="0" xfId="0" applyNumberFormat="1" applyFont="1" applyFill="1" applyAlignment="1">
      <alignment horizontal="left" vertical="center"/>
    </xf>
    <xf numFmtId="3" fontId="43" fillId="4" borderId="15" xfId="0" applyNumberFormat="1" applyFont="1" applyFill="1" applyBorder="1" applyAlignment="1">
      <alignment horizontal="left" vertical="center"/>
    </xf>
    <xf numFmtId="167" fontId="73" fillId="0" borderId="0" xfId="0" applyNumberFormat="1" applyFont="1" applyAlignment="1">
      <alignment horizontal="left" vertical="center"/>
    </xf>
    <xf numFmtId="0" fontId="46" fillId="0" borderId="0" xfId="0" applyFont="1" applyFill="1" applyAlignment="1">
      <alignment horizontal="right" vertical="center"/>
    </xf>
    <xf numFmtId="0" fontId="46" fillId="0" borderId="15" xfId="0" applyFont="1" applyFill="1" applyBorder="1" applyAlignment="1">
      <alignment horizontal="right" vertical="center"/>
    </xf>
    <xf numFmtId="167" fontId="46" fillId="0" borderId="0" xfId="0" applyNumberFormat="1" applyFont="1" applyFill="1" applyAlignment="1">
      <alignment vertical="center"/>
    </xf>
    <xf numFmtId="179" fontId="44" fillId="4" borderId="15" xfId="0" applyNumberFormat="1" applyFont="1" applyFill="1" applyBorder="1" applyAlignment="1">
      <alignment horizontal="right" vertical="center"/>
    </xf>
    <xf numFmtId="179" fontId="44" fillId="4" borderId="0" xfId="0" applyNumberFormat="1" applyFont="1" applyFill="1" applyAlignment="1">
      <alignment horizontal="right" vertical="center"/>
    </xf>
    <xf numFmtId="179" fontId="44" fillId="4" borderId="0" xfId="0" applyNumberFormat="1" applyFont="1" applyFill="1" applyAlignment="1">
      <alignment vertical="center"/>
    </xf>
    <xf numFmtId="179" fontId="44" fillId="4" borderId="0" xfId="0" applyNumberFormat="1" applyFont="1" applyFill="1"/>
    <xf numFmtId="0" fontId="46" fillId="0" borderId="0" xfId="0" applyFont="1" applyFill="1" applyAlignment="1">
      <alignment vertical="center"/>
    </xf>
    <xf numFmtId="0" fontId="83" fillId="0" borderId="0" xfId="0" applyFont="1"/>
    <xf numFmtId="0" fontId="85" fillId="0" borderId="0" xfId="0" applyFont="1" applyBorder="1"/>
    <xf numFmtId="0" fontId="59" fillId="0" borderId="15" xfId="3" applyFont="1" applyBorder="1" applyAlignment="1">
      <alignment horizontal="left" vertical="center"/>
    </xf>
    <xf numFmtId="0" fontId="41" fillId="29" borderId="16" xfId="0" applyFont="1" applyFill="1" applyBorder="1"/>
    <xf numFmtId="0" fontId="41" fillId="29" borderId="17" xfId="0" applyNumberFormat="1" applyFont="1" applyFill="1" applyBorder="1" applyAlignment="1">
      <alignment horizontal="center" vertical="center"/>
    </xf>
    <xf numFmtId="0" fontId="44" fillId="0" borderId="0" xfId="0" applyFont="1"/>
    <xf numFmtId="14" fontId="39" fillId="0" borderId="18" xfId="0" applyNumberFormat="1" applyFont="1" applyBorder="1" applyAlignment="1">
      <alignment horizontal="right" vertical="center"/>
    </xf>
    <xf numFmtId="0" fontId="46" fillId="30" borderId="18" xfId="0" applyFont="1" applyFill="1" applyBorder="1" applyAlignment="1">
      <alignment horizontal="right" vertical="center"/>
    </xf>
    <xf numFmtId="3" fontId="46" fillId="0" borderId="18" xfId="0" applyNumberFormat="1" applyFont="1" applyBorder="1" applyAlignment="1">
      <alignment horizontal="right" vertical="center"/>
    </xf>
    <xf numFmtId="0" fontId="39" fillId="0" borderId="24" xfId="0" applyFont="1" applyFill="1" applyBorder="1"/>
    <xf numFmtId="0" fontId="86" fillId="4" borderId="24" xfId="0" applyFont="1" applyFill="1" applyBorder="1" applyAlignment="1">
      <alignment horizontal="left"/>
    </xf>
    <xf numFmtId="0" fontId="60" fillId="4" borderId="24" xfId="0" applyFont="1" applyFill="1" applyBorder="1" applyAlignment="1">
      <alignment horizontal="left"/>
    </xf>
    <xf numFmtId="0" fontId="46" fillId="4" borderId="24" xfId="0" applyFont="1" applyFill="1" applyBorder="1"/>
    <xf numFmtId="0" fontId="46" fillId="4" borderId="24" xfId="0" applyFont="1" applyFill="1" applyBorder="1" applyAlignment="1">
      <alignment horizontal="right" vertical="center"/>
    </xf>
    <xf numFmtId="0" fontId="86" fillId="4" borderId="0" xfId="0" applyFont="1" applyFill="1" applyBorder="1" applyAlignment="1">
      <alignment horizontal="left"/>
    </xf>
    <xf numFmtId="0" fontId="60" fillId="4" borderId="0" xfId="0" applyFont="1" applyFill="1" applyBorder="1" applyAlignment="1">
      <alignment horizontal="left"/>
    </xf>
    <xf numFmtId="0" fontId="46" fillId="4" borderId="0" xfId="0" applyFont="1" applyFill="1" applyBorder="1"/>
    <xf numFmtId="0" fontId="46" fillId="4" borderId="0" xfId="0" applyFont="1" applyFill="1" applyBorder="1" applyAlignment="1">
      <alignment horizontal="right" vertical="center"/>
    </xf>
    <xf numFmtId="0" fontId="39" fillId="0" borderId="23" xfId="0" applyFont="1" applyFill="1" applyBorder="1"/>
    <xf numFmtId="0" fontId="41" fillId="29" borderId="23" xfId="0" applyFont="1" applyFill="1" applyBorder="1" applyAlignment="1">
      <alignment vertical="center"/>
    </xf>
    <xf numFmtId="3" fontId="41" fillId="29" borderId="23" xfId="0" applyNumberFormat="1" applyFont="1" applyFill="1" applyBorder="1" applyAlignment="1">
      <alignment horizontal="right" vertical="center"/>
    </xf>
    <xf numFmtId="0" fontId="64" fillId="4" borderId="0" xfId="0" applyFont="1" applyFill="1" applyBorder="1" applyAlignment="1">
      <alignment horizontal="left"/>
    </xf>
    <xf numFmtId="0" fontId="87" fillId="0" borderId="19" xfId="0" applyFont="1" applyBorder="1" applyAlignment="1">
      <alignment vertical="center"/>
    </xf>
    <xf numFmtId="0" fontId="41" fillId="0" borderId="19" xfId="0" applyFont="1" applyBorder="1" applyAlignment="1">
      <alignment vertical="center"/>
    </xf>
    <xf numFmtId="3" fontId="41" fillId="0" borderId="19" xfId="0" applyNumberFormat="1" applyFont="1" applyBorder="1" applyAlignment="1">
      <alignment horizontal="right" vertical="center"/>
    </xf>
    <xf numFmtId="0" fontId="41" fillId="4" borderId="0" xfId="0" applyFont="1" applyFill="1" applyAlignment="1">
      <alignment horizontal="left" indent="3"/>
    </xf>
    <xf numFmtId="0" fontId="46" fillId="0" borderId="15" xfId="0" applyFont="1" applyBorder="1"/>
    <xf numFmtId="0" fontId="46" fillId="0" borderId="18" xfId="0" applyFont="1" applyBorder="1"/>
    <xf numFmtId="0" fontId="39" fillId="0" borderId="15" xfId="0" applyFont="1" applyBorder="1"/>
    <xf numFmtId="0" fontId="88" fillId="0" borderId="0" xfId="0" applyFont="1" applyAlignment="1">
      <alignment horizontal="left" vertical="center"/>
    </xf>
    <xf numFmtId="0" fontId="39" fillId="0" borderId="0" xfId="0" applyFont="1" applyAlignment="1">
      <alignment horizontal="left" vertical="center"/>
    </xf>
    <xf numFmtId="0" fontId="39" fillId="29" borderId="23" xfId="0" applyFont="1" applyFill="1" applyBorder="1"/>
    <xf numFmtId="0" fontId="87" fillId="0" borderId="19" xfId="0" applyFont="1" applyBorder="1" applyAlignment="1">
      <alignment vertical="center" wrapText="1"/>
    </xf>
    <xf numFmtId="0" fontId="77" fillId="0" borderId="0" xfId="0" applyFont="1"/>
    <xf numFmtId="9" fontId="87" fillId="0" borderId="18" xfId="1" applyFont="1" applyBorder="1" applyAlignment="1">
      <alignment horizontal="right" vertical="center"/>
    </xf>
    <xf numFmtId="0" fontId="89" fillId="0" borderId="0" xfId="0" applyFont="1" applyAlignment="1">
      <alignment wrapText="1"/>
    </xf>
    <xf numFmtId="0" fontId="84" fillId="0" borderId="0" xfId="0" applyFont="1" applyAlignment="1">
      <alignment wrapText="1"/>
    </xf>
    <xf numFmtId="4" fontId="46" fillId="0" borderId="0" xfId="0" applyNumberFormat="1" applyFont="1"/>
    <xf numFmtId="4" fontId="46" fillId="0" borderId="18" xfId="1" applyNumberFormat="1" applyFont="1" applyBorder="1" applyAlignment="1">
      <alignment horizontal="right" vertical="center"/>
    </xf>
    <xf numFmtId="0" fontId="90" fillId="3" borderId="0" xfId="0" applyFont="1" applyFill="1"/>
    <xf numFmtId="4" fontId="90" fillId="3" borderId="0" xfId="0" applyNumberFormat="1" applyFont="1" applyFill="1"/>
    <xf numFmtId="10" fontId="90" fillId="3" borderId="18" xfId="1" applyNumberFormat="1" applyFont="1" applyFill="1" applyBorder="1" applyAlignment="1">
      <alignment horizontal="right" vertical="center"/>
    </xf>
    <xf numFmtId="0" fontId="91" fillId="0" borderId="0" xfId="0" applyFont="1"/>
    <xf numFmtId="0" fontId="91" fillId="0" borderId="0" xfId="0" applyFont="1" applyAlignment="1">
      <alignment horizontal="right" vertical="center"/>
    </xf>
    <xf numFmtId="0" fontId="91" fillId="0" borderId="0" xfId="0" applyFont="1" applyAlignment="1">
      <alignment horizontal="center"/>
    </xf>
    <xf numFmtId="0" fontId="87" fillId="0" borderId="0" xfId="0" applyFont="1"/>
    <xf numFmtId="0" fontId="87" fillId="0" borderId="15" xfId="0" applyFont="1" applyBorder="1"/>
    <xf numFmtId="0" fontId="87" fillId="0" borderId="0" xfId="0" applyFont="1" applyAlignment="1">
      <alignment horizontal="right" vertical="center"/>
    </xf>
    <xf numFmtId="0" fontId="46" fillId="0" borderId="0" xfId="0" applyFont="1" applyAlignment="1">
      <alignment horizontal="left" indent="2"/>
    </xf>
    <xf numFmtId="0" fontId="92" fillId="0" borderId="0" xfId="0" applyFont="1"/>
    <xf numFmtId="10" fontId="39" fillId="0" borderId="0" xfId="0" applyNumberFormat="1" applyFont="1" applyAlignment="1">
      <alignment horizontal="right" vertical="center"/>
    </xf>
    <xf numFmtId="0" fontId="92" fillId="0" borderId="0" xfId="0" applyFont="1" applyAlignment="1">
      <alignment wrapText="1"/>
    </xf>
    <xf numFmtId="0" fontId="46" fillId="0" borderId="0" xfId="0" applyFont="1" applyAlignment="1">
      <alignment vertical="center" wrapText="1"/>
    </xf>
    <xf numFmtId="0" fontId="46" fillId="0" borderId="15" xfId="0" applyFont="1" applyBorder="1" applyAlignment="1">
      <alignment vertical="center"/>
    </xf>
    <xf numFmtId="0" fontId="46" fillId="0" borderId="0" xfId="0" applyFont="1" applyAlignment="1">
      <alignment wrapText="1"/>
    </xf>
    <xf numFmtId="0" fontId="39" fillId="0" borderId="0" xfId="0" applyFont="1" applyAlignment="1">
      <alignment horizontal="right" vertical="center" wrapText="1"/>
    </xf>
    <xf numFmtId="0" fontId="39" fillId="0" borderId="15" xfId="0" applyFont="1" applyBorder="1" applyAlignment="1">
      <alignment horizontal="right" vertical="center" wrapText="1"/>
    </xf>
    <xf numFmtId="0" fontId="92" fillId="4" borderId="0" xfId="0" applyFont="1" applyFill="1" applyAlignment="1">
      <alignment wrapText="1"/>
    </xf>
    <xf numFmtId="0" fontId="41" fillId="0" borderId="23" xfId="0" applyFont="1" applyBorder="1" applyAlignment="1">
      <alignment vertical="center"/>
    </xf>
    <xf numFmtId="0" fontId="46" fillId="0" borderId="0" xfId="0" applyFont="1" applyAlignment="1">
      <alignment horizontal="right"/>
    </xf>
    <xf numFmtId="0" fontId="46" fillId="0" borderId="15" xfId="0" applyFont="1" applyBorder="1" applyAlignment="1">
      <alignment horizontal="right"/>
    </xf>
    <xf numFmtId="0" fontId="39" fillId="0" borderId="0" xfId="0" applyFont="1" applyBorder="1" applyAlignment="1">
      <alignment horizontal="left" vertical="center"/>
    </xf>
    <xf numFmtId="0" fontId="39" fillId="0" borderId="15" xfId="0" applyFont="1" applyBorder="1" applyAlignment="1">
      <alignment horizontal="left" vertical="center"/>
    </xf>
    <xf numFmtId="0" fontId="46" fillId="3" borderId="0" xfId="0" applyFont="1" applyFill="1"/>
    <xf numFmtId="164" fontId="46" fillId="3" borderId="0" xfId="0" applyNumberFormat="1" applyFont="1" applyFill="1" applyAlignment="1">
      <alignment horizontal="right"/>
    </xf>
    <xf numFmtId="164" fontId="46" fillId="3" borderId="15" xfId="0" applyNumberFormat="1" applyFont="1" applyFill="1" applyBorder="1" applyAlignment="1">
      <alignment horizontal="right"/>
    </xf>
    <xf numFmtId="164" fontId="46" fillId="3" borderId="0" xfId="0" applyNumberFormat="1" applyFont="1" applyFill="1" applyAlignment="1">
      <alignment horizontal="righ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164" fontId="39" fillId="0" borderId="0" xfId="0" applyNumberFormat="1" applyFont="1" applyAlignment="1">
      <alignment horizontal="right" vertical="center"/>
    </xf>
    <xf numFmtId="0" fontId="46" fillId="3" borderId="0" xfId="0" applyFont="1" applyFill="1" applyAlignment="1">
      <alignment horizontal="right"/>
    </xf>
    <xf numFmtId="0" fontId="46" fillId="0" borderId="39" xfId="0" applyFont="1" applyBorder="1" applyAlignment="1">
      <alignment wrapText="1"/>
    </xf>
    <xf numFmtId="0" fontId="46" fillId="0" borderId="39" xfId="0" applyFont="1" applyBorder="1"/>
    <xf numFmtId="3" fontId="47" fillId="0" borderId="39" xfId="0" applyNumberFormat="1" applyFont="1" applyBorder="1" applyAlignment="1">
      <alignment vertical="center"/>
    </xf>
    <xf numFmtId="3" fontId="47" fillId="0" borderId="39" xfId="0" applyNumberFormat="1" applyFont="1" applyFill="1" applyBorder="1" applyAlignment="1">
      <alignment horizontal="right" vertical="center"/>
    </xf>
    <xf numFmtId="0" fontId="46" fillId="0" borderId="40" xfId="0" applyFont="1" applyBorder="1" applyAlignment="1">
      <alignment wrapText="1"/>
    </xf>
    <xf numFmtId="0" fontId="46" fillId="0" borderId="40" xfId="0" applyFont="1" applyBorder="1"/>
    <xf numFmtId="3" fontId="47" fillId="0" borderId="40" xfId="0" applyNumberFormat="1" applyFont="1" applyBorder="1" applyAlignment="1">
      <alignment vertical="center"/>
    </xf>
    <xf numFmtId="3" fontId="47" fillId="0" borderId="40" xfId="0" applyNumberFormat="1" applyFont="1" applyFill="1" applyBorder="1" applyAlignment="1">
      <alignment horizontal="right" vertical="center"/>
    </xf>
    <xf numFmtId="3" fontId="47" fillId="0" borderId="41" xfId="0" applyNumberFormat="1" applyFont="1" applyBorder="1" applyAlignment="1">
      <alignment vertical="center"/>
    </xf>
    <xf numFmtId="3" fontId="47" fillId="0" borderId="40" xfId="0" applyNumberFormat="1" applyFont="1" applyBorder="1" applyAlignment="1">
      <alignment horizontal="right" vertical="center"/>
    </xf>
    <xf numFmtId="0" fontId="46" fillId="0" borderId="0" xfId="0" applyFont="1" applyBorder="1" applyAlignment="1">
      <alignment wrapText="1"/>
    </xf>
    <xf numFmtId="3" fontId="47" fillId="0" borderId="0" xfId="0" applyNumberFormat="1" applyFont="1" applyBorder="1" applyAlignment="1">
      <alignment vertical="center"/>
    </xf>
    <xf numFmtId="3" fontId="47" fillId="0" borderId="0" xfId="0" applyNumberFormat="1" applyFont="1" applyBorder="1" applyAlignment="1">
      <alignment horizontal="right" vertical="center"/>
    </xf>
    <xf numFmtId="0" fontId="94" fillId="4" borderId="0" xfId="0" applyFont="1" applyFill="1" applyBorder="1" applyAlignment="1">
      <alignment wrapText="1"/>
    </xf>
    <xf numFmtId="3" fontId="47" fillId="0" borderId="0" xfId="0" applyNumberFormat="1" applyFont="1" applyFill="1" applyBorder="1" applyAlignment="1">
      <alignment horizontal="right" vertical="center"/>
    </xf>
    <xf numFmtId="10" fontId="47" fillId="0" borderId="40" xfId="1" applyNumberFormat="1" applyFont="1" applyBorder="1" applyAlignment="1">
      <alignment vertical="center"/>
    </xf>
    <xf numFmtId="10" fontId="47" fillId="0" borderId="40" xfId="1" applyNumberFormat="1" applyFont="1" applyBorder="1" applyAlignment="1">
      <alignment horizontal="right" vertical="center"/>
    </xf>
    <xf numFmtId="0" fontId="94" fillId="0" borderId="0" xfId="0" applyFont="1" applyFill="1" applyBorder="1" applyAlignment="1">
      <alignment wrapText="1"/>
    </xf>
    <xf numFmtId="0" fontId="39" fillId="0" borderId="0" xfId="0" applyFont="1" applyFill="1" applyBorder="1" applyAlignment="1">
      <alignment wrapText="1"/>
    </xf>
    <xf numFmtId="0" fontId="46" fillId="0" borderId="0" xfId="0" applyFont="1" applyFill="1" applyAlignment="1">
      <alignment wrapText="1"/>
    </xf>
    <xf numFmtId="3" fontId="47" fillId="0" borderId="0" xfId="0" applyNumberFormat="1" applyFont="1" applyAlignment="1">
      <alignment vertical="center"/>
    </xf>
    <xf numFmtId="3" fontId="47" fillId="0" borderId="0" xfId="0" applyNumberFormat="1" applyFont="1" applyAlignment="1">
      <alignment horizontal="right" vertical="center"/>
    </xf>
    <xf numFmtId="0" fontId="87" fillId="0" borderId="0" xfId="0" applyFont="1" applyBorder="1" applyAlignment="1">
      <alignment vertical="center" wrapText="1"/>
    </xf>
    <xf numFmtId="3" fontId="41" fillId="0" borderId="0" xfId="0" applyNumberFormat="1" applyFont="1" applyBorder="1" applyAlignment="1">
      <alignment horizontal="right" vertical="center"/>
    </xf>
    <xf numFmtId="0" fontId="95" fillId="4" borderId="39" xfId="0" applyFont="1" applyFill="1" applyBorder="1" applyAlignment="1">
      <alignment wrapText="1"/>
    </xf>
    <xf numFmtId="0" fontId="95" fillId="4" borderId="0" xfId="0" applyFont="1" applyFill="1" applyBorder="1" applyAlignment="1">
      <alignment wrapText="1"/>
    </xf>
    <xf numFmtId="0" fontId="44" fillId="0" borderId="0" xfId="0" applyFont="1" applyAlignment="1">
      <alignment horizontal="left" indent="6"/>
    </xf>
    <xf numFmtId="177" fontId="44" fillId="0" borderId="0" xfId="0" applyNumberFormat="1" applyFont="1"/>
    <xf numFmtId="177" fontId="44" fillId="0" borderId="15" xfId="0" applyNumberFormat="1" applyFont="1" applyBorder="1"/>
    <xf numFmtId="177" fontId="44" fillId="0" borderId="0" xfId="0" applyNumberFormat="1" applyFont="1" applyAlignment="1">
      <alignment horizontal="right" vertical="center"/>
    </xf>
    <xf numFmtId="0" fontId="44" fillId="0" borderId="42" xfId="0" applyFont="1" applyBorder="1" applyAlignment="1">
      <alignment horizontal="left" indent="6"/>
    </xf>
    <xf numFmtId="0" fontId="44" fillId="0" borderId="42" xfId="0" applyFont="1" applyBorder="1"/>
    <xf numFmtId="177" fontId="44" fillId="0" borderId="42" xfId="0" applyNumberFormat="1" applyFont="1" applyBorder="1"/>
    <xf numFmtId="177" fontId="44" fillId="0" borderId="42" xfId="0" applyNumberFormat="1" applyFont="1" applyBorder="1" applyAlignment="1">
      <alignment horizontal="right" vertical="center"/>
    </xf>
    <xf numFmtId="0" fontId="44" fillId="0" borderId="40" xfId="0" applyFont="1" applyBorder="1" applyAlignment="1">
      <alignment horizontal="left" indent="6"/>
    </xf>
    <xf numFmtId="0" fontId="44" fillId="0" borderId="40" xfId="0" applyFont="1" applyBorder="1"/>
    <xf numFmtId="177" fontId="44" fillId="0" borderId="40" xfId="0" applyNumberFormat="1" applyFont="1" applyBorder="1"/>
    <xf numFmtId="177" fontId="44" fillId="0" borderId="40" xfId="0" applyNumberFormat="1" applyFont="1" applyBorder="1" applyAlignment="1">
      <alignment horizontal="right" vertical="center"/>
    </xf>
    <xf numFmtId="0" fontId="44" fillId="0" borderId="42" xfId="0" applyFont="1" applyBorder="1" applyAlignment="1">
      <alignment horizontal="left" indent="3"/>
    </xf>
    <xf numFmtId="0" fontId="44" fillId="0" borderId="40" xfId="0" applyFont="1" applyBorder="1" applyAlignment="1">
      <alignment horizontal="left" indent="3"/>
    </xf>
    <xf numFmtId="2" fontId="39" fillId="0" borderId="0" xfId="0" applyNumberFormat="1" applyFont="1"/>
    <xf numFmtId="4" fontId="39" fillId="0" borderId="0" xfId="0" applyNumberFormat="1" applyFont="1"/>
    <xf numFmtId="0" fontId="39" fillId="29" borderId="0" xfId="0" applyFont="1" applyFill="1"/>
    <xf numFmtId="0" fontId="66" fillId="0" borderId="0" xfId="0" applyFont="1" applyFill="1" applyBorder="1"/>
    <xf numFmtId="0" fontId="71" fillId="0" borderId="0" xfId="0" applyFont="1" applyAlignment="1">
      <alignment horizontal="center" vertical="center"/>
    </xf>
    <xf numFmtId="171" fontId="41" fillId="29" borderId="17" xfId="0" applyNumberFormat="1" applyFont="1" applyFill="1" applyBorder="1" applyAlignment="1">
      <alignment horizontal="center" vertical="center"/>
    </xf>
    <xf numFmtId="171" fontId="41" fillId="29" borderId="16" xfId="0" applyNumberFormat="1" applyFont="1" applyFill="1" applyBorder="1" applyAlignment="1">
      <alignment horizontal="center" vertical="center"/>
    </xf>
    <xf numFmtId="0" fontId="41" fillId="29" borderId="0" xfId="0" applyFont="1" applyFill="1" applyBorder="1" applyAlignment="1">
      <alignment horizontal="left"/>
    </xf>
    <xf numFmtId="3" fontId="72" fillId="29" borderId="15" xfId="0" applyNumberFormat="1" applyFont="1" applyFill="1" applyBorder="1" applyAlignment="1">
      <alignment horizontal="center" vertical="center"/>
    </xf>
    <xf numFmtId="3" fontId="72" fillId="29" borderId="0" xfId="0" applyNumberFormat="1" applyFont="1" applyFill="1" applyAlignment="1">
      <alignment horizontal="center" vertical="center"/>
    </xf>
    <xf numFmtId="3" fontId="47" fillId="0" borderId="0" xfId="0" applyNumberFormat="1" applyFont="1" applyFill="1" applyAlignment="1">
      <alignment horizontal="center"/>
    </xf>
    <xf numFmtId="0" fontId="47" fillId="0" borderId="0" xfId="0" applyFont="1"/>
    <xf numFmtId="0" fontId="41" fillId="29" borderId="0" xfId="0" applyFont="1" applyFill="1" applyAlignment="1">
      <alignment horizontal="left"/>
    </xf>
    <xf numFmtId="0" fontId="47" fillId="4" borderId="0" xfId="0" applyFont="1" applyFill="1"/>
    <xf numFmtId="0" fontId="72" fillId="29" borderId="15" xfId="0" applyFont="1" applyFill="1" applyBorder="1" applyAlignment="1">
      <alignment horizontal="center" vertical="center"/>
    </xf>
    <xf numFmtId="0" fontId="72" fillId="29" borderId="0" xfId="0" applyFont="1" applyFill="1" applyAlignment="1">
      <alignment horizontal="center" vertical="center"/>
    </xf>
    <xf numFmtId="0" fontId="74" fillId="0" borderId="0" xfId="0" applyFont="1" applyAlignment="1">
      <alignment horizontal="left"/>
    </xf>
    <xf numFmtId="0" fontId="47" fillId="0" borderId="0" xfId="0" applyFont="1" applyAlignment="1">
      <alignment horizontal="center"/>
    </xf>
    <xf numFmtId="0" fontId="75" fillId="0" borderId="0" xfId="0" applyFont="1" applyFill="1"/>
    <xf numFmtId="0" fontId="46" fillId="0" borderId="15" xfId="0" applyFont="1" applyFill="1" applyBorder="1"/>
    <xf numFmtId="0" fontId="47" fillId="0" borderId="0" xfId="0" applyFont="1" applyFill="1" applyAlignment="1">
      <alignment horizontal="center"/>
    </xf>
    <xf numFmtId="0" fontId="45" fillId="28" borderId="21" xfId="0" applyFont="1" applyFill="1" applyBorder="1"/>
    <xf numFmtId="0" fontId="45" fillId="28" borderId="21" xfId="0" applyFont="1" applyFill="1" applyBorder="1" applyAlignment="1">
      <alignment horizontal="center" vertical="center"/>
    </xf>
    <xf numFmtId="0" fontId="46" fillId="0" borderId="0" xfId="0" applyFont="1" applyFill="1" applyBorder="1" applyAlignment="1">
      <alignment horizontal="right" vertical="center"/>
    </xf>
    <xf numFmtId="0" fontId="46" fillId="0" borderId="0" xfId="0" applyFont="1" applyBorder="1" applyAlignment="1">
      <alignment horizontal="right" vertical="center"/>
    </xf>
    <xf numFmtId="0" fontId="83" fillId="0" borderId="0" xfId="0" applyFont="1" applyFill="1"/>
    <xf numFmtId="0" fontId="96" fillId="0" borderId="0" xfId="0" applyFont="1"/>
    <xf numFmtId="4" fontId="96" fillId="0" borderId="0" xfId="0" applyNumberFormat="1" applyFont="1"/>
    <xf numFmtId="0" fontId="97" fillId="4" borderId="0" xfId="0" applyFont="1" applyFill="1" applyAlignment="1">
      <alignment horizontal="left" vertical="center"/>
    </xf>
    <xf numFmtId="0" fontId="41" fillId="0" borderId="21" xfId="0" applyFont="1" applyBorder="1" applyAlignment="1">
      <alignment vertical="center" wrapText="1"/>
    </xf>
    <xf numFmtId="0" fontId="62" fillId="0" borderId="0" xfId="0" applyFont="1" applyAlignment="1">
      <alignment horizontal="left" vertical="center" wrapText="1" indent="4"/>
    </xf>
    <xf numFmtId="0" fontId="41" fillId="2" borderId="21" xfId="0" applyFont="1" applyFill="1" applyBorder="1" applyAlignment="1">
      <alignment vertical="center" wrapText="1"/>
    </xf>
    <xf numFmtId="0" fontId="56" fillId="0" borderId="19" xfId="0" applyFont="1" applyBorder="1"/>
    <xf numFmtId="0" fontId="56" fillId="0" borderId="19" xfId="0" applyFont="1" applyBorder="1" applyAlignment="1">
      <alignment horizontal="left"/>
    </xf>
    <xf numFmtId="0" fontId="62" fillId="0" borderId="0" xfId="0" applyFont="1" applyFill="1" applyAlignment="1">
      <alignment horizontal="left" vertical="center" indent="4"/>
    </xf>
    <xf numFmtId="0" fontId="98" fillId="0" borderId="0" xfId="0" applyFont="1"/>
    <xf numFmtId="0" fontId="41" fillId="4" borderId="0" xfId="0" applyFont="1" applyFill="1" applyAlignment="1">
      <alignment horizontal="left" wrapText="1" indent="3"/>
    </xf>
    <xf numFmtId="0" fontId="46" fillId="0" borderId="0" xfId="0" applyFont="1" applyAlignment="1">
      <alignment horizontal="left" vertical="center" wrapText="1"/>
    </xf>
    <xf numFmtId="0" fontId="99" fillId="0" borderId="0" xfId="0" applyFont="1"/>
    <xf numFmtId="180" fontId="36" fillId="0" borderId="31" xfId="0" applyNumberFormat="1" applyFont="1" applyBorder="1" applyAlignment="1">
      <alignment horizontal="right" vertical="center"/>
    </xf>
    <xf numFmtId="181" fontId="36" fillId="3" borderId="31" xfId="0" applyNumberFormat="1" applyFont="1" applyFill="1" applyBorder="1" applyAlignment="1">
      <alignment horizontal="right" vertical="center"/>
    </xf>
    <xf numFmtId="182" fontId="42" fillId="4" borderId="17" xfId="0" applyNumberFormat="1" applyFont="1" applyFill="1" applyBorder="1" applyAlignment="1">
      <alignment horizontal="right" vertical="center"/>
    </xf>
    <xf numFmtId="0" fontId="41" fillId="29" borderId="0" xfId="0" applyFont="1" applyFill="1" applyAlignment="1">
      <alignment horizontal="center" vertical="center"/>
    </xf>
    <xf numFmtId="0" fontId="50" fillId="29" borderId="0" xfId="0" applyFont="1" applyFill="1" applyAlignment="1">
      <alignment horizontal="right" vertical="center"/>
    </xf>
    <xf numFmtId="0" fontId="66" fillId="0" borderId="0" xfId="0" applyFont="1"/>
    <xf numFmtId="0" fontId="43" fillId="0" borderId="20" xfId="0" applyFont="1" applyBorder="1" applyAlignment="1">
      <alignment horizontal="right" vertical="center"/>
    </xf>
    <xf numFmtId="0" fontId="43" fillId="0" borderId="19" xfId="0" applyFont="1" applyBorder="1" applyAlignment="1">
      <alignment horizontal="right" vertical="center"/>
    </xf>
    <xf numFmtId="0" fontId="41" fillId="0" borderId="19" xfId="0" applyFont="1" applyBorder="1" applyAlignment="1">
      <alignment horizontal="right" vertical="center"/>
    </xf>
    <xf numFmtId="0" fontId="41" fillId="0" borderId="20" xfId="0" applyFont="1" applyBorder="1" applyAlignment="1">
      <alignment horizontal="right" vertical="center"/>
    </xf>
    <xf numFmtId="3" fontId="41" fillId="0" borderId="19" xfId="0" applyNumberFormat="1" applyFont="1" applyBorder="1" applyAlignment="1">
      <alignment vertical="center"/>
    </xf>
    <xf numFmtId="0" fontId="44" fillId="0" borderId="0" xfId="0" applyFont="1" applyAlignment="1">
      <alignment horizontal="left"/>
    </xf>
    <xf numFmtId="3" fontId="45" fillId="0" borderId="15" xfId="0" applyNumberFormat="1" applyFont="1" applyBorder="1" applyAlignment="1">
      <alignment horizontal="right" vertical="center"/>
    </xf>
    <xf numFmtId="3" fontId="45" fillId="0" borderId="0" xfId="0" applyNumberFormat="1" applyFont="1" applyAlignment="1">
      <alignment horizontal="right" vertical="center"/>
    </xf>
    <xf numFmtId="183" fontId="62" fillId="0" borderId="0" xfId="0" applyNumberFormat="1" applyFont="1" applyAlignment="1">
      <alignment horizontal="left" vertical="center" indent="3"/>
    </xf>
    <xf numFmtId="0" fontId="62" fillId="0" borderId="0" xfId="0" applyFont="1" applyAlignment="1">
      <alignment horizontal="left" vertical="center" indent="3"/>
    </xf>
    <xf numFmtId="167" fontId="73" fillId="0" borderId="0" xfId="6" applyNumberFormat="1" applyFont="1"/>
    <xf numFmtId="167" fontId="73" fillId="0" borderId="15" xfId="6" applyNumberFormat="1" applyFont="1" applyBorder="1"/>
    <xf numFmtId="0" fontId="62" fillId="0" borderId="0" xfId="0" applyFont="1" applyAlignment="1">
      <alignment horizontal="left" vertical="center" wrapText="1" indent="3"/>
    </xf>
    <xf numFmtId="167" fontId="62" fillId="0" borderId="0" xfId="6" applyNumberFormat="1" applyFont="1" applyAlignment="1">
      <alignment horizontal="left" wrapText="1" indent="4"/>
    </xf>
    <xf numFmtId="167" fontId="62" fillId="0" borderId="0" xfId="6" applyNumberFormat="1" applyFont="1" applyAlignment="1">
      <alignment wrapText="1"/>
    </xf>
    <xf numFmtId="0" fontId="73" fillId="0" borderId="0" xfId="0" applyFont="1" applyAlignment="1">
      <alignment horizontal="left" vertical="center" wrapText="1" indent="3"/>
    </xf>
    <xf numFmtId="0" fontId="46" fillId="0" borderId="0" xfId="0" applyFont="1" applyAlignment="1">
      <alignment horizontal="left" indent="3"/>
    </xf>
    <xf numFmtId="167" fontId="100" fillId="2" borderId="22" xfId="6" applyNumberFormat="1" applyFont="1" applyFill="1" applyBorder="1"/>
    <xf numFmtId="0" fontId="101" fillId="0" borderId="0" xfId="0" applyFont="1"/>
    <xf numFmtId="0" fontId="102" fillId="0" borderId="0" xfId="0" applyFont="1" applyAlignment="1">
      <alignment vertical="center" wrapText="1"/>
    </xf>
    <xf numFmtId="0" fontId="102" fillId="0" borderId="0" xfId="0" applyFont="1" applyAlignment="1">
      <alignment horizontal="left" vertical="center" wrapText="1"/>
    </xf>
    <xf numFmtId="0" fontId="41" fillId="29" borderId="33" xfId="0" applyFont="1" applyFill="1" applyBorder="1" applyAlignment="1">
      <alignment horizontal="right" vertical="center"/>
    </xf>
    <xf numFmtId="171" fontId="42" fillId="4" borderId="16" xfId="0" applyNumberFormat="1" applyFont="1" applyFill="1" applyBorder="1" applyAlignment="1">
      <alignment horizontal="right" vertical="center"/>
    </xf>
    <xf numFmtId="171" fontId="42" fillId="4" borderId="17" xfId="0" applyNumberFormat="1" applyFont="1" applyFill="1" applyBorder="1" applyAlignment="1">
      <alignment horizontal="right" vertical="center"/>
    </xf>
    <xf numFmtId="167" fontId="67" fillId="0" borderId="15" xfId="6" applyNumberFormat="1" applyFont="1" applyBorder="1"/>
    <xf numFmtId="167" fontId="67" fillId="0" borderId="0" xfId="6" applyNumberFormat="1" applyFont="1"/>
    <xf numFmtId="166" fontId="46" fillId="0" borderId="0" xfId="0" applyNumberFormat="1" applyFont="1"/>
    <xf numFmtId="0" fontId="33" fillId="0" borderId="0" xfId="0" applyFont="1"/>
    <xf numFmtId="0" fontId="41" fillId="0" borderId="0" xfId="0" applyFont="1" applyFill="1" applyBorder="1" applyAlignment="1">
      <alignment horizontal="left" vertical="center" indent="2"/>
    </xf>
    <xf numFmtId="0" fontId="41" fillId="0" borderId="0" xfId="0" applyFont="1" applyBorder="1" applyAlignment="1">
      <alignment horizontal="left" vertical="center" indent="2"/>
    </xf>
    <xf numFmtId="167" fontId="62" fillId="0" borderId="15" xfId="6" applyNumberFormat="1" applyFont="1" applyBorder="1" applyAlignment="1">
      <alignment vertical="center"/>
    </xf>
    <xf numFmtId="167" fontId="62" fillId="0" borderId="0" xfId="6" applyNumberFormat="1" applyFont="1" applyAlignment="1">
      <alignment vertical="center"/>
    </xf>
    <xf numFmtId="184" fontId="37" fillId="32" borderId="0" xfId="0" applyNumberFormat="1" applyFont="1" applyFill="1" applyAlignment="1">
      <alignment horizontal="right" vertical="center"/>
    </xf>
    <xf numFmtId="0" fontId="46" fillId="0" borderId="0" xfId="0" applyFont="1" applyBorder="1" applyAlignment="1">
      <alignment horizontal="left" vertical="center" indent="3"/>
    </xf>
    <xf numFmtId="0" fontId="46" fillId="0" borderId="24" xfId="0" applyFont="1" applyBorder="1" applyAlignment="1">
      <alignment horizontal="left" vertical="center" indent="3"/>
    </xf>
    <xf numFmtId="0" fontId="46" fillId="0" borderId="26" xfId="0" applyFont="1" applyBorder="1" applyAlignment="1">
      <alignment horizontal="left" vertical="center" indent="3"/>
    </xf>
    <xf numFmtId="0" fontId="93" fillId="0" borderId="28" xfId="0" applyFont="1" applyFill="1" applyBorder="1" applyAlignment="1">
      <alignment horizontal="center" vertical="center" wrapText="1"/>
    </xf>
    <xf numFmtId="0" fontId="93" fillId="0" borderId="29" xfId="0" applyFont="1" applyFill="1" applyBorder="1" applyAlignment="1">
      <alignment horizontal="center" vertical="center" wrapText="1"/>
    </xf>
    <xf numFmtId="0" fontId="93" fillId="0" borderId="30" xfId="0" applyFont="1" applyFill="1" applyBorder="1" applyAlignment="1">
      <alignment horizontal="center" vertical="center" wrapText="1"/>
    </xf>
    <xf numFmtId="4" fontId="37" fillId="32" borderId="32" xfId="0" applyNumberFormat="1" applyFont="1" applyFill="1" applyBorder="1" applyAlignment="1">
      <alignment horizontal="center" vertical="center"/>
    </xf>
    <xf numFmtId="4" fontId="36" fillId="0" borderId="0" xfId="0" applyNumberFormat="1" applyFont="1" applyBorder="1" applyAlignment="1">
      <alignment horizontal="center" vertical="center"/>
    </xf>
    <xf numFmtId="4" fontId="36" fillId="0" borderId="31" xfId="0" applyNumberFormat="1" applyFont="1" applyBorder="1" applyAlignment="1">
      <alignment horizontal="center" vertical="center"/>
    </xf>
    <xf numFmtId="4" fontId="36" fillId="0" borderId="0" xfId="0" applyNumberFormat="1" applyFont="1" applyAlignment="1">
      <alignment horizontal="center" vertical="center"/>
    </xf>
    <xf numFmtId="4" fontId="36" fillId="0" borderId="32" xfId="0" applyNumberFormat="1" applyFont="1" applyBorder="1" applyAlignment="1">
      <alignment horizontal="center" vertical="center"/>
    </xf>
    <xf numFmtId="0" fontId="45" fillId="29" borderId="0" xfId="0" applyFont="1" applyFill="1" applyBorder="1" applyAlignment="1">
      <alignment horizontal="center" vertical="center"/>
    </xf>
    <xf numFmtId="0" fontId="48" fillId="29" borderId="43" xfId="0" applyFont="1" applyFill="1" applyBorder="1" applyAlignment="1">
      <alignment horizontal="left" vertical="center" wrapText="1"/>
    </xf>
    <xf numFmtId="0" fontId="48" fillId="29" borderId="44" xfId="0" applyFont="1" applyFill="1" applyBorder="1" applyAlignment="1">
      <alignment horizontal="left" vertical="center" wrapText="1"/>
    </xf>
    <xf numFmtId="0" fontId="48" fillId="29" borderId="45" xfId="0" applyFont="1" applyFill="1" applyBorder="1" applyAlignment="1">
      <alignment horizontal="left" vertical="center" wrapText="1"/>
    </xf>
    <xf numFmtId="0" fontId="48" fillId="29" borderId="46" xfId="0" applyFont="1" applyFill="1" applyBorder="1" applyAlignment="1">
      <alignment horizontal="left" vertical="center" wrapText="1"/>
    </xf>
    <xf numFmtId="0" fontId="48" fillId="29" borderId="0" xfId="0" applyFont="1" applyFill="1" applyBorder="1" applyAlignment="1">
      <alignment horizontal="left" vertical="center" wrapText="1"/>
    </xf>
    <xf numFmtId="0" fontId="48" fillId="29" borderId="47" xfId="0" applyFont="1" applyFill="1" applyBorder="1" applyAlignment="1">
      <alignment horizontal="left" vertical="center" wrapText="1"/>
    </xf>
    <xf numFmtId="0" fontId="48" fillId="29" borderId="48" xfId="0" applyFont="1" applyFill="1" applyBorder="1" applyAlignment="1">
      <alignment horizontal="left" vertical="center" wrapText="1"/>
    </xf>
    <xf numFmtId="0" fontId="48" fillId="29" borderId="49" xfId="0" applyFont="1" applyFill="1" applyBorder="1" applyAlignment="1">
      <alignment horizontal="left" vertical="center" wrapText="1"/>
    </xf>
    <xf numFmtId="0" fontId="48" fillId="29" borderId="50" xfId="0" applyFont="1" applyFill="1" applyBorder="1" applyAlignment="1">
      <alignment horizontal="left" vertical="center" wrapText="1"/>
    </xf>
  </cellXfs>
  <cellStyles count="92">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ta 2" xfId="49" xr:uid="{DDDCA6A8-4FCA-41FE-A8BC-8F7F419456A5}"/>
    <cellStyle name="Nota 2 2" xfId="78" xr:uid="{B13BB1B1-9C6E-48F2-BF2A-BAB0879F6AA2}"/>
    <cellStyle name="Nota 3" xfId="50" xr:uid="{F0346577-8BE3-4B72-9B7A-71B995A9548C}"/>
    <cellStyle name="Nota 3 2" xfId="79" xr:uid="{F44708C8-0A8A-4B8B-A05F-9450F50290C0}"/>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eparador de milhares 10 3" xfId="86" xr:uid="{2FFCCA26-92F3-477E-8206-34DBEA96DC6D}"/>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6" xfId="9" xr:uid="{BF0111E9-83A0-4F1F-AEF3-B1DC7C6AC3B5}"/>
    <cellStyle name="Separador de milhares 2 19 18" xfId="89" xr:uid="{8BA6A763-7C81-44AD-B3A2-18121C342BF3}"/>
    <cellStyle name="Separador de milhares 2 19 2" xfId="85" xr:uid="{413F5F32-5D5F-429D-8226-1747A89E671F}"/>
    <cellStyle name="Separador de milhares 2 2" xfId="71" xr:uid="{5A89D2BC-FD07-4393-8126-8FF6F3AF9E93}"/>
    <cellStyle name="Separador de milhares 3" xfId="57" xr:uid="{353D6DB0-49EC-4822-BB82-1AC8BF8567CA}"/>
    <cellStyle name="Separador de milhares 4" xfId="58" xr:uid="{6DC6BE45-6DFD-41CE-A3E9-FECDA891600F}"/>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Vírgula 11" xfId="90" xr:uid="{07AB563E-177B-4CD9-862B-29AB99D6F43F}"/>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1" xfId="10" xr:uid="{CE882C12-4477-4372-A69D-54F32B1E3B7E}"/>
  </cellStyles>
  <dxfs count="0"/>
  <tableStyles count="0" defaultTableStyle="TableStyleMedium2" defaultPivotStyle="PivotStyleLight16"/>
  <colors>
    <mruColors>
      <color rgb="FF0000FF"/>
      <color rgb="FF05663A"/>
      <color rgb="FF0E7716"/>
      <color rgb="FF28333C"/>
      <color rgb="FFFEDC00"/>
      <color rgb="FFCDCDFF"/>
      <color rgb="FFADF5B2"/>
      <color rgb="FF004415"/>
      <color rgb="FFDAFADC"/>
      <color rgb="FFC8F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haredStrings" Target="sharedStrings.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3. Balance Sheet'!A1"/><Relationship Id="rId13" Type="http://schemas.openxmlformats.org/officeDocument/2006/relationships/hyperlink" Target="#'8. Investments (CAPEX)'!A1"/><Relationship Id="rId18" Type="http://schemas.openxmlformats.org/officeDocument/2006/relationships/hyperlink" Target="#'13. ESG'!A1"/><Relationship Id="rId3" Type="http://schemas.openxmlformats.org/officeDocument/2006/relationships/image" Target="../media/image2.png"/><Relationship Id="rId21" Type="http://schemas.openxmlformats.org/officeDocument/2006/relationships/hyperlink" Target="#'16. Disclaimer'!A1"/><Relationship Id="rId7" Type="http://schemas.openxmlformats.org/officeDocument/2006/relationships/hyperlink" Target="#'2. Income Statement'!A1"/><Relationship Id="rId12" Type="http://schemas.openxmlformats.org/officeDocument/2006/relationships/hyperlink" Target="#'7. EBITDA Reconciliation'!A1"/><Relationship Id="rId17" Type="http://schemas.openxmlformats.org/officeDocument/2006/relationships/hyperlink" Target="#'12. Macroeconomics'!A1"/><Relationship Id="rId2" Type="http://schemas.openxmlformats.org/officeDocument/2006/relationships/hyperlink" Target="#'1. Volume'!A1"/><Relationship Id="rId16" Type="http://schemas.openxmlformats.org/officeDocument/2006/relationships/hyperlink" Target="#'11. Debt'!A1"/><Relationship Id="rId20" Type="http://schemas.openxmlformats.org/officeDocument/2006/relationships/hyperlink" Target="#'15. Consensus'!A1"/><Relationship Id="rId1" Type="http://schemas.openxmlformats.org/officeDocument/2006/relationships/image" Target="../media/image1.jpeg"/><Relationship Id="rId6" Type="http://schemas.microsoft.com/office/2007/relationships/hdphoto" Target="../media/hdphoto1.wdp"/><Relationship Id="rId11" Type="http://schemas.openxmlformats.org/officeDocument/2006/relationships/hyperlink" Target="#'6. Reconciliation'!A1"/><Relationship Id="rId5" Type="http://schemas.openxmlformats.org/officeDocument/2006/relationships/image" Target="../media/image4.png"/><Relationship Id="rId15" Type="http://schemas.openxmlformats.org/officeDocument/2006/relationships/hyperlink" Target="#'10. Hedge'!A1"/><Relationship Id="rId10" Type="http://schemas.openxmlformats.org/officeDocument/2006/relationships/hyperlink" Target="#'5. Segment Reporting'!A1"/><Relationship Id="rId19" Type="http://schemas.openxmlformats.org/officeDocument/2006/relationships/hyperlink" Target="#'14. Dividends'!A1"/><Relationship Id="rId4" Type="http://schemas.openxmlformats.org/officeDocument/2006/relationships/image" Target="../media/image3.svg"/><Relationship Id="rId9" Type="http://schemas.openxmlformats.org/officeDocument/2006/relationships/hyperlink" Target="#'4. CFR'!A1"/><Relationship Id="rId14" Type="http://schemas.openxmlformats.org/officeDocument/2006/relationships/hyperlink" Target="#'9. Expenses by nature'!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5.png"/><Relationship Id="rId6" Type="http://schemas.openxmlformats.org/officeDocument/2006/relationships/image" Target="../media/image6.png"/><Relationship Id="rId5" Type="http://schemas.openxmlformats.org/officeDocument/2006/relationships/hyperlink" Target="#Index!A1"/><Relationship Id="rId4" Type="http://schemas.openxmlformats.org/officeDocument/2006/relationships/hyperlink" Target="https://www.vibraenergia.com.br/sites/default/files/2021-09/VB_SUSTAINABILITY_REPORT_2020_ENG.pdf"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1.svg"/><Relationship Id="rId7" Type="http://schemas.openxmlformats.org/officeDocument/2006/relationships/hyperlink" Target="#Index!A1"/><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5.png"/><Relationship Id="rId5" Type="http://schemas.openxmlformats.org/officeDocument/2006/relationships/image" Target="../media/image13.svg"/><Relationship Id="rId4"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16384</xdr:col>
      <xdr:colOff>68036</xdr:colOff>
      <xdr:row>1048576</xdr:row>
      <xdr:rowOff>17126</xdr:rowOff>
    </xdr:to>
    <xdr:pic>
      <xdr:nvPicPr>
        <xdr:cNvPr id="2" name="Imagem 1">
          <a:extLst>
            <a:ext uri="{FF2B5EF4-FFF2-40B4-BE49-F238E27FC236}">
              <a16:creationId xmlns:a16="http://schemas.microsoft.com/office/drawing/2014/main" id="{36DEEBFE-3E2E-4075-B255-5E14C371434D}"/>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0" y="1"/>
          <a:ext cx="10681607" cy="6058696"/>
        </a:xfrm>
        <a:prstGeom prst="rect">
          <a:avLst/>
        </a:prstGeom>
      </xdr:spPr>
    </xdr:pic>
    <xdr:clientData/>
  </xdr:twoCellAnchor>
  <xdr:twoCellAnchor>
    <xdr:from>
      <xdr:col>0</xdr:col>
      <xdr:colOff>449036</xdr:colOff>
      <xdr:row>6</xdr:row>
      <xdr:rowOff>27215</xdr:rowOff>
    </xdr:from>
    <xdr:to>
      <xdr:col>4</xdr:col>
      <xdr:colOff>286567</xdr:colOff>
      <xdr:row>8</xdr:row>
      <xdr:rowOff>27214</xdr:rowOff>
    </xdr:to>
    <xdr:grpSp>
      <xdr:nvGrpSpPr>
        <xdr:cNvPr id="3" name="Agrupar 2">
          <a:hlinkClick xmlns:r="http://schemas.openxmlformats.org/officeDocument/2006/relationships" r:id="rId2"/>
          <a:extLst>
            <a:ext uri="{FF2B5EF4-FFF2-40B4-BE49-F238E27FC236}">
              <a16:creationId xmlns:a16="http://schemas.microsoft.com/office/drawing/2014/main" id="{8D245B65-5E6A-4938-825E-48A5D4431868}"/>
            </a:ext>
          </a:extLst>
        </xdr:cNvPr>
        <xdr:cNvGrpSpPr/>
      </xdr:nvGrpSpPr>
      <xdr:grpSpPr>
        <a:xfrm>
          <a:off x="449036" y="1374322"/>
          <a:ext cx="2286817" cy="462642"/>
          <a:chOff x="449036" y="1374322"/>
          <a:chExt cx="2286817" cy="462642"/>
        </a:xfrm>
      </xdr:grpSpPr>
      <xdr:sp macro="" textlink="">
        <xdr:nvSpPr>
          <xdr:cNvPr id="4" name="Elipse 6">
            <a:extLst>
              <a:ext uri="{FF2B5EF4-FFF2-40B4-BE49-F238E27FC236}">
                <a16:creationId xmlns:a16="http://schemas.microsoft.com/office/drawing/2014/main" id="{310AB01D-DE94-49D5-8FD8-47F7DBD2151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Retângulo 2">
            <a:extLst>
              <a:ext uri="{FF2B5EF4-FFF2-40B4-BE49-F238E27FC236}">
                <a16:creationId xmlns:a16="http://schemas.microsoft.com/office/drawing/2014/main" id="{9B9E4D38-43DB-4EF7-A3F8-C9CB357FEC5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FAF99AE7-7EC4-4F49-9A1A-C99A085AE0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7" name="CaixaDeTexto 6">
            <a:extLst>
              <a:ext uri="{FF2B5EF4-FFF2-40B4-BE49-F238E27FC236}">
                <a16:creationId xmlns:a16="http://schemas.microsoft.com/office/drawing/2014/main" id="{1804829A-CD93-4E88-AE98-776CC871737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clientData/>
  </xdr:twoCellAnchor>
  <xdr:twoCellAnchor editAs="oneCell">
    <xdr:from>
      <xdr:col>7</xdr:col>
      <xdr:colOff>462311</xdr:colOff>
      <xdr:row>2</xdr:row>
      <xdr:rowOff>136400</xdr:rowOff>
    </xdr:from>
    <xdr:to>
      <xdr:col>10</xdr:col>
      <xdr:colOff>175071</xdr:colOff>
      <xdr:row>4</xdr:row>
      <xdr:rowOff>173182</xdr:rowOff>
    </xdr:to>
    <xdr:pic>
      <xdr:nvPicPr>
        <xdr:cNvPr id="8" name="Imagem 2">
          <a:extLst>
            <a:ext uri="{FF2B5EF4-FFF2-40B4-BE49-F238E27FC236}">
              <a16:creationId xmlns:a16="http://schemas.microsoft.com/office/drawing/2014/main" id="{3C4930DC-7A26-4218-92B5-48805E9E6F8E}"/>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Layer>
              </a14:imgProps>
            </a:ext>
          </a:extLst>
        </a:blip>
        <a:stretch>
          <a:fillRect/>
        </a:stretch>
      </xdr:blipFill>
      <xdr:spPr>
        <a:xfrm>
          <a:off x="4729511" y="498350"/>
          <a:ext cx="1541560" cy="560657"/>
        </a:xfrm>
        <a:prstGeom prst="rect">
          <a:avLst/>
        </a:prstGeom>
      </xdr:spPr>
    </xdr:pic>
    <xdr:clientData/>
  </xdr:twoCellAnchor>
  <xdr:oneCellAnchor>
    <xdr:from>
      <xdr:col>5</xdr:col>
      <xdr:colOff>33565</xdr:colOff>
      <xdr:row>0</xdr:row>
      <xdr:rowOff>89354</xdr:rowOff>
    </xdr:from>
    <xdr:ext cx="4851400" cy="346075"/>
    <xdr:sp macro="" textlink="">
      <xdr:nvSpPr>
        <xdr:cNvPr id="9" name="CaixaDeTexto 3">
          <a:extLst>
            <a:ext uri="{FF2B5EF4-FFF2-40B4-BE49-F238E27FC236}">
              <a16:creationId xmlns:a16="http://schemas.microsoft.com/office/drawing/2014/main" id="{1E62E635-AD80-4A91-9E78-9C6B9B9A5E6B}"/>
            </a:ext>
          </a:extLst>
        </xdr:cNvPr>
        <xdr:cNvSpPr txBox="1"/>
      </xdr:nvSpPr>
      <xdr:spPr>
        <a:xfrm>
          <a:off x="3081565" y="89354"/>
          <a:ext cx="4851400" cy="346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- 4Q21</a:t>
          </a:r>
        </a:p>
      </xdr:txBody>
    </xdr:sp>
    <xdr:clientData/>
  </xdr:oneCellAnchor>
  <xdr:twoCellAnchor>
    <xdr:from>
      <xdr:col>0</xdr:col>
      <xdr:colOff>438151</xdr:colOff>
      <xdr:row>8</xdr:row>
      <xdr:rowOff>166008</xdr:rowOff>
    </xdr:from>
    <xdr:to>
      <xdr:col>4</xdr:col>
      <xdr:colOff>275682</xdr:colOff>
      <xdr:row>10</xdr:row>
      <xdr:rowOff>193221</xdr:rowOff>
    </xdr:to>
    <xdr:grpSp>
      <xdr:nvGrpSpPr>
        <xdr:cNvPr id="10" name="Agrupar 9">
          <a:hlinkClick xmlns:r="http://schemas.openxmlformats.org/officeDocument/2006/relationships" r:id="rId7"/>
          <a:extLst>
            <a:ext uri="{FF2B5EF4-FFF2-40B4-BE49-F238E27FC236}">
              <a16:creationId xmlns:a16="http://schemas.microsoft.com/office/drawing/2014/main" id="{50B2D1E4-BD75-426B-8792-C2A458521AE4}"/>
            </a:ext>
          </a:extLst>
        </xdr:cNvPr>
        <xdr:cNvGrpSpPr/>
      </xdr:nvGrpSpPr>
      <xdr:grpSpPr>
        <a:xfrm>
          <a:off x="438151" y="1975758"/>
          <a:ext cx="2286817" cy="462642"/>
          <a:chOff x="449036" y="1374322"/>
          <a:chExt cx="2286817" cy="462642"/>
        </a:xfrm>
      </xdr:grpSpPr>
      <xdr:sp macro="" textlink="">
        <xdr:nvSpPr>
          <xdr:cNvPr id="11" name="Elipse 6">
            <a:extLst>
              <a:ext uri="{FF2B5EF4-FFF2-40B4-BE49-F238E27FC236}">
                <a16:creationId xmlns:a16="http://schemas.microsoft.com/office/drawing/2014/main" id="{CFEFD474-5C07-4EF6-AC5E-B0EBF3F9155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2">
            <a:extLst>
              <a:ext uri="{FF2B5EF4-FFF2-40B4-BE49-F238E27FC236}">
                <a16:creationId xmlns:a16="http://schemas.microsoft.com/office/drawing/2014/main" id="{F2A9B099-33A1-49BB-87A2-68DE6831F36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 name="Gráfico 12" descr="Acento Circunflexo para Baixo estrutura de tópicos">
            <a:extLst>
              <a:ext uri="{FF2B5EF4-FFF2-40B4-BE49-F238E27FC236}">
                <a16:creationId xmlns:a16="http://schemas.microsoft.com/office/drawing/2014/main" id="{68C9DFFB-B1CA-4775-ADF1-5F320F0A53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14" name="CaixaDeTexto 13">
            <a:extLst>
              <a:ext uri="{FF2B5EF4-FFF2-40B4-BE49-F238E27FC236}">
                <a16:creationId xmlns:a16="http://schemas.microsoft.com/office/drawing/2014/main" id="{83BA2ED5-DB7D-4023-A2AF-71DF96FC96B3}"/>
              </a:ext>
            </a:extLst>
          </xdr:cNvPr>
          <xdr:cNvSpPr txBox="1"/>
        </xdr:nvSpPr>
        <xdr:spPr>
          <a:xfrm>
            <a:off x="486591" y="1473627"/>
            <a:ext cx="1905544"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a:t>
            </a:r>
            <a:r>
              <a:rPr lang="pt-BR" sz="1200" b="1" baseline="0">
                <a:solidFill>
                  <a:srgbClr val="05663A"/>
                </a:solidFill>
                <a:latin typeface="Trebuchet MS" panose="020B0603020202020204" pitchFamily="34" charset="0"/>
              </a:rPr>
              <a:t> </a:t>
            </a:r>
            <a:r>
              <a:rPr lang="pt-BR" sz="1200" b="1">
                <a:solidFill>
                  <a:srgbClr val="05663A"/>
                </a:solidFill>
                <a:latin typeface="Trebuchet MS" panose="020B0603020202020204" pitchFamily="34" charset="0"/>
              </a:rPr>
              <a:t>Income Statement</a:t>
            </a:r>
          </a:p>
        </xdr:txBody>
      </xdr:sp>
    </xdr:grpSp>
    <xdr:clientData/>
  </xdr:twoCellAnchor>
  <xdr:twoCellAnchor>
    <xdr:from>
      <xdr:col>0</xdr:col>
      <xdr:colOff>427266</xdr:colOff>
      <xdr:row>11</xdr:row>
      <xdr:rowOff>127908</xdr:rowOff>
    </xdr:from>
    <xdr:to>
      <xdr:col>4</xdr:col>
      <xdr:colOff>264797</xdr:colOff>
      <xdr:row>14</xdr:row>
      <xdr:rowOff>204105</xdr:rowOff>
    </xdr:to>
    <xdr:grpSp>
      <xdr:nvGrpSpPr>
        <xdr:cNvPr id="15" name="Agrupar 14">
          <a:hlinkClick xmlns:r="http://schemas.openxmlformats.org/officeDocument/2006/relationships" r:id="rId8"/>
          <a:extLst>
            <a:ext uri="{FF2B5EF4-FFF2-40B4-BE49-F238E27FC236}">
              <a16:creationId xmlns:a16="http://schemas.microsoft.com/office/drawing/2014/main" id="{05063CAB-A70C-4186-BC0A-F73F3C35A555}"/>
            </a:ext>
          </a:extLst>
        </xdr:cNvPr>
        <xdr:cNvGrpSpPr/>
      </xdr:nvGrpSpPr>
      <xdr:grpSpPr>
        <a:xfrm>
          <a:off x="427266" y="2604408"/>
          <a:ext cx="2286817" cy="566054"/>
          <a:chOff x="449036" y="1374322"/>
          <a:chExt cx="2286817" cy="566054"/>
        </a:xfrm>
      </xdr:grpSpPr>
      <xdr:sp macro="" textlink="">
        <xdr:nvSpPr>
          <xdr:cNvPr id="16" name="Elipse 6">
            <a:extLst>
              <a:ext uri="{FF2B5EF4-FFF2-40B4-BE49-F238E27FC236}">
                <a16:creationId xmlns:a16="http://schemas.microsoft.com/office/drawing/2014/main" id="{9B470946-D3DB-4073-9D8A-1F4F786C01F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2">
            <a:extLst>
              <a:ext uri="{FF2B5EF4-FFF2-40B4-BE49-F238E27FC236}">
                <a16:creationId xmlns:a16="http://schemas.microsoft.com/office/drawing/2014/main" id="{A976037B-EA2D-400B-A80D-C7E37941A5B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 name="Gráfico 17" descr="Acento Circunflexo para Baixo estrutura de tópicos">
            <a:extLst>
              <a:ext uri="{FF2B5EF4-FFF2-40B4-BE49-F238E27FC236}">
                <a16:creationId xmlns:a16="http://schemas.microsoft.com/office/drawing/2014/main" id="{476514B0-1ED5-4B25-B27E-17712437AB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19" name="CaixaDeTexto 18">
            <a:extLst>
              <a:ext uri="{FF2B5EF4-FFF2-40B4-BE49-F238E27FC236}">
                <a16:creationId xmlns:a16="http://schemas.microsoft.com/office/drawing/2014/main" id="{98BF48D5-D71B-4093-BD63-99BC33C837B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 Sheet</a:t>
            </a:r>
          </a:p>
        </xdr:txBody>
      </xdr:sp>
    </xdr:grpSp>
    <xdr:clientData/>
  </xdr:twoCellAnchor>
  <xdr:twoCellAnchor>
    <xdr:from>
      <xdr:col>0</xdr:col>
      <xdr:colOff>416381</xdr:colOff>
      <xdr:row>16</xdr:row>
      <xdr:rowOff>1</xdr:rowOff>
    </xdr:from>
    <xdr:to>
      <xdr:col>4</xdr:col>
      <xdr:colOff>253912</xdr:colOff>
      <xdr:row>19</xdr:row>
      <xdr:rowOff>16327</xdr:rowOff>
    </xdr:to>
    <xdr:grpSp>
      <xdr:nvGrpSpPr>
        <xdr:cNvPr id="20" name="Agrupar 19">
          <a:hlinkClick xmlns:r="http://schemas.openxmlformats.org/officeDocument/2006/relationships" r:id="rId9"/>
          <a:extLst>
            <a:ext uri="{FF2B5EF4-FFF2-40B4-BE49-F238E27FC236}">
              <a16:creationId xmlns:a16="http://schemas.microsoft.com/office/drawing/2014/main" id="{A7AC1A57-948F-484B-B66B-5AB3CA253B18}"/>
            </a:ext>
          </a:extLst>
        </xdr:cNvPr>
        <xdr:cNvGrpSpPr/>
      </xdr:nvGrpSpPr>
      <xdr:grpSpPr>
        <a:xfrm>
          <a:off x="416381" y="3279322"/>
          <a:ext cx="2286817" cy="560612"/>
          <a:chOff x="449036" y="1374322"/>
          <a:chExt cx="2286817" cy="566054"/>
        </a:xfrm>
      </xdr:grpSpPr>
      <xdr:sp macro="" textlink="">
        <xdr:nvSpPr>
          <xdr:cNvPr id="21" name="Elipse 6">
            <a:extLst>
              <a:ext uri="{FF2B5EF4-FFF2-40B4-BE49-F238E27FC236}">
                <a16:creationId xmlns:a16="http://schemas.microsoft.com/office/drawing/2014/main" id="{1D468B04-3B8A-4043-8722-3C0F5BFE5D2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2" name="Retângulo 2">
            <a:extLst>
              <a:ext uri="{FF2B5EF4-FFF2-40B4-BE49-F238E27FC236}">
                <a16:creationId xmlns:a16="http://schemas.microsoft.com/office/drawing/2014/main" id="{9D445216-2D78-4305-8E96-CD4B2169700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3" name="Gráfico 22" descr="Acento Circunflexo para Baixo estrutura de tópicos">
            <a:extLst>
              <a:ext uri="{FF2B5EF4-FFF2-40B4-BE49-F238E27FC236}">
                <a16:creationId xmlns:a16="http://schemas.microsoft.com/office/drawing/2014/main" id="{0D23E635-18A0-4D1C-BE0B-39949B0604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24" name="CaixaDeTexto 23">
            <a:extLst>
              <a:ext uri="{FF2B5EF4-FFF2-40B4-BE49-F238E27FC236}">
                <a16:creationId xmlns:a16="http://schemas.microsoft.com/office/drawing/2014/main" id="{EA3881E6-74F9-4B3D-9D4F-B2FE30E6BC3E}"/>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clientData/>
  </xdr:twoCellAnchor>
  <xdr:twoCellAnchor>
    <xdr:from>
      <xdr:col>0</xdr:col>
      <xdr:colOff>432710</xdr:colOff>
      <xdr:row>20</xdr:row>
      <xdr:rowOff>2723</xdr:rowOff>
    </xdr:from>
    <xdr:to>
      <xdr:col>4</xdr:col>
      <xdr:colOff>270241</xdr:colOff>
      <xdr:row>22</xdr:row>
      <xdr:rowOff>5442</xdr:rowOff>
    </xdr:to>
    <xdr:grpSp>
      <xdr:nvGrpSpPr>
        <xdr:cNvPr id="25" name="Agrupar 24">
          <a:hlinkClick xmlns:r="http://schemas.openxmlformats.org/officeDocument/2006/relationships" r:id="rId10"/>
          <a:extLst>
            <a:ext uri="{FF2B5EF4-FFF2-40B4-BE49-F238E27FC236}">
              <a16:creationId xmlns:a16="http://schemas.microsoft.com/office/drawing/2014/main" id="{5A5EA9BB-C648-4B0F-8DF9-B3D2C4762316}"/>
            </a:ext>
          </a:extLst>
        </xdr:cNvPr>
        <xdr:cNvGrpSpPr/>
      </xdr:nvGrpSpPr>
      <xdr:grpSpPr>
        <a:xfrm>
          <a:off x="432710" y="3907973"/>
          <a:ext cx="2286817" cy="506183"/>
          <a:chOff x="449036" y="1374322"/>
          <a:chExt cx="2286817" cy="511626"/>
        </a:xfrm>
      </xdr:grpSpPr>
      <xdr:sp macro="" textlink="">
        <xdr:nvSpPr>
          <xdr:cNvPr id="26" name="Elipse 6">
            <a:extLst>
              <a:ext uri="{FF2B5EF4-FFF2-40B4-BE49-F238E27FC236}">
                <a16:creationId xmlns:a16="http://schemas.microsoft.com/office/drawing/2014/main" id="{E3761ED6-AF62-4595-9F95-561FDAC2291C}"/>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
            <a:extLst>
              <a:ext uri="{FF2B5EF4-FFF2-40B4-BE49-F238E27FC236}">
                <a16:creationId xmlns:a16="http://schemas.microsoft.com/office/drawing/2014/main" id="{9DEB4542-B462-42A7-AE1F-775DDC8468C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8" name="Gráfico 27" descr="Acento Circunflexo para Baixo estrutura de tópicos">
            <a:extLst>
              <a:ext uri="{FF2B5EF4-FFF2-40B4-BE49-F238E27FC236}">
                <a16:creationId xmlns:a16="http://schemas.microsoft.com/office/drawing/2014/main" id="{AD3F504E-A2E1-4D46-B6A5-9434F5A40E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29" name="CaixaDeTexto 28">
            <a:extLst>
              <a:ext uri="{FF2B5EF4-FFF2-40B4-BE49-F238E27FC236}">
                <a16:creationId xmlns:a16="http://schemas.microsoft.com/office/drawing/2014/main" id="{4B7F2CD2-7467-4C4C-A38E-9121E61886F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clientData/>
  </xdr:twoCellAnchor>
  <xdr:twoCellAnchor>
    <xdr:from>
      <xdr:col>5</xdr:col>
      <xdr:colOff>13610</xdr:colOff>
      <xdr:row>6</xdr:row>
      <xdr:rowOff>40823</xdr:rowOff>
    </xdr:from>
    <xdr:to>
      <xdr:col>8</xdr:col>
      <xdr:colOff>463463</xdr:colOff>
      <xdr:row>8</xdr:row>
      <xdr:rowOff>130627</xdr:rowOff>
    </xdr:to>
    <xdr:grpSp>
      <xdr:nvGrpSpPr>
        <xdr:cNvPr id="30" name="Agrupar 29">
          <a:hlinkClick xmlns:r="http://schemas.openxmlformats.org/officeDocument/2006/relationships" r:id="rId11"/>
          <a:extLst>
            <a:ext uri="{FF2B5EF4-FFF2-40B4-BE49-F238E27FC236}">
              <a16:creationId xmlns:a16="http://schemas.microsoft.com/office/drawing/2014/main" id="{81427A87-914C-4E40-BB83-342CDDC9D35B}"/>
            </a:ext>
          </a:extLst>
        </xdr:cNvPr>
        <xdr:cNvGrpSpPr/>
      </xdr:nvGrpSpPr>
      <xdr:grpSpPr>
        <a:xfrm>
          <a:off x="3075217" y="1387930"/>
          <a:ext cx="2286817" cy="552447"/>
          <a:chOff x="449036" y="1374322"/>
          <a:chExt cx="2286817" cy="552447"/>
        </a:xfrm>
      </xdr:grpSpPr>
      <xdr:sp macro="" textlink="">
        <xdr:nvSpPr>
          <xdr:cNvPr id="31" name="Elipse 6">
            <a:extLst>
              <a:ext uri="{FF2B5EF4-FFF2-40B4-BE49-F238E27FC236}">
                <a16:creationId xmlns:a16="http://schemas.microsoft.com/office/drawing/2014/main" id="{8470A5B5-C6D5-42A3-8BC2-A102BD245FFB}"/>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2" name="Retângulo 2">
            <a:extLst>
              <a:ext uri="{FF2B5EF4-FFF2-40B4-BE49-F238E27FC236}">
                <a16:creationId xmlns:a16="http://schemas.microsoft.com/office/drawing/2014/main" id="{F19EA345-FE9C-4CBE-8025-EA234EB426F8}"/>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3" name="Gráfico 32" descr="Acento Circunflexo para Baixo estrutura de tópicos">
            <a:extLst>
              <a:ext uri="{FF2B5EF4-FFF2-40B4-BE49-F238E27FC236}">
                <a16:creationId xmlns:a16="http://schemas.microsoft.com/office/drawing/2014/main" id="{CE7C5CEB-A094-4940-89CA-07C8130D62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34" name="CaixaDeTexto 33">
            <a:extLst>
              <a:ext uri="{FF2B5EF4-FFF2-40B4-BE49-F238E27FC236}">
                <a16:creationId xmlns:a16="http://schemas.microsoft.com/office/drawing/2014/main" id="{37631624-134A-47DA-8DEE-E69B41F4328E}"/>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5</xdr:col>
      <xdr:colOff>16331</xdr:colOff>
      <xdr:row>8</xdr:row>
      <xdr:rowOff>206830</xdr:rowOff>
    </xdr:from>
    <xdr:to>
      <xdr:col>8</xdr:col>
      <xdr:colOff>466184</xdr:colOff>
      <xdr:row>11</xdr:row>
      <xdr:rowOff>92527</xdr:rowOff>
    </xdr:to>
    <xdr:grpSp>
      <xdr:nvGrpSpPr>
        <xdr:cNvPr id="35" name="Agrupar 34">
          <a:hlinkClick xmlns:r="http://schemas.openxmlformats.org/officeDocument/2006/relationships" r:id="rId12"/>
          <a:extLst>
            <a:ext uri="{FF2B5EF4-FFF2-40B4-BE49-F238E27FC236}">
              <a16:creationId xmlns:a16="http://schemas.microsoft.com/office/drawing/2014/main" id="{66BE016D-ABEE-4733-B547-F03EDF2064C3}"/>
            </a:ext>
          </a:extLst>
        </xdr:cNvPr>
        <xdr:cNvGrpSpPr/>
      </xdr:nvGrpSpPr>
      <xdr:grpSpPr>
        <a:xfrm>
          <a:off x="3077938" y="2016580"/>
          <a:ext cx="2286817" cy="552447"/>
          <a:chOff x="449036" y="1374322"/>
          <a:chExt cx="2286817" cy="552447"/>
        </a:xfrm>
      </xdr:grpSpPr>
      <xdr:sp macro="" textlink="">
        <xdr:nvSpPr>
          <xdr:cNvPr id="36" name="Elipse 6">
            <a:extLst>
              <a:ext uri="{FF2B5EF4-FFF2-40B4-BE49-F238E27FC236}">
                <a16:creationId xmlns:a16="http://schemas.microsoft.com/office/drawing/2014/main" id="{B01AF608-7A28-4EBC-A039-48EFE7FEE79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2">
            <a:extLst>
              <a:ext uri="{FF2B5EF4-FFF2-40B4-BE49-F238E27FC236}">
                <a16:creationId xmlns:a16="http://schemas.microsoft.com/office/drawing/2014/main" id="{90703242-9912-46F3-8637-0F94B68F5C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8" name="Gráfico 37" descr="Acento Circunflexo para Baixo estrutura de tópicos">
            <a:extLst>
              <a:ext uri="{FF2B5EF4-FFF2-40B4-BE49-F238E27FC236}">
                <a16:creationId xmlns:a16="http://schemas.microsoft.com/office/drawing/2014/main" id="{08D24478-DA9A-4724-B0A4-F9E927E543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39" name="CaixaDeTexto 38">
            <a:extLst>
              <a:ext uri="{FF2B5EF4-FFF2-40B4-BE49-F238E27FC236}">
                <a16:creationId xmlns:a16="http://schemas.microsoft.com/office/drawing/2014/main" id="{B865D1F6-4F74-401D-857D-ACF7648492E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5</xdr:col>
      <xdr:colOff>5446</xdr:colOff>
      <xdr:row>11</xdr:row>
      <xdr:rowOff>168730</xdr:rowOff>
    </xdr:from>
    <xdr:to>
      <xdr:col>8</xdr:col>
      <xdr:colOff>455299</xdr:colOff>
      <xdr:row>15</xdr:row>
      <xdr:rowOff>2720</xdr:rowOff>
    </xdr:to>
    <xdr:grpSp>
      <xdr:nvGrpSpPr>
        <xdr:cNvPr id="40" name="Agrupar 39">
          <a:hlinkClick xmlns:r="http://schemas.openxmlformats.org/officeDocument/2006/relationships" r:id="rId13"/>
          <a:extLst>
            <a:ext uri="{FF2B5EF4-FFF2-40B4-BE49-F238E27FC236}">
              <a16:creationId xmlns:a16="http://schemas.microsoft.com/office/drawing/2014/main" id="{5E32EA3D-A676-4AB7-8E5D-FF8444242592}"/>
            </a:ext>
          </a:extLst>
        </xdr:cNvPr>
        <xdr:cNvGrpSpPr/>
      </xdr:nvGrpSpPr>
      <xdr:grpSpPr>
        <a:xfrm>
          <a:off x="3067053" y="2645230"/>
          <a:ext cx="2286817" cy="555169"/>
          <a:chOff x="449036" y="1374322"/>
          <a:chExt cx="2286817" cy="552447"/>
        </a:xfrm>
      </xdr:grpSpPr>
      <xdr:sp macro="" textlink="">
        <xdr:nvSpPr>
          <xdr:cNvPr id="41" name="Elipse 6">
            <a:extLst>
              <a:ext uri="{FF2B5EF4-FFF2-40B4-BE49-F238E27FC236}">
                <a16:creationId xmlns:a16="http://schemas.microsoft.com/office/drawing/2014/main" id="{73CBA634-F183-439D-AD90-4432B252A7F4}"/>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2" name="Retângulo 2">
            <a:extLst>
              <a:ext uri="{FF2B5EF4-FFF2-40B4-BE49-F238E27FC236}">
                <a16:creationId xmlns:a16="http://schemas.microsoft.com/office/drawing/2014/main" id="{A3FC2D9A-1471-4E6A-B7F0-85BDB463B5E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3" name="Gráfico 42" descr="Acento Circunflexo para Baixo estrutura de tópicos">
            <a:extLst>
              <a:ext uri="{FF2B5EF4-FFF2-40B4-BE49-F238E27FC236}">
                <a16:creationId xmlns:a16="http://schemas.microsoft.com/office/drawing/2014/main" id="{25BB2480-9756-432E-97BD-7454F14316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44" name="CaixaDeTexto 43">
            <a:extLst>
              <a:ext uri="{FF2B5EF4-FFF2-40B4-BE49-F238E27FC236}">
                <a16:creationId xmlns:a16="http://schemas.microsoft.com/office/drawing/2014/main" id="{EDECDDC8-6D84-438E-8B7C-AC7EAFA248F0}"/>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Investments (Capex)</a:t>
            </a:r>
          </a:p>
        </xdr:txBody>
      </xdr:sp>
    </xdr:grpSp>
    <xdr:clientData/>
  </xdr:twoCellAnchor>
  <xdr:twoCellAnchor>
    <xdr:from>
      <xdr:col>5</xdr:col>
      <xdr:colOff>21775</xdr:colOff>
      <xdr:row>16</xdr:row>
      <xdr:rowOff>21774</xdr:rowOff>
    </xdr:from>
    <xdr:to>
      <xdr:col>8</xdr:col>
      <xdr:colOff>471628</xdr:colOff>
      <xdr:row>19</xdr:row>
      <xdr:rowOff>29935</xdr:rowOff>
    </xdr:to>
    <xdr:grpSp>
      <xdr:nvGrpSpPr>
        <xdr:cNvPr id="45" name="Agrupar 44">
          <a:hlinkClick xmlns:r="http://schemas.openxmlformats.org/officeDocument/2006/relationships" r:id="rId14"/>
          <a:extLst>
            <a:ext uri="{FF2B5EF4-FFF2-40B4-BE49-F238E27FC236}">
              <a16:creationId xmlns:a16="http://schemas.microsoft.com/office/drawing/2014/main" id="{51ABF126-DB28-4604-B974-6037190D8C20}"/>
            </a:ext>
          </a:extLst>
        </xdr:cNvPr>
        <xdr:cNvGrpSpPr/>
      </xdr:nvGrpSpPr>
      <xdr:grpSpPr>
        <a:xfrm>
          <a:off x="3083382" y="3301095"/>
          <a:ext cx="2286817" cy="552447"/>
          <a:chOff x="449036" y="1374322"/>
          <a:chExt cx="2286817" cy="552447"/>
        </a:xfrm>
      </xdr:grpSpPr>
      <xdr:sp macro="" textlink="">
        <xdr:nvSpPr>
          <xdr:cNvPr id="46" name="Elipse 6">
            <a:extLst>
              <a:ext uri="{FF2B5EF4-FFF2-40B4-BE49-F238E27FC236}">
                <a16:creationId xmlns:a16="http://schemas.microsoft.com/office/drawing/2014/main" id="{D37422CB-F9B0-404D-8096-D7EE9AAB5D27}"/>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2">
            <a:extLst>
              <a:ext uri="{FF2B5EF4-FFF2-40B4-BE49-F238E27FC236}">
                <a16:creationId xmlns:a16="http://schemas.microsoft.com/office/drawing/2014/main" id="{5E077F4F-A4BA-4085-9F6C-99E988BB8C6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8" name="Gráfico 47" descr="Acento Circunflexo para Baixo estrutura de tópicos">
            <a:extLst>
              <a:ext uri="{FF2B5EF4-FFF2-40B4-BE49-F238E27FC236}">
                <a16:creationId xmlns:a16="http://schemas.microsoft.com/office/drawing/2014/main" id="{54B30E91-21D3-4209-A700-7300D394A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49" name="CaixaDeTexto 48">
            <a:extLst>
              <a:ext uri="{FF2B5EF4-FFF2-40B4-BE49-F238E27FC236}">
                <a16:creationId xmlns:a16="http://schemas.microsoft.com/office/drawing/2014/main" id="{1A01A7D2-FA72-4E76-8E23-9B00A9A192C5}"/>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 by nature</a:t>
            </a:r>
          </a:p>
        </xdr:txBody>
      </xdr:sp>
    </xdr:grpSp>
    <xdr:clientData/>
  </xdr:twoCellAnchor>
  <xdr:twoCellAnchor>
    <xdr:from>
      <xdr:col>4</xdr:col>
      <xdr:colOff>595996</xdr:colOff>
      <xdr:row>20</xdr:row>
      <xdr:rowOff>24494</xdr:rowOff>
    </xdr:from>
    <xdr:to>
      <xdr:col>8</xdr:col>
      <xdr:colOff>433528</xdr:colOff>
      <xdr:row>22</xdr:row>
      <xdr:rowOff>73477</xdr:rowOff>
    </xdr:to>
    <xdr:grpSp>
      <xdr:nvGrpSpPr>
        <xdr:cNvPr id="50" name="Agrupar 49">
          <a:hlinkClick xmlns:r="http://schemas.openxmlformats.org/officeDocument/2006/relationships" r:id="rId15"/>
          <a:extLst>
            <a:ext uri="{FF2B5EF4-FFF2-40B4-BE49-F238E27FC236}">
              <a16:creationId xmlns:a16="http://schemas.microsoft.com/office/drawing/2014/main" id="{90145E03-F307-4290-B7E1-DF848D7D5C9F}"/>
            </a:ext>
          </a:extLst>
        </xdr:cNvPr>
        <xdr:cNvGrpSpPr/>
      </xdr:nvGrpSpPr>
      <xdr:grpSpPr>
        <a:xfrm>
          <a:off x="3045282" y="3929744"/>
          <a:ext cx="2286817" cy="552447"/>
          <a:chOff x="449036" y="1374322"/>
          <a:chExt cx="2286817" cy="552447"/>
        </a:xfrm>
      </xdr:grpSpPr>
      <xdr:sp macro="" textlink="">
        <xdr:nvSpPr>
          <xdr:cNvPr id="51" name="Elipse 6">
            <a:extLst>
              <a:ext uri="{FF2B5EF4-FFF2-40B4-BE49-F238E27FC236}">
                <a16:creationId xmlns:a16="http://schemas.microsoft.com/office/drawing/2014/main" id="{AE2E1E77-6E56-46AF-A8BA-3AE16556C68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2">
            <a:extLst>
              <a:ext uri="{FF2B5EF4-FFF2-40B4-BE49-F238E27FC236}">
                <a16:creationId xmlns:a16="http://schemas.microsoft.com/office/drawing/2014/main" id="{2946ADFE-51A0-4D0B-B3A4-8758E3A09AA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3" name="Gráfico 52" descr="Acento Circunflexo para Baixo estrutura de tópicos">
            <a:extLst>
              <a:ext uri="{FF2B5EF4-FFF2-40B4-BE49-F238E27FC236}">
                <a16:creationId xmlns:a16="http://schemas.microsoft.com/office/drawing/2014/main" id="{2F7D989D-8BE2-4281-9D0E-5DE64FA565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54" name="CaixaDeTexto 53">
            <a:extLst>
              <a:ext uri="{FF2B5EF4-FFF2-40B4-BE49-F238E27FC236}">
                <a16:creationId xmlns:a16="http://schemas.microsoft.com/office/drawing/2014/main" id="{3C4A6F39-E574-4ADA-8E0F-8E67C4895886}"/>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9</xdr:col>
      <xdr:colOff>217718</xdr:colOff>
      <xdr:row>6</xdr:row>
      <xdr:rowOff>54430</xdr:rowOff>
    </xdr:from>
    <xdr:to>
      <xdr:col>12</xdr:col>
      <xdr:colOff>871678</xdr:colOff>
      <xdr:row>8</xdr:row>
      <xdr:rowOff>144234</xdr:rowOff>
    </xdr:to>
    <xdr:grpSp>
      <xdr:nvGrpSpPr>
        <xdr:cNvPr id="55" name="Agrupar 54">
          <a:hlinkClick xmlns:r="http://schemas.openxmlformats.org/officeDocument/2006/relationships" r:id="rId16"/>
          <a:extLst>
            <a:ext uri="{FF2B5EF4-FFF2-40B4-BE49-F238E27FC236}">
              <a16:creationId xmlns:a16="http://schemas.microsoft.com/office/drawing/2014/main" id="{091B106A-65C9-4288-82EB-80CEADE7E98C}"/>
            </a:ext>
          </a:extLst>
        </xdr:cNvPr>
        <xdr:cNvGrpSpPr/>
      </xdr:nvGrpSpPr>
      <xdr:grpSpPr>
        <a:xfrm>
          <a:off x="5728611" y="1401537"/>
          <a:ext cx="2286817" cy="552447"/>
          <a:chOff x="449036" y="1374322"/>
          <a:chExt cx="2286817" cy="552447"/>
        </a:xfrm>
      </xdr:grpSpPr>
      <xdr:sp macro="" textlink="">
        <xdr:nvSpPr>
          <xdr:cNvPr id="56" name="Elipse 6">
            <a:extLst>
              <a:ext uri="{FF2B5EF4-FFF2-40B4-BE49-F238E27FC236}">
                <a16:creationId xmlns:a16="http://schemas.microsoft.com/office/drawing/2014/main" id="{B5D1B449-68C5-4B7B-A9CA-4AC199CD02B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7" name="Retângulo 2">
            <a:extLst>
              <a:ext uri="{FF2B5EF4-FFF2-40B4-BE49-F238E27FC236}">
                <a16:creationId xmlns:a16="http://schemas.microsoft.com/office/drawing/2014/main" id="{B52351D8-0003-42CF-9545-D36205212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8" name="Gráfico 57" descr="Acento Circunflexo para Baixo estrutura de tópicos">
            <a:extLst>
              <a:ext uri="{FF2B5EF4-FFF2-40B4-BE49-F238E27FC236}">
                <a16:creationId xmlns:a16="http://schemas.microsoft.com/office/drawing/2014/main" id="{663A007E-4C3E-4B2B-A4FF-76BDAFAB93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59" name="CaixaDeTexto 58">
            <a:extLst>
              <a:ext uri="{FF2B5EF4-FFF2-40B4-BE49-F238E27FC236}">
                <a16:creationId xmlns:a16="http://schemas.microsoft.com/office/drawing/2014/main" id="{4A237426-A0B9-41D7-AD62-EAF1703D1D0E}"/>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9</xdr:col>
      <xdr:colOff>220439</xdr:colOff>
      <xdr:row>9</xdr:row>
      <xdr:rowOff>16330</xdr:rowOff>
    </xdr:from>
    <xdr:to>
      <xdr:col>12</xdr:col>
      <xdr:colOff>874399</xdr:colOff>
      <xdr:row>11</xdr:row>
      <xdr:rowOff>133348</xdr:rowOff>
    </xdr:to>
    <xdr:grpSp>
      <xdr:nvGrpSpPr>
        <xdr:cNvPr id="60" name="Agrupar 59">
          <a:hlinkClick xmlns:r="http://schemas.openxmlformats.org/officeDocument/2006/relationships" r:id="rId17"/>
          <a:extLst>
            <a:ext uri="{FF2B5EF4-FFF2-40B4-BE49-F238E27FC236}">
              <a16:creationId xmlns:a16="http://schemas.microsoft.com/office/drawing/2014/main" id="{F1888D22-4C06-4D68-87F1-3FC6A63ABCE1}"/>
            </a:ext>
          </a:extLst>
        </xdr:cNvPr>
        <xdr:cNvGrpSpPr/>
      </xdr:nvGrpSpPr>
      <xdr:grpSpPr>
        <a:xfrm>
          <a:off x="5731332" y="2057401"/>
          <a:ext cx="2286817" cy="552447"/>
          <a:chOff x="449036" y="1374322"/>
          <a:chExt cx="2286817" cy="552447"/>
        </a:xfrm>
      </xdr:grpSpPr>
      <xdr:sp macro="" textlink="">
        <xdr:nvSpPr>
          <xdr:cNvPr id="61" name="Elipse 6">
            <a:extLst>
              <a:ext uri="{FF2B5EF4-FFF2-40B4-BE49-F238E27FC236}">
                <a16:creationId xmlns:a16="http://schemas.microsoft.com/office/drawing/2014/main" id="{FABF67BB-ADD1-4171-9C02-4515B60CD2E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2" name="Retângulo 2">
            <a:extLst>
              <a:ext uri="{FF2B5EF4-FFF2-40B4-BE49-F238E27FC236}">
                <a16:creationId xmlns:a16="http://schemas.microsoft.com/office/drawing/2014/main" id="{4E4653D9-8AA4-4181-97F4-5057636696D2}"/>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3" name="Gráfico 62" descr="Acento Circunflexo para Baixo estrutura de tópicos">
            <a:extLst>
              <a:ext uri="{FF2B5EF4-FFF2-40B4-BE49-F238E27FC236}">
                <a16:creationId xmlns:a16="http://schemas.microsoft.com/office/drawing/2014/main" id="{1FFB0F0F-4825-444A-9754-513BFF6A84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64" name="CaixaDeTexto 63">
            <a:extLst>
              <a:ext uri="{FF2B5EF4-FFF2-40B4-BE49-F238E27FC236}">
                <a16:creationId xmlns:a16="http://schemas.microsoft.com/office/drawing/2014/main" id="{1A822AB4-7102-458E-A0B3-10626FB30944}"/>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Macroeconomics</a:t>
            </a:r>
          </a:p>
        </xdr:txBody>
      </xdr:sp>
    </xdr:grpSp>
    <xdr:clientData/>
  </xdr:twoCellAnchor>
  <xdr:twoCellAnchor>
    <xdr:from>
      <xdr:col>9</xdr:col>
      <xdr:colOff>250375</xdr:colOff>
      <xdr:row>12</xdr:row>
      <xdr:rowOff>73479</xdr:rowOff>
    </xdr:from>
    <xdr:to>
      <xdr:col>12</xdr:col>
      <xdr:colOff>904335</xdr:colOff>
      <xdr:row>15</xdr:row>
      <xdr:rowOff>72115</xdr:rowOff>
    </xdr:to>
    <xdr:grpSp>
      <xdr:nvGrpSpPr>
        <xdr:cNvPr id="65" name="Agrupar 64">
          <a:hlinkClick xmlns:r="http://schemas.openxmlformats.org/officeDocument/2006/relationships" r:id="rId18"/>
          <a:extLst>
            <a:ext uri="{FF2B5EF4-FFF2-40B4-BE49-F238E27FC236}">
              <a16:creationId xmlns:a16="http://schemas.microsoft.com/office/drawing/2014/main" id="{6E87EBB5-3F33-464E-9368-69F32F51B4C3}"/>
            </a:ext>
          </a:extLst>
        </xdr:cNvPr>
        <xdr:cNvGrpSpPr/>
      </xdr:nvGrpSpPr>
      <xdr:grpSpPr>
        <a:xfrm>
          <a:off x="5761268" y="2726872"/>
          <a:ext cx="2286817" cy="542922"/>
          <a:chOff x="449036" y="1374322"/>
          <a:chExt cx="2286817" cy="552447"/>
        </a:xfrm>
      </xdr:grpSpPr>
      <xdr:sp macro="" textlink="">
        <xdr:nvSpPr>
          <xdr:cNvPr id="66" name="Elipse 6">
            <a:extLst>
              <a:ext uri="{FF2B5EF4-FFF2-40B4-BE49-F238E27FC236}">
                <a16:creationId xmlns:a16="http://schemas.microsoft.com/office/drawing/2014/main" id="{34AC2A9C-9290-41D8-B1C2-EEFA17027C8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7" name="Retângulo 2">
            <a:extLst>
              <a:ext uri="{FF2B5EF4-FFF2-40B4-BE49-F238E27FC236}">
                <a16:creationId xmlns:a16="http://schemas.microsoft.com/office/drawing/2014/main" id="{11D5DC20-B906-4921-BBFA-F9D7D5536D4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8" name="Gráfico 67" descr="Acento Circunflexo para Baixo estrutura de tópicos">
            <a:extLst>
              <a:ext uri="{FF2B5EF4-FFF2-40B4-BE49-F238E27FC236}">
                <a16:creationId xmlns:a16="http://schemas.microsoft.com/office/drawing/2014/main" id="{29F69A25-EF91-47B4-90B6-B35DBC6562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69" name="CaixaDeTexto 68">
            <a:extLst>
              <a:ext uri="{FF2B5EF4-FFF2-40B4-BE49-F238E27FC236}">
                <a16:creationId xmlns:a16="http://schemas.microsoft.com/office/drawing/2014/main" id="{6EAA80B6-A460-47F5-A936-DC261BC57AE9}"/>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 ESG</a:t>
            </a:r>
          </a:p>
        </xdr:txBody>
      </xdr:sp>
    </xdr:grpSp>
    <xdr:clientData/>
  </xdr:twoCellAnchor>
  <xdr:twoCellAnchor>
    <xdr:from>
      <xdr:col>9</xdr:col>
      <xdr:colOff>253096</xdr:colOff>
      <xdr:row>16</xdr:row>
      <xdr:rowOff>76202</xdr:rowOff>
    </xdr:from>
    <xdr:to>
      <xdr:col>12</xdr:col>
      <xdr:colOff>907056</xdr:colOff>
      <xdr:row>20</xdr:row>
      <xdr:rowOff>2720</xdr:rowOff>
    </xdr:to>
    <xdr:grpSp>
      <xdr:nvGrpSpPr>
        <xdr:cNvPr id="70" name="Agrupar 69">
          <a:hlinkClick xmlns:r="http://schemas.openxmlformats.org/officeDocument/2006/relationships" r:id="rId19"/>
          <a:extLst>
            <a:ext uri="{FF2B5EF4-FFF2-40B4-BE49-F238E27FC236}">
              <a16:creationId xmlns:a16="http://schemas.microsoft.com/office/drawing/2014/main" id="{2EEA0F27-4C27-489A-A647-23FDADBF4BD3}"/>
            </a:ext>
          </a:extLst>
        </xdr:cNvPr>
        <xdr:cNvGrpSpPr/>
      </xdr:nvGrpSpPr>
      <xdr:grpSpPr>
        <a:xfrm>
          <a:off x="5763989" y="3355523"/>
          <a:ext cx="2286817" cy="552447"/>
          <a:chOff x="449036" y="1374322"/>
          <a:chExt cx="2286817" cy="552447"/>
        </a:xfrm>
      </xdr:grpSpPr>
      <xdr:sp macro="" textlink="">
        <xdr:nvSpPr>
          <xdr:cNvPr id="71" name="Elipse 6">
            <a:extLst>
              <a:ext uri="{FF2B5EF4-FFF2-40B4-BE49-F238E27FC236}">
                <a16:creationId xmlns:a16="http://schemas.microsoft.com/office/drawing/2014/main" id="{F83CB45D-6601-4E81-995E-3BABCE78129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2" name="Retângulo 2">
            <a:extLst>
              <a:ext uri="{FF2B5EF4-FFF2-40B4-BE49-F238E27FC236}">
                <a16:creationId xmlns:a16="http://schemas.microsoft.com/office/drawing/2014/main" id="{3C68B167-DD19-4130-9081-A395D92EA82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3" name="Gráfico 72" descr="Acento Circunflexo para Baixo estrutura de tópicos">
            <a:extLst>
              <a:ext uri="{FF2B5EF4-FFF2-40B4-BE49-F238E27FC236}">
                <a16:creationId xmlns:a16="http://schemas.microsoft.com/office/drawing/2014/main" id="{037661D4-5E2C-49EA-A7C1-E11BA7F8D7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74" name="CaixaDeTexto 73">
            <a:extLst>
              <a:ext uri="{FF2B5EF4-FFF2-40B4-BE49-F238E27FC236}">
                <a16:creationId xmlns:a16="http://schemas.microsoft.com/office/drawing/2014/main" id="{7F5FA41F-AAAD-4058-B833-FB474BAB14B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9</xdr:col>
      <xdr:colOff>201389</xdr:colOff>
      <xdr:row>20</xdr:row>
      <xdr:rowOff>65315</xdr:rowOff>
    </xdr:from>
    <xdr:to>
      <xdr:col>12</xdr:col>
      <xdr:colOff>855349</xdr:colOff>
      <xdr:row>22</xdr:row>
      <xdr:rowOff>114298</xdr:rowOff>
    </xdr:to>
    <xdr:grpSp>
      <xdr:nvGrpSpPr>
        <xdr:cNvPr id="75" name="Agrupar 74">
          <a:hlinkClick xmlns:r="http://schemas.openxmlformats.org/officeDocument/2006/relationships" r:id="rId20"/>
          <a:extLst>
            <a:ext uri="{FF2B5EF4-FFF2-40B4-BE49-F238E27FC236}">
              <a16:creationId xmlns:a16="http://schemas.microsoft.com/office/drawing/2014/main" id="{7DC028DF-011C-4ED8-8FDA-55A943DF0B8A}"/>
            </a:ext>
          </a:extLst>
        </xdr:cNvPr>
        <xdr:cNvGrpSpPr/>
      </xdr:nvGrpSpPr>
      <xdr:grpSpPr>
        <a:xfrm>
          <a:off x="5712282" y="3970565"/>
          <a:ext cx="2286817" cy="552447"/>
          <a:chOff x="449036" y="1374322"/>
          <a:chExt cx="2286817" cy="552447"/>
        </a:xfrm>
      </xdr:grpSpPr>
      <xdr:sp macro="" textlink="">
        <xdr:nvSpPr>
          <xdr:cNvPr id="76" name="Elipse 6">
            <a:extLst>
              <a:ext uri="{FF2B5EF4-FFF2-40B4-BE49-F238E27FC236}">
                <a16:creationId xmlns:a16="http://schemas.microsoft.com/office/drawing/2014/main" id="{EF1C7D5C-F074-4B7F-9437-E6BBBE2560A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7" name="Retângulo 2">
            <a:extLst>
              <a:ext uri="{FF2B5EF4-FFF2-40B4-BE49-F238E27FC236}">
                <a16:creationId xmlns:a16="http://schemas.microsoft.com/office/drawing/2014/main" id="{3A528623-182C-4A40-B695-405F00E5039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8" name="Gráfico 77" descr="Acento Circunflexo para Baixo estrutura de tópicos">
            <a:extLst>
              <a:ext uri="{FF2B5EF4-FFF2-40B4-BE49-F238E27FC236}">
                <a16:creationId xmlns:a16="http://schemas.microsoft.com/office/drawing/2014/main" id="{748DD3E4-0A16-457C-8D76-8027132A6C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79" name="CaixaDeTexto 78">
            <a:extLst>
              <a:ext uri="{FF2B5EF4-FFF2-40B4-BE49-F238E27FC236}">
                <a16:creationId xmlns:a16="http://schemas.microsoft.com/office/drawing/2014/main" id="{C2379559-889C-4979-BFF3-4D82D9BDFCF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Consensus</a:t>
            </a:r>
          </a:p>
        </xdr:txBody>
      </xdr:sp>
    </xdr:grpSp>
    <xdr:clientData/>
  </xdr:twoCellAnchor>
  <xdr:twoCellAnchor>
    <xdr:from>
      <xdr:col>12</xdr:col>
      <xdr:colOff>1211040</xdr:colOff>
      <xdr:row>6</xdr:row>
      <xdr:rowOff>68036</xdr:rowOff>
    </xdr:from>
    <xdr:to>
      <xdr:col>15</xdr:col>
      <xdr:colOff>520614</xdr:colOff>
      <xdr:row>8</xdr:row>
      <xdr:rowOff>157840</xdr:rowOff>
    </xdr:to>
    <xdr:grpSp>
      <xdr:nvGrpSpPr>
        <xdr:cNvPr id="80" name="Agrupar 79">
          <a:hlinkClick xmlns:r="http://schemas.openxmlformats.org/officeDocument/2006/relationships" r:id="rId21"/>
          <a:extLst>
            <a:ext uri="{FF2B5EF4-FFF2-40B4-BE49-F238E27FC236}">
              <a16:creationId xmlns:a16="http://schemas.microsoft.com/office/drawing/2014/main" id="{98D32271-B2AD-42E3-8830-2D076462321C}"/>
            </a:ext>
          </a:extLst>
        </xdr:cNvPr>
        <xdr:cNvGrpSpPr/>
      </xdr:nvGrpSpPr>
      <xdr:grpSpPr>
        <a:xfrm>
          <a:off x="8354790" y="1415143"/>
          <a:ext cx="2248717" cy="552447"/>
          <a:chOff x="449036" y="1374322"/>
          <a:chExt cx="2286817" cy="552447"/>
        </a:xfrm>
      </xdr:grpSpPr>
      <xdr:sp macro="" textlink="">
        <xdr:nvSpPr>
          <xdr:cNvPr id="81" name="Elipse 6">
            <a:extLst>
              <a:ext uri="{FF2B5EF4-FFF2-40B4-BE49-F238E27FC236}">
                <a16:creationId xmlns:a16="http://schemas.microsoft.com/office/drawing/2014/main" id="{530482E1-A53D-4F46-B77C-111700505E3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2" name="Retângulo 2">
            <a:extLst>
              <a:ext uri="{FF2B5EF4-FFF2-40B4-BE49-F238E27FC236}">
                <a16:creationId xmlns:a16="http://schemas.microsoft.com/office/drawing/2014/main" id="{65837BEA-4273-4869-BBE2-BF577A12596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3" name="Gráfico 82" descr="Acento Circunflexo para Baixo estrutura de tópicos">
            <a:extLst>
              <a:ext uri="{FF2B5EF4-FFF2-40B4-BE49-F238E27FC236}">
                <a16:creationId xmlns:a16="http://schemas.microsoft.com/office/drawing/2014/main" id="{FEB1498D-99B4-4031-A7F2-90DB9500F3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2409374" y="1452369"/>
            <a:ext cx="288000" cy="364958"/>
          </a:xfrm>
          <a:prstGeom prst="round1Rect">
            <a:avLst/>
          </a:prstGeom>
        </xdr:spPr>
      </xdr:pic>
      <xdr:sp macro="" textlink="">
        <xdr:nvSpPr>
          <xdr:cNvPr id="84" name="CaixaDeTexto 83">
            <a:extLst>
              <a:ext uri="{FF2B5EF4-FFF2-40B4-BE49-F238E27FC236}">
                <a16:creationId xmlns:a16="http://schemas.microsoft.com/office/drawing/2014/main" id="{9BDC4F45-DB7E-454A-BCBA-74D46BE9C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16. Disclaimer</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3668097</xdr:colOff>
      <xdr:row>0</xdr:row>
      <xdr:rowOff>83908</xdr:rowOff>
    </xdr:from>
    <xdr:to>
      <xdr:col>1</xdr:col>
      <xdr:colOff>4581078</xdr:colOff>
      <xdr:row>0</xdr:row>
      <xdr:rowOff>450911</xdr:rowOff>
    </xdr:to>
    <xdr:pic>
      <xdr:nvPicPr>
        <xdr:cNvPr id="2"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3804168" y="83908"/>
          <a:ext cx="912981" cy="367003"/>
        </a:xfrm>
        <a:prstGeom prst="rect">
          <a:avLst/>
        </a:prstGeom>
      </xdr:spPr>
    </xdr:pic>
    <xdr:clientData/>
  </xdr:twoCellAnchor>
  <xdr:twoCellAnchor editAs="oneCell">
    <xdr:from>
      <xdr:col>0</xdr:col>
      <xdr:colOff>108857</xdr:colOff>
      <xdr:row>0</xdr:row>
      <xdr:rowOff>40821</xdr:rowOff>
    </xdr:from>
    <xdr:to>
      <xdr:col>1</xdr:col>
      <xdr:colOff>1205435</xdr:colOff>
      <xdr:row>0</xdr:row>
      <xdr:rowOff>449036</xdr:rowOff>
    </xdr:to>
    <xdr:pic>
      <xdr:nvPicPr>
        <xdr:cNvPr id="4" name="Imagem 3">
          <a:hlinkClick xmlns:r="http://schemas.openxmlformats.org/officeDocument/2006/relationships" r:id="rId2"/>
          <a:extLst>
            <a:ext uri="{FF2B5EF4-FFF2-40B4-BE49-F238E27FC236}">
              <a16:creationId xmlns:a16="http://schemas.microsoft.com/office/drawing/2014/main" id="{A44BF6CC-7869-467A-B68E-247A004AF19A}"/>
            </a:ext>
          </a:extLst>
        </xdr:cNvPr>
        <xdr:cNvPicPr>
          <a:picLocks noChangeAspect="1"/>
        </xdr:cNvPicPr>
      </xdr:nvPicPr>
      <xdr:blipFill>
        <a:blip xmlns:r="http://schemas.openxmlformats.org/officeDocument/2006/relationships" r:embed="rId3"/>
        <a:stretch>
          <a:fillRect/>
        </a:stretch>
      </xdr:blipFill>
      <xdr:spPr>
        <a:xfrm>
          <a:off x="108857" y="40821"/>
          <a:ext cx="1232649" cy="408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3639520</xdr:colOff>
      <xdr:row>0</xdr:row>
      <xdr:rowOff>97517</xdr:rowOff>
    </xdr:from>
    <xdr:to>
      <xdr:col>1</xdr:col>
      <xdr:colOff>4552501</xdr:colOff>
      <xdr:row>0</xdr:row>
      <xdr:rowOff>464520</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3734770" y="97517"/>
          <a:ext cx="912981" cy="367003"/>
        </a:xfrm>
        <a:prstGeom prst="rect">
          <a:avLst/>
        </a:prstGeom>
      </xdr:spPr>
    </xdr:pic>
    <xdr:clientData/>
  </xdr:twoCellAnchor>
  <xdr:twoCellAnchor editAs="oneCell">
    <xdr:from>
      <xdr:col>1</xdr:col>
      <xdr:colOff>27214</xdr:colOff>
      <xdr:row>0</xdr:row>
      <xdr:rowOff>54428</xdr:rowOff>
    </xdr:from>
    <xdr:to>
      <xdr:col>1</xdr:col>
      <xdr:colOff>1259863</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435D4056-6CCD-4B03-9458-CA2F0E337B28}"/>
            </a:ext>
          </a:extLst>
        </xdr:cNvPr>
        <xdr:cNvPicPr>
          <a:picLocks noChangeAspect="1"/>
        </xdr:cNvPicPr>
      </xdr:nvPicPr>
      <xdr:blipFill>
        <a:blip xmlns:r="http://schemas.openxmlformats.org/officeDocument/2006/relationships" r:embed="rId3"/>
        <a:stretch>
          <a:fillRect/>
        </a:stretch>
      </xdr:blipFill>
      <xdr:spPr>
        <a:xfrm>
          <a:off x="122464" y="54428"/>
          <a:ext cx="1232649" cy="408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54428</xdr:colOff>
      <xdr:row>0</xdr:row>
      <xdr:rowOff>54429</xdr:rowOff>
    </xdr:from>
    <xdr:to>
      <xdr:col>1</xdr:col>
      <xdr:colOff>1191827</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C3B26264-7102-45FF-8F55-7B2C32EBC176}"/>
            </a:ext>
          </a:extLst>
        </xdr:cNvPr>
        <xdr:cNvPicPr>
          <a:picLocks noChangeAspect="1"/>
        </xdr:cNvPicPr>
      </xdr:nvPicPr>
      <xdr:blipFill>
        <a:blip xmlns:r="http://schemas.openxmlformats.org/officeDocument/2006/relationships" r:embed="rId3"/>
        <a:stretch>
          <a:fillRect/>
        </a:stretch>
      </xdr:blipFill>
      <xdr:spPr>
        <a:xfrm>
          <a:off x="54428" y="54429"/>
          <a:ext cx="1232649" cy="408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0</xdr:colOff>
      <xdr:row>0</xdr:row>
      <xdr:rowOff>81643</xdr:rowOff>
    </xdr:from>
    <xdr:to>
      <xdr:col>1</xdr:col>
      <xdr:colOff>1137399</xdr:colOff>
      <xdr:row>0</xdr:row>
      <xdr:rowOff>489858</xdr:rowOff>
    </xdr:to>
    <xdr:pic>
      <xdr:nvPicPr>
        <xdr:cNvPr id="4" name="Imagem 3">
          <a:hlinkClick xmlns:r="http://schemas.openxmlformats.org/officeDocument/2006/relationships" r:id="rId2"/>
          <a:extLst>
            <a:ext uri="{FF2B5EF4-FFF2-40B4-BE49-F238E27FC236}">
              <a16:creationId xmlns:a16="http://schemas.microsoft.com/office/drawing/2014/main" id="{8E8C60E8-FE9F-4D31-9D43-EB5916FAF685}"/>
            </a:ext>
          </a:extLst>
        </xdr:cNvPr>
        <xdr:cNvPicPr>
          <a:picLocks noChangeAspect="1"/>
        </xdr:cNvPicPr>
      </xdr:nvPicPr>
      <xdr:blipFill>
        <a:blip xmlns:r="http://schemas.openxmlformats.org/officeDocument/2006/relationships" r:embed="rId3"/>
        <a:stretch>
          <a:fillRect/>
        </a:stretch>
      </xdr:blipFill>
      <xdr:spPr>
        <a:xfrm>
          <a:off x="0" y="81643"/>
          <a:ext cx="1232649" cy="408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7161048</xdr:colOff>
      <xdr:row>0</xdr:row>
      <xdr:rowOff>70302</xdr:rowOff>
    </xdr:from>
    <xdr:to>
      <xdr:col>1</xdr:col>
      <xdr:colOff>8074029</xdr:colOff>
      <xdr:row>0</xdr:row>
      <xdr:rowOff>437305</xdr:rowOff>
    </xdr:to>
    <xdr:pic>
      <xdr:nvPicPr>
        <xdr:cNvPr id="2" name="Imagem 1">
          <a:extLst>
            <a:ext uri="{FF2B5EF4-FFF2-40B4-BE49-F238E27FC236}">
              <a16:creationId xmlns:a16="http://schemas.microsoft.com/office/drawing/2014/main" id="{EC6F4953-6AC7-49B4-8F82-99363FE2BDF3}"/>
            </a:ext>
          </a:extLst>
        </xdr:cNvPr>
        <xdr:cNvPicPr>
          <a:picLocks noChangeAspect="1"/>
        </xdr:cNvPicPr>
      </xdr:nvPicPr>
      <xdr:blipFill>
        <a:blip xmlns:r="http://schemas.openxmlformats.org/officeDocument/2006/relationships" r:embed="rId1"/>
        <a:stretch>
          <a:fillRect/>
        </a:stretch>
      </xdr:blipFill>
      <xdr:spPr>
        <a:xfrm>
          <a:off x="7256298" y="70302"/>
          <a:ext cx="912981" cy="367003"/>
        </a:xfrm>
        <a:prstGeom prst="rect">
          <a:avLst/>
        </a:prstGeom>
      </xdr:spPr>
    </xdr:pic>
    <xdr:clientData/>
  </xdr:twoCellAnchor>
  <xdr:twoCellAnchor editAs="oneCell">
    <xdr:from>
      <xdr:col>2</xdr:col>
      <xdr:colOff>176892</xdr:colOff>
      <xdr:row>0</xdr:row>
      <xdr:rowOff>0</xdr:rowOff>
    </xdr:from>
    <xdr:to>
      <xdr:col>2</xdr:col>
      <xdr:colOff>653143</xdr:colOff>
      <xdr:row>0</xdr:row>
      <xdr:rowOff>476251</xdr:rowOff>
    </xdr:to>
    <xdr:pic>
      <xdr:nvPicPr>
        <xdr:cNvPr id="5" name="Gráfico 4" descr="Clipe de papel com preenchimento sólido">
          <a:extLst>
            <a:ext uri="{FF2B5EF4-FFF2-40B4-BE49-F238E27FC236}">
              <a16:creationId xmlns:a16="http://schemas.microsoft.com/office/drawing/2014/main" id="{3CD7CC3E-EA21-449F-A4D7-A9F12BA29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572499" y="0"/>
          <a:ext cx="476251" cy="476251"/>
        </a:xfrm>
        <a:prstGeom prst="rect">
          <a:avLst/>
        </a:prstGeom>
      </xdr:spPr>
    </xdr:pic>
    <xdr:clientData/>
  </xdr:twoCellAnchor>
  <xdr:twoCellAnchor>
    <xdr:from>
      <xdr:col>2</xdr:col>
      <xdr:colOff>544286</xdr:colOff>
      <xdr:row>0</xdr:row>
      <xdr:rowOff>176892</xdr:rowOff>
    </xdr:from>
    <xdr:to>
      <xdr:col>4</xdr:col>
      <xdr:colOff>13607</xdr:colOff>
      <xdr:row>1</xdr:row>
      <xdr:rowOff>-1</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74E11F37-C38C-4D09-82CA-4BDADDF7C6AF}"/>
            </a:ext>
          </a:extLst>
        </xdr:cNvPr>
        <xdr:cNvSpPr txBox="1"/>
      </xdr:nvSpPr>
      <xdr:spPr>
        <a:xfrm>
          <a:off x="8939893" y="176892"/>
          <a:ext cx="423182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2020: </a:t>
          </a:r>
          <a:r>
            <a:rPr lang="pt-BR" sz="1100" u="sng" baseline="0">
              <a:solidFill>
                <a:srgbClr val="0000FF"/>
              </a:solidFill>
              <a:latin typeface="Trebuchet MS" panose="020B0603020202020204" pitchFamily="34" charset="0"/>
            </a:rPr>
            <a:t>Clique aqui.</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7" name="Imagem 6">
          <a:hlinkClick xmlns:r="http://schemas.openxmlformats.org/officeDocument/2006/relationships" r:id="rId5"/>
          <a:extLst>
            <a:ext uri="{FF2B5EF4-FFF2-40B4-BE49-F238E27FC236}">
              <a16:creationId xmlns:a16="http://schemas.microsoft.com/office/drawing/2014/main" id="{D118C01E-8DE6-4EF2-AE46-9BD6E2D9156B}"/>
            </a:ext>
          </a:extLst>
        </xdr:cNvPr>
        <xdr:cNvPicPr>
          <a:picLocks noChangeAspect="1"/>
        </xdr:cNvPicPr>
      </xdr:nvPicPr>
      <xdr:blipFill>
        <a:blip xmlns:r="http://schemas.openxmlformats.org/officeDocument/2006/relationships" r:embed="rId6"/>
        <a:stretch>
          <a:fillRect/>
        </a:stretch>
      </xdr:blipFill>
      <xdr:spPr>
        <a:xfrm>
          <a:off x="95251" y="68036"/>
          <a:ext cx="1232649" cy="408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107156</xdr:colOff>
      <xdr:row>0</xdr:row>
      <xdr:rowOff>145708</xdr:rowOff>
    </xdr:from>
    <xdr:to>
      <xdr:col>8</xdr:col>
      <xdr:colOff>1685235</xdr:colOff>
      <xdr:row>4</xdr:row>
      <xdr:rowOff>330653</xdr:rowOff>
    </xdr:to>
    <xdr:pic>
      <xdr:nvPicPr>
        <xdr:cNvPr id="7" name="Imagem 6">
          <a:extLst>
            <a:ext uri="{FF2B5EF4-FFF2-40B4-BE49-F238E27FC236}">
              <a16:creationId xmlns:a16="http://schemas.microsoft.com/office/drawing/2014/main" id="{E5E45D59-530B-461D-8831-0F75391243D3}"/>
            </a:ext>
          </a:extLst>
        </xdr:cNvPr>
        <xdr:cNvPicPr>
          <a:picLocks noChangeAspect="1"/>
        </xdr:cNvPicPr>
      </xdr:nvPicPr>
      <xdr:blipFill>
        <a:blip xmlns:r="http://schemas.openxmlformats.org/officeDocument/2006/relationships" r:embed="rId1"/>
        <a:stretch>
          <a:fillRect/>
        </a:stretch>
      </xdr:blipFill>
      <xdr:spPr>
        <a:xfrm>
          <a:off x="297656" y="145708"/>
          <a:ext cx="14205508" cy="1259909"/>
        </a:xfrm>
        <a:prstGeom prst="rect">
          <a:avLst/>
        </a:prstGeom>
      </xdr:spPr>
    </xdr:pic>
    <xdr:clientData/>
  </xdr:twoCellAnchor>
  <xdr:twoCellAnchor editAs="oneCell">
    <xdr:from>
      <xdr:col>1</xdr:col>
      <xdr:colOff>95250</xdr:colOff>
      <xdr:row>15</xdr:row>
      <xdr:rowOff>161925</xdr:rowOff>
    </xdr:from>
    <xdr:to>
      <xdr:col>1</xdr:col>
      <xdr:colOff>239250</xdr:colOff>
      <xdr:row>15</xdr:row>
      <xdr:rowOff>305925</xdr:rowOff>
    </xdr:to>
    <xdr:pic>
      <xdr:nvPicPr>
        <xdr:cNvPr id="2" name="Gráfico 1" descr="Marca de seleção com preenchimento sólido">
          <a:extLst>
            <a:ext uri="{FF2B5EF4-FFF2-40B4-BE49-F238E27FC236}">
              <a16:creationId xmlns:a16="http://schemas.microsoft.com/office/drawing/2014/main" id="{97672377-2578-4CF3-8805-B4893253A6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542925"/>
          <a:ext cx="144000" cy="144000"/>
        </a:xfrm>
        <a:prstGeom prst="rect">
          <a:avLst/>
        </a:prstGeom>
      </xdr:spPr>
    </xdr:pic>
    <xdr:clientData/>
  </xdr:twoCellAnchor>
  <xdr:twoCellAnchor editAs="oneCell">
    <xdr:from>
      <xdr:col>1</xdr:col>
      <xdr:colOff>95250</xdr:colOff>
      <xdr:row>16</xdr:row>
      <xdr:rowOff>171450</xdr:rowOff>
    </xdr:from>
    <xdr:to>
      <xdr:col>1</xdr:col>
      <xdr:colOff>239250</xdr:colOff>
      <xdr:row>16</xdr:row>
      <xdr:rowOff>315450</xdr:rowOff>
    </xdr:to>
    <xdr:pic>
      <xdr:nvPicPr>
        <xdr:cNvPr id="3" name="Gráfico 2" descr="Marca de seleção com preenchimento sólido">
          <a:extLst>
            <a:ext uri="{FF2B5EF4-FFF2-40B4-BE49-F238E27FC236}">
              <a16:creationId xmlns:a16="http://schemas.microsoft.com/office/drawing/2014/main" id="{E11FB3AD-997C-45F9-A116-1B5E740F01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009650"/>
          <a:ext cx="144000" cy="144000"/>
        </a:xfrm>
        <a:prstGeom prst="rect">
          <a:avLst/>
        </a:prstGeom>
      </xdr:spPr>
    </xdr:pic>
    <xdr:clientData/>
  </xdr:twoCellAnchor>
  <xdr:twoCellAnchor editAs="oneCell">
    <xdr:from>
      <xdr:col>1</xdr:col>
      <xdr:colOff>85725</xdr:colOff>
      <xdr:row>17</xdr:row>
      <xdr:rowOff>180975</xdr:rowOff>
    </xdr:from>
    <xdr:to>
      <xdr:col>1</xdr:col>
      <xdr:colOff>229725</xdr:colOff>
      <xdr:row>17</xdr:row>
      <xdr:rowOff>324975</xdr:rowOff>
    </xdr:to>
    <xdr:pic>
      <xdr:nvPicPr>
        <xdr:cNvPr id="4" name="Gráfico 3" descr="Marca de seleção com preenchimento sólido">
          <a:extLst>
            <a:ext uri="{FF2B5EF4-FFF2-40B4-BE49-F238E27FC236}">
              <a16:creationId xmlns:a16="http://schemas.microsoft.com/office/drawing/2014/main" id="{08B2F834-8E7D-45F9-A8F5-5C4C0EACAA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6225" y="1476375"/>
          <a:ext cx="144000" cy="144000"/>
        </a:xfrm>
        <a:prstGeom prst="rect">
          <a:avLst/>
        </a:prstGeom>
      </xdr:spPr>
    </xdr:pic>
    <xdr:clientData/>
  </xdr:twoCellAnchor>
  <xdr:twoCellAnchor editAs="oneCell">
    <xdr:from>
      <xdr:col>1</xdr:col>
      <xdr:colOff>95250</xdr:colOff>
      <xdr:row>18</xdr:row>
      <xdr:rowOff>190500</xdr:rowOff>
    </xdr:from>
    <xdr:to>
      <xdr:col>1</xdr:col>
      <xdr:colOff>239250</xdr:colOff>
      <xdr:row>18</xdr:row>
      <xdr:rowOff>334500</xdr:rowOff>
    </xdr:to>
    <xdr:pic>
      <xdr:nvPicPr>
        <xdr:cNvPr id="5" name="Gráfico 4" descr="Marca de seleção com preenchimento sólido">
          <a:extLst>
            <a:ext uri="{FF2B5EF4-FFF2-40B4-BE49-F238E27FC236}">
              <a16:creationId xmlns:a16="http://schemas.microsoft.com/office/drawing/2014/main" id="{DFC9CADA-A2B8-47D8-BE63-0DE3AE9633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7075714"/>
          <a:ext cx="144000" cy="144000"/>
        </a:xfrm>
        <a:prstGeom prst="rect">
          <a:avLst/>
        </a:prstGeom>
      </xdr:spPr>
    </xdr:pic>
    <xdr:clientData/>
  </xdr:twoCellAnchor>
  <xdr:twoCellAnchor editAs="oneCell">
    <xdr:from>
      <xdr:col>1</xdr:col>
      <xdr:colOff>95250</xdr:colOff>
      <xdr:row>20</xdr:row>
      <xdr:rowOff>152400</xdr:rowOff>
    </xdr:from>
    <xdr:to>
      <xdr:col>1</xdr:col>
      <xdr:colOff>239250</xdr:colOff>
      <xdr:row>20</xdr:row>
      <xdr:rowOff>296400</xdr:rowOff>
    </xdr:to>
    <xdr:pic>
      <xdr:nvPicPr>
        <xdr:cNvPr id="6" name="Gráfico 5" descr="Fechar com preenchimento sólido">
          <a:extLst>
            <a:ext uri="{FF2B5EF4-FFF2-40B4-BE49-F238E27FC236}">
              <a16:creationId xmlns:a16="http://schemas.microsoft.com/office/drawing/2014/main" id="{04BD415B-1FF9-46F3-A0F8-9DE40F2CC2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85750" y="2362200"/>
          <a:ext cx="144000" cy="144000"/>
        </a:xfrm>
        <a:prstGeom prst="rect">
          <a:avLst/>
        </a:prstGeom>
      </xdr:spPr>
    </xdr:pic>
    <xdr:clientData/>
  </xdr:twoCellAnchor>
  <xdr:twoCellAnchor editAs="oneCell">
    <xdr:from>
      <xdr:col>8</xdr:col>
      <xdr:colOff>619126</xdr:colOff>
      <xdr:row>0</xdr:row>
      <xdr:rowOff>130969</xdr:rowOff>
    </xdr:from>
    <xdr:to>
      <xdr:col>8</xdr:col>
      <xdr:colOff>1532107</xdr:colOff>
      <xdr:row>2</xdr:row>
      <xdr:rowOff>132847</xdr:rowOff>
    </xdr:to>
    <xdr:pic>
      <xdr:nvPicPr>
        <xdr:cNvPr id="9" name="Imagem 8">
          <a:extLst>
            <a:ext uri="{FF2B5EF4-FFF2-40B4-BE49-F238E27FC236}">
              <a16:creationId xmlns:a16="http://schemas.microsoft.com/office/drawing/2014/main" id="{0D89FA30-39A7-43CC-BEFA-29ED80390747}"/>
            </a:ext>
          </a:extLst>
        </xdr:cNvPr>
        <xdr:cNvPicPr>
          <a:picLocks noChangeAspect="1"/>
        </xdr:cNvPicPr>
      </xdr:nvPicPr>
      <xdr:blipFill>
        <a:blip xmlns:r="http://schemas.openxmlformats.org/officeDocument/2006/relationships" r:embed="rId6"/>
        <a:stretch>
          <a:fillRect/>
        </a:stretch>
      </xdr:blipFill>
      <xdr:spPr>
        <a:xfrm>
          <a:off x="12299157" y="130969"/>
          <a:ext cx="912981" cy="367003"/>
        </a:xfrm>
        <a:prstGeom prst="rect">
          <a:avLst/>
        </a:prstGeom>
      </xdr:spPr>
    </xdr:pic>
    <xdr:clientData/>
  </xdr:twoCellAnchor>
  <xdr:twoCellAnchor editAs="oneCell">
    <xdr:from>
      <xdr:col>1</xdr:col>
      <xdr:colOff>178594</xdr:colOff>
      <xdr:row>7</xdr:row>
      <xdr:rowOff>185737</xdr:rowOff>
    </xdr:from>
    <xdr:to>
      <xdr:col>1</xdr:col>
      <xdr:colOff>322594</xdr:colOff>
      <xdr:row>7</xdr:row>
      <xdr:rowOff>329737</xdr:rowOff>
    </xdr:to>
    <xdr:pic>
      <xdr:nvPicPr>
        <xdr:cNvPr id="10" name="Gráfico 9" descr="Marca de seleção com preenchimento sólido">
          <a:extLst>
            <a:ext uri="{FF2B5EF4-FFF2-40B4-BE49-F238E27FC236}">
              <a16:creationId xmlns:a16="http://schemas.microsoft.com/office/drawing/2014/main" id="{145D332C-8A3B-4F80-ACAE-FD389F7566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9094" y="1138237"/>
          <a:ext cx="144000" cy="144000"/>
        </a:xfrm>
        <a:prstGeom prst="rect">
          <a:avLst/>
        </a:prstGeom>
      </xdr:spPr>
    </xdr:pic>
    <xdr:clientData/>
  </xdr:twoCellAnchor>
  <xdr:twoCellAnchor editAs="oneCell">
    <xdr:from>
      <xdr:col>1</xdr:col>
      <xdr:colOff>164306</xdr:colOff>
      <xdr:row>8</xdr:row>
      <xdr:rowOff>195261</xdr:rowOff>
    </xdr:from>
    <xdr:to>
      <xdr:col>1</xdr:col>
      <xdr:colOff>308306</xdr:colOff>
      <xdr:row>8</xdr:row>
      <xdr:rowOff>339261</xdr:rowOff>
    </xdr:to>
    <xdr:pic>
      <xdr:nvPicPr>
        <xdr:cNvPr id="11" name="Gráfico 10" descr="Marca de seleção com preenchimento sólido">
          <a:extLst>
            <a:ext uri="{FF2B5EF4-FFF2-40B4-BE49-F238E27FC236}">
              <a16:creationId xmlns:a16="http://schemas.microsoft.com/office/drawing/2014/main" id="{D9DCDAF4-BDCD-4AAE-9EED-724F8F2AE6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4806" y="1600199"/>
          <a:ext cx="144000" cy="144000"/>
        </a:xfrm>
        <a:prstGeom prst="rect">
          <a:avLst/>
        </a:prstGeom>
      </xdr:spPr>
    </xdr:pic>
    <xdr:clientData/>
  </xdr:twoCellAnchor>
  <xdr:twoCellAnchor editAs="oneCell">
    <xdr:from>
      <xdr:col>1</xdr:col>
      <xdr:colOff>161925</xdr:colOff>
      <xdr:row>9</xdr:row>
      <xdr:rowOff>204786</xdr:rowOff>
    </xdr:from>
    <xdr:to>
      <xdr:col>1</xdr:col>
      <xdr:colOff>305925</xdr:colOff>
      <xdr:row>9</xdr:row>
      <xdr:rowOff>348786</xdr:rowOff>
    </xdr:to>
    <xdr:pic>
      <xdr:nvPicPr>
        <xdr:cNvPr id="12" name="Gráfico 11" descr="Marca de seleção com preenchimento sólido">
          <a:extLst>
            <a:ext uri="{FF2B5EF4-FFF2-40B4-BE49-F238E27FC236}">
              <a16:creationId xmlns:a16="http://schemas.microsoft.com/office/drawing/2014/main" id="{AA2A866A-FBFC-4A23-A3E0-E73A170F8D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2425" y="2062161"/>
          <a:ext cx="144000" cy="144000"/>
        </a:xfrm>
        <a:prstGeom prst="rect">
          <a:avLst/>
        </a:prstGeom>
      </xdr:spPr>
    </xdr:pic>
    <xdr:clientData/>
  </xdr:twoCellAnchor>
  <xdr:twoCellAnchor editAs="oneCell">
    <xdr:from>
      <xdr:col>1</xdr:col>
      <xdr:colOff>171450</xdr:colOff>
      <xdr:row>10</xdr:row>
      <xdr:rowOff>202404</xdr:rowOff>
    </xdr:from>
    <xdr:to>
      <xdr:col>1</xdr:col>
      <xdr:colOff>315450</xdr:colOff>
      <xdr:row>10</xdr:row>
      <xdr:rowOff>346404</xdr:rowOff>
    </xdr:to>
    <xdr:pic>
      <xdr:nvPicPr>
        <xdr:cNvPr id="13" name="Gráfico 12" descr="Marca de seleção com preenchimento sólido">
          <a:extLst>
            <a:ext uri="{FF2B5EF4-FFF2-40B4-BE49-F238E27FC236}">
              <a16:creationId xmlns:a16="http://schemas.microsoft.com/office/drawing/2014/main" id="{E976051D-FD23-498C-93F5-FF21AFA97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1950" y="2512217"/>
          <a:ext cx="144000" cy="144000"/>
        </a:xfrm>
        <a:prstGeom prst="rect">
          <a:avLst/>
        </a:prstGeom>
      </xdr:spPr>
    </xdr:pic>
    <xdr:clientData/>
  </xdr:twoCellAnchor>
  <xdr:twoCellAnchor editAs="oneCell">
    <xdr:from>
      <xdr:col>1</xdr:col>
      <xdr:colOff>169069</xdr:colOff>
      <xdr:row>11</xdr:row>
      <xdr:rowOff>200023</xdr:rowOff>
    </xdr:from>
    <xdr:to>
      <xdr:col>1</xdr:col>
      <xdr:colOff>313069</xdr:colOff>
      <xdr:row>11</xdr:row>
      <xdr:rowOff>344023</xdr:rowOff>
    </xdr:to>
    <xdr:pic>
      <xdr:nvPicPr>
        <xdr:cNvPr id="14" name="Gráfico 13" descr="Marca de seleção com preenchimento sólido">
          <a:extLst>
            <a:ext uri="{FF2B5EF4-FFF2-40B4-BE49-F238E27FC236}">
              <a16:creationId xmlns:a16="http://schemas.microsoft.com/office/drawing/2014/main" id="{AE1C3BA2-272A-4E64-9290-DF666D71F2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59569" y="2962273"/>
          <a:ext cx="144000" cy="144000"/>
        </a:xfrm>
        <a:prstGeom prst="rect">
          <a:avLst/>
        </a:prstGeom>
      </xdr:spPr>
    </xdr:pic>
    <xdr:clientData/>
  </xdr:twoCellAnchor>
  <xdr:twoCellAnchor editAs="oneCell">
    <xdr:from>
      <xdr:col>1</xdr:col>
      <xdr:colOff>178594</xdr:colOff>
      <xdr:row>12</xdr:row>
      <xdr:rowOff>173829</xdr:rowOff>
    </xdr:from>
    <xdr:to>
      <xdr:col>1</xdr:col>
      <xdr:colOff>322594</xdr:colOff>
      <xdr:row>12</xdr:row>
      <xdr:rowOff>317829</xdr:rowOff>
    </xdr:to>
    <xdr:pic>
      <xdr:nvPicPr>
        <xdr:cNvPr id="15" name="Gráfico 14" descr="Marca de seleção com preenchimento sólido">
          <a:extLst>
            <a:ext uri="{FF2B5EF4-FFF2-40B4-BE49-F238E27FC236}">
              <a16:creationId xmlns:a16="http://schemas.microsoft.com/office/drawing/2014/main" id="{457C9F2F-E3AB-47A1-B639-4826DA3059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9094" y="3388517"/>
          <a:ext cx="144000" cy="144000"/>
        </a:xfrm>
        <a:prstGeom prst="rect">
          <a:avLst/>
        </a:prstGeom>
      </xdr:spPr>
    </xdr:pic>
    <xdr:clientData/>
  </xdr:twoCellAnchor>
  <xdr:twoCellAnchor editAs="oneCell">
    <xdr:from>
      <xdr:col>1</xdr:col>
      <xdr:colOff>176213</xdr:colOff>
      <xdr:row>13</xdr:row>
      <xdr:rowOff>183354</xdr:rowOff>
    </xdr:from>
    <xdr:to>
      <xdr:col>1</xdr:col>
      <xdr:colOff>320213</xdr:colOff>
      <xdr:row>13</xdr:row>
      <xdr:rowOff>327354</xdr:rowOff>
    </xdr:to>
    <xdr:pic>
      <xdr:nvPicPr>
        <xdr:cNvPr id="16" name="Gráfico 15" descr="Marca de seleção com preenchimento sólido">
          <a:extLst>
            <a:ext uri="{FF2B5EF4-FFF2-40B4-BE49-F238E27FC236}">
              <a16:creationId xmlns:a16="http://schemas.microsoft.com/office/drawing/2014/main" id="{5FD7D8B9-4B32-4223-B80C-01EE6382A9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66713" y="3850479"/>
          <a:ext cx="144000" cy="144000"/>
        </a:xfrm>
        <a:prstGeom prst="rect">
          <a:avLst/>
        </a:prstGeom>
      </xdr:spPr>
    </xdr:pic>
    <xdr:clientData/>
  </xdr:twoCellAnchor>
  <xdr:twoCellAnchor editAs="oneCell">
    <xdr:from>
      <xdr:col>1</xdr:col>
      <xdr:colOff>138113</xdr:colOff>
      <xdr:row>14</xdr:row>
      <xdr:rowOff>157159</xdr:rowOff>
    </xdr:from>
    <xdr:to>
      <xdr:col>1</xdr:col>
      <xdr:colOff>282113</xdr:colOff>
      <xdr:row>14</xdr:row>
      <xdr:rowOff>301159</xdr:rowOff>
    </xdr:to>
    <xdr:pic>
      <xdr:nvPicPr>
        <xdr:cNvPr id="17" name="Gráfico 16" descr="Marca de seleção com preenchimento sólido">
          <a:extLst>
            <a:ext uri="{FF2B5EF4-FFF2-40B4-BE49-F238E27FC236}">
              <a16:creationId xmlns:a16="http://schemas.microsoft.com/office/drawing/2014/main" id="{361141C2-0792-429A-914D-E5F7B6241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8613" y="4276722"/>
          <a:ext cx="144000" cy="144000"/>
        </a:xfrm>
        <a:prstGeom prst="rect">
          <a:avLst/>
        </a:prstGeom>
      </xdr:spPr>
    </xdr:pic>
    <xdr:clientData/>
  </xdr:twoCellAnchor>
  <xdr:twoCellAnchor>
    <xdr:from>
      <xdr:col>8</xdr:col>
      <xdr:colOff>166686</xdr:colOff>
      <xdr:row>2</xdr:row>
      <xdr:rowOff>202406</xdr:rowOff>
    </xdr:from>
    <xdr:to>
      <xdr:col>8</xdr:col>
      <xdr:colOff>974610</xdr:colOff>
      <xdr:row>3</xdr:row>
      <xdr:rowOff>261937</xdr:rowOff>
    </xdr:to>
    <xdr:sp macro="" textlink="">
      <xdr:nvSpPr>
        <xdr:cNvPr id="21" name="CaixaDeTexto 20">
          <a:extLst>
            <a:ext uri="{FF2B5EF4-FFF2-40B4-BE49-F238E27FC236}">
              <a16:creationId xmlns:a16="http://schemas.microsoft.com/office/drawing/2014/main" id="{BC62FFDD-EA60-4B80-95C4-7DB765B92AEE}"/>
            </a:ext>
          </a:extLst>
        </xdr:cNvPr>
        <xdr:cNvSpPr txBox="1"/>
      </xdr:nvSpPr>
      <xdr:spPr>
        <a:xfrm>
          <a:off x="12984615" y="556192"/>
          <a:ext cx="807924" cy="2908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u="sng">
              <a:solidFill>
                <a:srgbClr val="FFC000"/>
              </a:solidFill>
              <a:latin typeface="Trebuchet MS" panose="020B0603020202020204" pitchFamily="34" charset="0"/>
            </a:rPr>
            <a:t>Forecast</a:t>
          </a:r>
        </a:p>
      </xdr:txBody>
    </xdr:sp>
    <xdr:clientData/>
  </xdr:twoCellAnchor>
  <xdr:twoCellAnchor editAs="oneCell">
    <xdr:from>
      <xdr:col>0</xdr:col>
      <xdr:colOff>142875</xdr:colOff>
      <xdr:row>0</xdr:row>
      <xdr:rowOff>130968</xdr:rowOff>
    </xdr:from>
    <xdr:to>
      <xdr:col>2</xdr:col>
      <xdr:colOff>625430</xdr:colOff>
      <xdr:row>2</xdr:row>
      <xdr:rowOff>178027</xdr:rowOff>
    </xdr:to>
    <xdr:pic>
      <xdr:nvPicPr>
        <xdr:cNvPr id="24" name="Imagem 23">
          <a:hlinkClick xmlns:r="http://schemas.openxmlformats.org/officeDocument/2006/relationships" r:id="rId7"/>
          <a:extLst>
            <a:ext uri="{FF2B5EF4-FFF2-40B4-BE49-F238E27FC236}">
              <a16:creationId xmlns:a16="http://schemas.microsoft.com/office/drawing/2014/main" id="{27B6C40E-6E96-43F4-834E-961525AB9E79}"/>
            </a:ext>
          </a:extLst>
        </xdr:cNvPr>
        <xdr:cNvPicPr>
          <a:picLocks noChangeAspect="1"/>
        </xdr:cNvPicPr>
      </xdr:nvPicPr>
      <xdr:blipFill>
        <a:blip xmlns:r="http://schemas.openxmlformats.org/officeDocument/2006/relationships" r:embed="rId8"/>
        <a:stretch>
          <a:fillRect/>
        </a:stretch>
      </xdr:blipFill>
      <xdr:spPr>
        <a:xfrm>
          <a:off x="142875" y="130968"/>
          <a:ext cx="1232649" cy="408215"/>
        </a:xfrm>
        <a:prstGeom prst="rect">
          <a:avLst/>
        </a:prstGeom>
      </xdr:spPr>
    </xdr:pic>
    <xdr:clientData/>
  </xdr:twoCellAnchor>
  <xdr:twoCellAnchor editAs="oneCell">
    <xdr:from>
      <xdr:col>1</xdr:col>
      <xdr:colOff>84364</xdr:colOff>
      <xdr:row>19</xdr:row>
      <xdr:rowOff>179614</xdr:rowOff>
    </xdr:from>
    <xdr:to>
      <xdr:col>1</xdr:col>
      <xdr:colOff>228364</xdr:colOff>
      <xdr:row>19</xdr:row>
      <xdr:rowOff>323614</xdr:rowOff>
    </xdr:to>
    <xdr:pic>
      <xdr:nvPicPr>
        <xdr:cNvPr id="23" name="Gráfico 22" descr="Marca de seleção com preenchimento sólido">
          <a:extLst>
            <a:ext uri="{FF2B5EF4-FFF2-40B4-BE49-F238E27FC236}">
              <a16:creationId xmlns:a16="http://schemas.microsoft.com/office/drawing/2014/main" id="{45EC4A9C-608B-4390-B2CA-D745BEFE2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4864" y="7527471"/>
          <a:ext cx="144000" cy="144000"/>
        </a:xfrm>
        <a:prstGeom prst="rect">
          <a:avLst/>
        </a:prstGeom>
      </xdr:spPr>
    </xdr:pic>
    <xdr:clientData/>
  </xdr:twoCellAnchor>
  <xdr:twoCellAnchor>
    <xdr:from>
      <xdr:col>2</xdr:col>
      <xdr:colOff>959303</xdr:colOff>
      <xdr:row>0</xdr:row>
      <xdr:rowOff>151380</xdr:rowOff>
    </xdr:from>
    <xdr:to>
      <xdr:col>3</xdr:col>
      <xdr:colOff>2012156</xdr:colOff>
      <xdr:row>2</xdr:row>
      <xdr:rowOff>130968</xdr:rowOff>
    </xdr:to>
    <xdr:sp macro="" textlink="">
      <xdr:nvSpPr>
        <xdr:cNvPr id="26" name="CaixaDeTexto 25">
          <a:extLst>
            <a:ext uri="{FF2B5EF4-FFF2-40B4-BE49-F238E27FC236}">
              <a16:creationId xmlns:a16="http://schemas.microsoft.com/office/drawing/2014/main" id="{F36EAEC8-4938-4B3E-ABB2-EE95E785A031}"/>
            </a:ext>
          </a:extLst>
        </xdr:cNvPr>
        <xdr:cNvSpPr txBox="1"/>
      </xdr:nvSpPr>
      <xdr:spPr>
        <a:xfrm>
          <a:off x="1709397" y="151380"/>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Accrual</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790235</xdr:colOff>
      <xdr:row>0</xdr:row>
      <xdr:rowOff>137092</xdr:rowOff>
    </xdr:from>
    <xdr:to>
      <xdr:col>7</xdr:col>
      <xdr:colOff>842963</xdr:colOff>
      <xdr:row>2</xdr:row>
      <xdr:rowOff>116680</xdr:rowOff>
    </xdr:to>
    <xdr:sp macro="" textlink="">
      <xdr:nvSpPr>
        <xdr:cNvPr id="27" name="CaixaDeTexto 26">
          <a:extLst>
            <a:ext uri="{FF2B5EF4-FFF2-40B4-BE49-F238E27FC236}">
              <a16:creationId xmlns:a16="http://schemas.microsoft.com/office/drawing/2014/main" id="{B09296DB-4406-4C91-8CCA-1B6964B2CBBD}"/>
            </a:ext>
          </a:extLst>
        </xdr:cNvPr>
        <xdr:cNvSpPr txBox="1"/>
      </xdr:nvSpPr>
      <xdr:spPr>
        <a:xfrm>
          <a:off x="10029485" y="137092"/>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Competence</a:t>
          </a:r>
          <a:r>
            <a:rPr lang="pt-BR" sz="1200" b="1" u="none" baseline="0">
              <a:solidFill>
                <a:schemeClr val="bg1">
                  <a:lumMod val="50000"/>
                </a:schemeClr>
              </a:solidFill>
              <a:latin typeface="Trebuchet MS" panose="020B0603020202020204" pitchFamily="34" charset="0"/>
            </a:rPr>
            <a:t> Regime</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718797</xdr:colOff>
      <xdr:row>0</xdr:row>
      <xdr:rowOff>113280</xdr:rowOff>
    </xdr:from>
    <xdr:to>
      <xdr:col>7</xdr:col>
      <xdr:colOff>771525</xdr:colOff>
      <xdr:row>2</xdr:row>
      <xdr:rowOff>92868</xdr:rowOff>
    </xdr:to>
    <xdr:sp macro="" textlink="">
      <xdr:nvSpPr>
        <xdr:cNvPr id="28" name="CaixaDeTexto 27">
          <a:extLst>
            <a:ext uri="{FF2B5EF4-FFF2-40B4-BE49-F238E27FC236}">
              <a16:creationId xmlns:a16="http://schemas.microsoft.com/office/drawing/2014/main" id="{E548B6F0-A285-40B3-BE24-A601D881DB35}"/>
            </a:ext>
          </a:extLst>
        </xdr:cNvPr>
        <xdr:cNvSpPr txBox="1"/>
      </xdr:nvSpPr>
      <xdr:spPr>
        <a:xfrm>
          <a:off x="9958047" y="113280"/>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Cash</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8</xdr:col>
      <xdr:colOff>1037885</xdr:colOff>
      <xdr:row>3</xdr:row>
      <xdr:rowOff>468086</xdr:rowOff>
    </xdr:from>
    <xdr:to>
      <xdr:col>9</xdr:col>
      <xdr:colOff>35719</xdr:colOff>
      <xdr:row>4</xdr:row>
      <xdr:rowOff>250030</xdr:rowOff>
    </xdr:to>
    <xdr:sp macro="" textlink="">
      <xdr:nvSpPr>
        <xdr:cNvPr id="29" name="CaixaDeTexto 28">
          <a:extLst>
            <a:ext uri="{FF2B5EF4-FFF2-40B4-BE49-F238E27FC236}">
              <a16:creationId xmlns:a16="http://schemas.microsoft.com/office/drawing/2014/main" id="{C4404BCF-EFB3-4563-942C-7E52D07BFE17}"/>
            </a:ext>
          </a:extLst>
        </xdr:cNvPr>
        <xdr:cNvSpPr txBox="1"/>
      </xdr:nvSpPr>
      <xdr:spPr>
        <a:xfrm>
          <a:off x="13860916" y="1051492"/>
          <a:ext cx="819491" cy="2701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3369129</xdr:colOff>
      <xdr:row>4</xdr:row>
      <xdr:rowOff>1360</xdr:rowOff>
    </xdr:from>
    <xdr:to>
      <xdr:col>3</xdr:col>
      <xdr:colOff>4012407</xdr:colOff>
      <xdr:row>4</xdr:row>
      <xdr:rowOff>261937</xdr:rowOff>
    </xdr:to>
    <xdr:sp macro="" textlink="">
      <xdr:nvSpPr>
        <xdr:cNvPr id="30" name="CaixaDeTexto 29">
          <a:extLst>
            <a:ext uri="{FF2B5EF4-FFF2-40B4-BE49-F238E27FC236}">
              <a16:creationId xmlns:a16="http://schemas.microsoft.com/office/drawing/2014/main" id="{9CF9D9C9-2936-42A4-B0D5-9819C0D347F4}"/>
            </a:ext>
          </a:extLst>
        </xdr:cNvPr>
        <xdr:cNvSpPr txBox="1"/>
      </xdr:nvSpPr>
      <xdr:spPr>
        <a:xfrm>
          <a:off x="5297942" y="1072923"/>
          <a:ext cx="643278" cy="260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3081627</xdr:colOff>
      <xdr:row>0</xdr:row>
      <xdr:rowOff>70304</xdr:rowOff>
    </xdr:from>
    <xdr:to>
      <xdr:col>1</xdr:col>
      <xdr:colOff>3994608</xdr:colOff>
      <xdr:row>0</xdr:row>
      <xdr:rowOff>437307</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176877" y="70304"/>
          <a:ext cx="912981" cy="367003"/>
        </a:xfrm>
        <a:prstGeom prst="rect">
          <a:avLst/>
        </a:prstGeom>
      </xdr:spPr>
    </xdr:pic>
    <xdr:clientData/>
  </xdr:twoCellAnchor>
  <xdr:twoCellAnchor editAs="oneCell">
    <xdr:from>
      <xdr:col>0</xdr:col>
      <xdr:colOff>68036</xdr:colOff>
      <xdr:row>0</xdr:row>
      <xdr:rowOff>27214</xdr:rowOff>
    </xdr:from>
    <xdr:to>
      <xdr:col>1</xdr:col>
      <xdr:colOff>1207816</xdr:colOff>
      <xdr:row>0</xdr:row>
      <xdr:rowOff>442573</xdr:rowOff>
    </xdr:to>
    <xdr:pic>
      <xdr:nvPicPr>
        <xdr:cNvPr id="4" name="Imagem 3">
          <a:hlinkClick xmlns:r="http://schemas.openxmlformats.org/officeDocument/2006/relationships" r:id="rId2"/>
          <a:extLst>
            <a:ext uri="{FF2B5EF4-FFF2-40B4-BE49-F238E27FC236}">
              <a16:creationId xmlns:a16="http://schemas.microsoft.com/office/drawing/2014/main" id="{FBF03388-2EFA-4528-97CF-106D19341761}"/>
            </a:ext>
          </a:extLst>
        </xdr:cNvPr>
        <xdr:cNvPicPr>
          <a:picLocks noChangeAspect="1"/>
        </xdr:cNvPicPr>
      </xdr:nvPicPr>
      <xdr:blipFill>
        <a:blip xmlns:r="http://schemas.openxmlformats.org/officeDocument/2006/relationships" r:embed="rId3"/>
        <a:stretch>
          <a:fillRect/>
        </a:stretch>
      </xdr:blipFill>
      <xdr:spPr>
        <a:xfrm>
          <a:off x="68036" y="27214"/>
          <a:ext cx="1235030" cy="4153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161131</xdr:colOff>
      <xdr:row>0</xdr:row>
      <xdr:rowOff>150812</xdr:rowOff>
    </xdr:from>
    <xdr:to>
      <xdr:col>13</xdr:col>
      <xdr:colOff>464512</xdr:colOff>
      <xdr:row>2</xdr:row>
      <xdr:rowOff>1877</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1"/>
        <a:stretch>
          <a:fillRect/>
        </a:stretch>
      </xdr:blipFill>
      <xdr:spPr>
        <a:xfrm>
          <a:off x="7447756" y="150812"/>
          <a:ext cx="910600" cy="367003"/>
        </a:xfrm>
        <a:prstGeom prst="rect">
          <a:avLst/>
        </a:prstGeom>
      </xdr:spPr>
    </xdr:pic>
    <xdr:clientData/>
  </xdr:twoCellAnchor>
  <xdr:twoCellAnchor editAs="oneCell">
    <xdr:from>
      <xdr:col>1</xdr:col>
      <xdr:colOff>523875</xdr:colOff>
      <xdr:row>0</xdr:row>
      <xdr:rowOff>154782</xdr:rowOff>
    </xdr:from>
    <xdr:to>
      <xdr:col>3</xdr:col>
      <xdr:colOff>542087</xdr:colOff>
      <xdr:row>2</xdr:row>
      <xdr:rowOff>39122</xdr:rowOff>
    </xdr:to>
    <xdr:pic>
      <xdr:nvPicPr>
        <xdr:cNvPr id="4" name="Imagem 23">
          <a:hlinkClick xmlns:r="http://schemas.openxmlformats.org/officeDocument/2006/relationships" r:id="rId2"/>
          <a:extLst>
            <a:ext uri="{FF2B5EF4-FFF2-40B4-BE49-F238E27FC236}">
              <a16:creationId xmlns:a16="http://schemas.microsoft.com/office/drawing/2014/main" id="{F3D86110-1589-49EA-AF30-EE7288F96392}"/>
            </a:ext>
          </a:extLst>
        </xdr:cNvPr>
        <xdr:cNvPicPr>
          <a:picLocks noChangeAspect="1"/>
        </xdr:cNvPicPr>
      </xdr:nvPicPr>
      <xdr:blipFill>
        <a:blip xmlns:r="http://schemas.openxmlformats.org/officeDocument/2006/relationships" r:embed="rId3"/>
        <a:stretch>
          <a:fillRect/>
        </a:stretch>
      </xdr:blipFill>
      <xdr:spPr>
        <a:xfrm>
          <a:off x="1131094" y="154782"/>
          <a:ext cx="1232649" cy="40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3504811</xdr:colOff>
      <xdr:row>0</xdr:row>
      <xdr:rowOff>83908</xdr:rowOff>
    </xdr:from>
    <xdr:to>
      <xdr:col>1</xdr:col>
      <xdr:colOff>4417792</xdr:colOff>
      <xdr:row>0</xdr:row>
      <xdr:rowOff>450911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640882" y="83908"/>
          <a:ext cx="912981" cy="367003"/>
        </a:xfrm>
        <a:prstGeom prst="rect">
          <a:avLst/>
        </a:prstGeom>
      </xdr:spPr>
    </xdr:pic>
    <xdr:clientData/>
  </xdr:twoCellAnchor>
  <xdr:twoCellAnchor editAs="oneCell">
    <xdr:from>
      <xdr:col>0</xdr:col>
      <xdr:colOff>68035</xdr:colOff>
      <xdr:row>0</xdr:row>
      <xdr:rowOff>68036</xdr:rowOff>
    </xdr:from>
    <xdr:to>
      <xdr:col>1</xdr:col>
      <xdr:colOff>1164613</xdr:colOff>
      <xdr:row>0</xdr:row>
      <xdr:rowOff>476251</xdr:rowOff>
    </xdr:to>
    <xdr:pic>
      <xdr:nvPicPr>
        <xdr:cNvPr id="6" name="Imagem 5">
          <a:hlinkClick xmlns:r="http://schemas.openxmlformats.org/officeDocument/2006/relationships" r:id="rId2"/>
          <a:extLst>
            <a:ext uri="{FF2B5EF4-FFF2-40B4-BE49-F238E27FC236}">
              <a16:creationId xmlns:a16="http://schemas.microsoft.com/office/drawing/2014/main" id="{E32D34D1-5492-45B8-ADFA-5B9D83A7FE8B}"/>
            </a:ext>
          </a:extLst>
        </xdr:cNvPr>
        <xdr:cNvPicPr>
          <a:picLocks noChangeAspect="1"/>
        </xdr:cNvPicPr>
      </xdr:nvPicPr>
      <xdr:blipFill>
        <a:blip xmlns:r="http://schemas.openxmlformats.org/officeDocument/2006/relationships" r:embed="rId3"/>
        <a:stretch>
          <a:fillRect/>
        </a:stretch>
      </xdr:blipFill>
      <xdr:spPr>
        <a:xfrm>
          <a:off x="68035" y="68036"/>
          <a:ext cx="1232649" cy="408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3736133</xdr:colOff>
      <xdr:row>0</xdr:row>
      <xdr:rowOff>97515</xdr:rowOff>
    </xdr:from>
    <xdr:to>
      <xdr:col>1</xdr:col>
      <xdr:colOff>4649114</xdr:colOff>
      <xdr:row>0</xdr:row>
      <xdr:rowOff>464518</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3872204" y="97515"/>
          <a:ext cx="912981" cy="367003"/>
        </a:xfrm>
        <a:prstGeom prst="rect">
          <a:avLst/>
        </a:prstGeom>
      </xdr:spPr>
    </xdr:pic>
    <xdr:clientData/>
  </xdr:twoCellAnchor>
  <xdr:twoCellAnchor editAs="oneCell">
    <xdr:from>
      <xdr:col>0</xdr:col>
      <xdr:colOff>108857</xdr:colOff>
      <xdr:row>0</xdr:row>
      <xdr:rowOff>54428</xdr:rowOff>
    </xdr:from>
    <xdr:to>
      <xdr:col>1</xdr:col>
      <xdr:colOff>1205435</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964A7DE0-2DEC-476C-8BFC-0CB231E415A8}"/>
            </a:ext>
          </a:extLst>
        </xdr:cNvPr>
        <xdr:cNvPicPr>
          <a:picLocks noChangeAspect="1"/>
        </xdr:cNvPicPr>
      </xdr:nvPicPr>
      <xdr:blipFill>
        <a:blip xmlns:r="http://schemas.openxmlformats.org/officeDocument/2006/relationships" r:embed="rId3"/>
        <a:stretch>
          <a:fillRect/>
        </a:stretch>
      </xdr:blipFill>
      <xdr:spPr>
        <a:xfrm>
          <a:off x="108857" y="54428"/>
          <a:ext cx="1232649" cy="408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3600061</xdr:colOff>
      <xdr:row>0</xdr:row>
      <xdr:rowOff>83908</xdr:rowOff>
    </xdr:from>
    <xdr:to>
      <xdr:col>1</xdr:col>
      <xdr:colOff>4513042</xdr:colOff>
      <xdr:row>0</xdr:row>
      <xdr:rowOff>450911</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736132" y="83908"/>
          <a:ext cx="912981" cy="367003"/>
        </a:xfrm>
        <a:prstGeom prst="rect">
          <a:avLst/>
        </a:prstGeom>
      </xdr:spPr>
    </xdr:pic>
    <xdr:clientData/>
  </xdr:twoCellAnchor>
  <xdr:twoCellAnchor editAs="oneCell">
    <xdr:from>
      <xdr:col>0</xdr:col>
      <xdr:colOff>81643</xdr:colOff>
      <xdr:row>0</xdr:row>
      <xdr:rowOff>68037</xdr:rowOff>
    </xdr:from>
    <xdr:to>
      <xdr:col>1</xdr:col>
      <xdr:colOff>1178221</xdr:colOff>
      <xdr:row>0</xdr:row>
      <xdr:rowOff>476252</xdr:rowOff>
    </xdr:to>
    <xdr:pic>
      <xdr:nvPicPr>
        <xdr:cNvPr id="4" name="Imagem 3">
          <a:hlinkClick xmlns:r="http://schemas.openxmlformats.org/officeDocument/2006/relationships" r:id="rId2"/>
          <a:extLst>
            <a:ext uri="{FF2B5EF4-FFF2-40B4-BE49-F238E27FC236}">
              <a16:creationId xmlns:a16="http://schemas.microsoft.com/office/drawing/2014/main" id="{77DB426F-9CE5-414A-9350-18C76334BFF2}"/>
            </a:ext>
          </a:extLst>
        </xdr:cNvPr>
        <xdr:cNvPicPr>
          <a:picLocks noChangeAspect="1"/>
        </xdr:cNvPicPr>
      </xdr:nvPicPr>
      <xdr:blipFill>
        <a:blip xmlns:r="http://schemas.openxmlformats.org/officeDocument/2006/relationships" r:embed="rId3"/>
        <a:stretch>
          <a:fillRect/>
        </a:stretch>
      </xdr:blipFill>
      <xdr:spPr>
        <a:xfrm>
          <a:off x="81643" y="68037"/>
          <a:ext cx="1232649" cy="408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4225989</xdr:colOff>
      <xdr:row>0</xdr:row>
      <xdr:rowOff>97515</xdr:rowOff>
    </xdr:from>
    <xdr:to>
      <xdr:col>1</xdr:col>
      <xdr:colOff>5138970</xdr:colOff>
      <xdr:row>0</xdr:row>
      <xdr:rowOff>464518</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4362060" y="97515"/>
          <a:ext cx="912981" cy="367003"/>
        </a:xfrm>
        <a:prstGeom prst="rect">
          <a:avLst/>
        </a:prstGeom>
      </xdr:spPr>
    </xdr:pic>
    <xdr:clientData/>
  </xdr:twoCellAnchor>
  <xdr:twoCellAnchor editAs="oneCell">
    <xdr:from>
      <xdr:col>0</xdr:col>
      <xdr:colOff>40821</xdr:colOff>
      <xdr:row>0</xdr:row>
      <xdr:rowOff>54429</xdr:rowOff>
    </xdr:from>
    <xdr:to>
      <xdr:col>1</xdr:col>
      <xdr:colOff>1137399</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E9F5CB91-9F86-4035-95BF-AF521B9190C5}"/>
            </a:ext>
          </a:extLst>
        </xdr:cNvPr>
        <xdr:cNvPicPr>
          <a:picLocks noChangeAspect="1"/>
        </xdr:cNvPicPr>
      </xdr:nvPicPr>
      <xdr:blipFill>
        <a:blip xmlns:r="http://schemas.openxmlformats.org/officeDocument/2006/relationships" r:embed="rId3"/>
        <a:stretch>
          <a:fillRect/>
        </a:stretch>
      </xdr:blipFill>
      <xdr:spPr>
        <a:xfrm>
          <a:off x="40821" y="54429"/>
          <a:ext cx="1232649" cy="40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3572847</xdr:colOff>
      <xdr:row>0</xdr:row>
      <xdr:rowOff>83908</xdr:rowOff>
    </xdr:from>
    <xdr:to>
      <xdr:col>1</xdr:col>
      <xdr:colOff>4485828</xdr:colOff>
      <xdr:row>0</xdr:row>
      <xdr:rowOff>450911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681704" y="83908"/>
          <a:ext cx="912981" cy="367003"/>
        </a:xfrm>
        <a:prstGeom prst="rect">
          <a:avLst/>
        </a:prstGeom>
      </xdr:spPr>
    </xdr:pic>
    <xdr:clientData/>
  </xdr:twoCellAnchor>
  <xdr:twoCellAnchor editAs="oneCell">
    <xdr:from>
      <xdr:col>0</xdr:col>
      <xdr:colOff>95250</xdr:colOff>
      <xdr:row>0</xdr:row>
      <xdr:rowOff>40822</xdr:rowOff>
    </xdr:from>
    <xdr:to>
      <xdr:col>1</xdr:col>
      <xdr:colOff>1219042</xdr:colOff>
      <xdr:row>0</xdr:row>
      <xdr:rowOff>449037</xdr:rowOff>
    </xdr:to>
    <xdr:pic>
      <xdr:nvPicPr>
        <xdr:cNvPr id="4" name="Imagem 3">
          <a:hlinkClick xmlns:r="http://schemas.openxmlformats.org/officeDocument/2006/relationships" r:id="rId2"/>
          <a:extLst>
            <a:ext uri="{FF2B5EF4-FFF2-40B4-BE49-F238E27FC236}">
              <a16:creationId xmlns:a16="http://schemas.microsoft.com/office/drawing/2014/main" id="{45001B00-0306-4C0E-9AC3-2C8A90E52FD0}"/>
            </a:ext>
          </a:extLst>
        </xdr:cNvPr>
        <xdr:cNvPicPr>
          <a:picLocks noChangeAspect="1"/>
        </xdr:cNvPicPr>
      </xdr:nvPicPr>
      <xdr:blipFill>
        <a:blip xmlns:r="http://schemas.openxmlformats.org/officeDocument/2006/relationships" r:embed="rId3"/>
        <a:stretch>
          <a:fillRect/>
        </a:stretch>
      </xdr:blipFill>
      <xdr:spPr>
        <a:xfrm>
          <a:off x="95250" y="40822"/>
          <a:ext cx="1232649" cy="408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4076311</xdr:colOff>
      <xdr:row>0</xdr:row>
      <xdr:rowOff>70301</xdr:rowOff>
    </xdr:from>
    <xdr:to>
      <xdr:col>1</xdr:col>
      <xdr:colOff>4989292</xdr:colOff>
      <xdr:row>0</xdr:row>
      <xdr:rowOff>437304</xdr:rowOff>
    </xdr:to>
    <xdr:pic>
      <xdr:nvPicPr>
        <xdr:cNvPr id="2" name="Imagem 1">
          <a:extLst>
            <a:ext uri="{FF2B5EF4-FFF2-40B4-BE49-F238E27FC236}">
              <a16:creationId xmlns:a16="http://schemas.microsoft.com/office/drawing/2014/main" id="{A6858B48-315D-4A0A-B211-DF7679A60643}"/>
            </a:ext>
          </a:extLst>
        </xdr:cNvPr>
        <xdr:cNvPicPr>
          <a:picLocks noChangeAspect="1"/>
        </xdr:cNvPicPr>
      </xdr:nvPicPr>
      <xdr:blipFill>
        <a:blip xmlns:r="http://schemas.openxmlformats.org/officeDocument/2006/relationships" r:embed="rId1"/>
        <a:stretch>
          <a:fillRect/>
        </a:stretch>
      </xdr:blipFill>
      <xdr:spPr>
        <a:xfrm>
          <a:off x="4216011" y="70301"/>
          <a:ext cx="912981" cy="367003"/>
        </a:xfrm>
        <a:prstGeom prst="rect">
          <a:avLst/>
        </a:prstGeom>
      </xdr:spPr>
    </xdr:pic>
    <xdr:clientData/>
  </xdr:twoCellAnchor>
  <xdr:twoCellAnchor editAs="oneCell">
    <xdr:from>
      <xdr:col>0</xdr:col>
      <xdr:colOff>72572</xdr:colOff>
      <xdr:row>0</xdr:row>
      <xdr:rowOff>45358</xdr:rowOff>
    </xdr:from>
    <xdr:to>
      <xdr:col>1</xdr:col>
      <xdr:colOff>1173686</xdr:colOff>
      <xdr:row>0</xdr:row>
      <xdr:rowOff>453573</xdr:rowOff>
    </xdr:to>
    <xdr:pic>
      <xdr:nvPicPr>
        <xdr:cNvPr id="5" name="Imagem 4">
          <a:hlinkClick xmlns:r="http://schemas.openxmlformats.org/officeDocument/2006/relationships" r:id="rId2"/>
          <a:extLst>
            <a:ext uri="{FF2B5EF4-FFF2-40B4-BE49-F238E27FC236}">
              <a16:creationId xmlns:a16="http://schemas.microsoft.com/office/drawing/2014/main" id="{95877912-5E9C-4E3A-8493-4173BF20CEA9}"/>
            </a:ext>
          </a:extLst>
        </xdr:cNvPr>
        <xdr:cNvPicPr>
          <a:picLocks noChangeAspect="1"/>
        </xdr:cNvPicPr>
      </xdr:nvPicPr>
      <xdr:blipFill>
        <a:blip xmlns:r="http://schemas.openxmlformats.org/officeDocument/2006/relationships" r:embed="rId3"/>
        <a:stretch>
          <a:fillRect/>
        </a:stretch>
      </xdr:blipFill>
      <xdr:spPr>
        <a:xfrm>
          <a:off x="72572" y="45358"/>
          <a:ext cx="1237185" cy="408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4076311</xdr:colOff>
      <xdr:row>0</xdr:row>
      <xdr:rowOff>70301</xdr:rowOff>
    </xdr:from>
    <xdr:to>
      <xdr:col>1</xdr:col>
      <xdr:colOff>4989292</xdr:colOff>
      <xdr:row>0</xdr:row>
      <xdr:rowOff>437304</xdr:rowOff>
    </xdr:to>
    <xdr:pic>
      <xdr:nvPicPr>
        <xdr:cNvPr id="2" name="Imagem 1">
          <a:extLst>
            <a:ext uri="{FF2B5EF4-FFF2-40B4-BE49-F238E27FC236}">
              <a16:creationId xmlns:a16="http://schemas.microsoft.com/office/drawing/2014/main" id="{C04E8101-9E32-4091-8D1B-37D26D5195FD}"/>
            </a:ext>
          </a:extLst>
        </xdr:cNvPr>
        <xdr:cNvPicPr>
          <a:picLocks noChangeAspect="1"/>
        </xdr:cNvPicPr>
      </xdr:nvPicPr>
      <xdr:blipFill>
        <a:blip xmlns:r="http://schemas.openxmlformats.org/officeDocument/2006/relationships" r:embed="rId1"/>
        <a:stretch>
          <a:fillRect/>
        </a:stretch>
      </xdr:blipFill>
      <xdr:spPr>
        <a:xfrm>
          <a:off x="4216011" y="70301"/>
          <a:ext cx="912981" cy="367003"/>
        </a:xfrm>
        <a:prstGeom prst="rect">
          <a:avLst/>
        </a:prstGeom>
      </xdr:spPr>
    </xdr:pic>
    <xdr:clientData/>
  </xdr:twoCellAnchor>
  <xdr:twoCellAnchor editAs="oneCell">
    <xdr:from>
      <xdr:col>0</xdr:col>
      <xdr:colOff>99785</xdr:colOff>
      <xdr:row>0</xdr:row>
      <xdr:rowOff>18143</xdr:rowOff>
    </xdr:from>
    <xdr:to>
      <xdr:col>1</xdr:col>
      <xdr:colOff>1200899</xdr:colOff>
      <xdr:row>0</xdr:row>
      <xdr:rowOff>426358</xdr:rowOff>
    </xdr:to>
    <xdr:pic>
      <xdr:nvPicPr>
        <xdr:cNvPr id="3" name="Imagem 2">
          <a:hlinkClick xmlns:r="http://schemas.openxmlformats.org/officeDocument/2006/relationships" r:id="rId2"/>
          <a:extLst>
            <a:ext uri="{FF2B5EF4-FFF2-40B4-BE49-F238E27FC236}">
              <a16:creationId xmlns:a16="http://schemas.microsoft.com/office/drawing/2014/main" id="{CE6F8035-BA7F-4105-BBEA-79862FB681F6}"/>
            </a:ext>
          </a:extLst>
        </xdr:cNvPr>
        <xdr:cNvPicPr>
          <a:picLocks noChangeAspect="1"/>
        </xdr:cNvPicPr>
      </xdr:nvPicPr>
      <xdr:blipFill>
        <a:blip xmlns:r="http://schemas.openxmlformats.org/officeDocument/2006/relationships" r:embed="rId3"/>
        <a:stretch>
          <a:fillRect/>
        </a:stretch>
      </xdr:blipFill>
      <xdr:spPr>
        <a:xfrm>
          <a:off x="99785" y="18143"/>
          <a:ext cx="1240814" cy="408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3163269</xdr:colOff>
      <xdr:row>0</xdr:row>
      <xdr:rowOff>70303</xdr:rowOff>
    </xdr:from>
    <xdr:to>
      <xdr:col>1</xdr:col>
      <xdr:colOff>4076250</xdr:colOff>
      <xdr:row>0</xdr:row>
      <xdr:rowOff>437306</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258519" y="70303"/>
          <a:ext cx="912981" cy="367003"/>
        </a:xfrm>
        <a:prstGeom prst="rect">
          <a:avLst/>
        </a:prstGeom>
      </xdr:spPr>
    </xdr:pic>
    <xdr:clientData/>
  </xdr:twoCellAnchor>
  <xdr:twoCellAnchor editAs="oneCell">
    <xdr:from>
      <xdr:col>0</xdr:col>
      <xdr:colOff>81642</xdr:colOff>
      <xdr:row>0</xdr:row>
      <xdr:rowOff>54429</xdr:rowOff>
    </xdr:from>
    <xdr:to>
      <xdr:col>1</xdr:col>
      <xdr:colOff>1219041</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69F58946-2B81-465A-80A2-DEA6F0A9E17E}"/>
            </a:ext>
          </a:extLst>
        </xdr:cNvPr>
        <xdr:cNvPicPr>
          <a:picLocks noChangeAspect="1"/>
        </xdr:cNvPicPr>
      </xdr:nvPicPr>
      <xdr:blipFill>
        <a:blip xmlns:r="http://schemas.openxmlformats.org/officeDocument/2006/relationships" r:embed="rId3"/>
        <a:stretch>
          <a:fillRect/>
        </a:stretch>
      </xdr:blipFill>
      <xdr:spPr>
        <a:xfrm>
          <a:off x="81642" y="54429"/>
          <a:ext cx="1232649" cy="40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67o\Downloads\planilhas_por_segmento_1t18_xlsx_04_m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67o\Downloads\planilhas_por_segmento_3t18_xlsx_04_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mar18"/>
      <sheetName val="Segmentado mar17"/>
    </sheetNames>
    <sheetDataSet>
      <sheetData sheetId="0"/>
      <sheetData sheetId="1"/>
      <sheetData sheetId="2">
        <row r="4">
          <cell r="C4">
            <v>22499</v>
          </cell>
        </row>
        <row r="5">
          <cell r="C5">
            <v>-20982</v>
          </cell>
        </row>
        <row r="6">
          <cell r="C6">
            <v>1517</v>
          </cell>
        </row>
        <row r="8">
          <cell r="C8">
            <v>-708</v>
          </cell>
        </row>
        <row r="9">
          <cell r="C9">
            <v>-190</v>
          </cell>
        </row>
        <row r="10">
          <cell r="C10">
            <v>-27</v>
          </cell>
        </row>
        <row r="11">
          <cell r="C11">
            <v>-135</v>
          </cell>
        </row>
        <row r="13">
          <cell r="C13">
            <v>457</v>
          </cell>
        </row>
        <row r="15">
          <cell r="C15">
            <v>-94</v>
          </cell>
        </row>
        <row r="16">
          <cell r="C16">
            <v>84</v>
          </cell>
        </row>
        <row r="17">
          <cell r="C17">
            <v>-36</v>
          </cell>
        </row>
        <row r="19">
          <cell r="C19">
            <v>-1</v>
          </cell>
        </row>
        <row r="20">
          <cell r="C20">
            <v>410</v>
          </cell>
        </row>
        <row r="22">
          <cell r="C22">
            <v>-1</v>
          </cell>
        </row>
        <row r="23">
          <cell r="C23">
            <v>-162</v>
          </cell>
        </row>
        <row r="25">
          <cell r="C25">
            <v>247</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set18"/>
      <sheetName val="Segmentado trim18"/>
      <sheetName val="Segmentado set17"/>
      <sheetName val="Segmentado trim17"/>
      <sheetName val="Reconciliação"/>
    </sheetNames>
    <sheetDataSet>
      <sheetData sheetId="0"/>
      <sheetData sheetId="1"/>
      <sheetData sheetId="2">
        <row r="4">
          <cell r="D4">
            <v>26455</v>
          </cell>
        </row>
        <row r="5">
          <cell r="D5">
            <v>-24936</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D7C2-B1BA-4EA9-B82E-4D4E25626121}">
  <sheetPr>
    <tabColor rgb="FF05663A"/>
  </sheetPr>
  <dimension ref="A1:P29"/>
  <sheetViews>
    <sheetView showGridLines="0" tabSelected="1" zoomScale="70" zoomScaleNormal="70" workbookViewId="0"/>
  </sheetViews>
  <sheetFormatPr defaultColWidth="0" defaultRowHeight="21.95" customHeight="1" zeroHeight="1" x14ac:dyDescent="0.2"/>
  <cols>
    <col min="1" max="10" width="9.140625" style="3" customWidth="1"/>
    <col min="11" max="11" width="7.28515625" style="3" customWidth="1"/>
    <col min="12" max="12" width="8" style="3" customWidth="1"/>
    <col min="13" max="13" width="31.28515625" style="3" bestFit="1" customWidth="1"/>
    <col min="14" max="14" width="3.7109375" style="3" customWidth="1"/>
    <col min="15" max="15" width="9.140625" style="3" customWidth="1"/>
    <col min="16" max="16" width="7.85546875" style="3" customWidth="1"/>
    <col min="17" max="16384" width="9.140625" style="3" hidden="1"/>
  </cols>
  <sheetData>
    <row r="1" spans="14:14" ht="10.5" customHeight="1" x14ac:dyDescent="0.2"/>
    <row r="2" spans="14:14" ht="18" customHeight="1" x14ac:dyDescent="0.2"/>
    <row r="3" spans="14:14" ht="21.95" customHeight="1" x14ac:dyDescent="0.2"/>
    <row r="4" spans="14:14" ht="20.100000000000001" customHeight="1" x14ac:dyDescent="0.2"/>
    <row r="5" spans="14:14" ht="18" customHeight="1" x14ac:dyDescent="0.2"/>
    <row r="6" spans="14:14" ht="18" customHeight="1" x14ac:dyDescent="0.2"/>
    <row r="7" spans="14:14" ht="18" customHeight="1" x14ac:dyDescent="0.2"/>
    <row r="8" spans="14:14" ht="18" customHeight="1" x14ac:dyDescent="0.2"/>
    <row r="9" spans="14:14" ht="18" customHeight="1" x14ac:dyDescent="0.2"/>
    <row r="10" spans="14:14" ht="15.75" customHeight="1" x14ac:dyDescent="0.2"/>
    <row r="11" spans="14:14" ht="18" customHeight="1" x14ac:dyDescent="0.2"/>
    <row r="12" spans="14:14" ht="13.5" customHeight="1" x14ac:dyDescent="0.2"/>
    <row r="13" spans="14:14" ht="18" customHeight="1" x14ac:dyDescent="0.2"/>
    <row r="14" spans="14:14" ht="6" customHeight="1" x14ac:dyDescent="0.2"/>
    <row r="15" spans="14:14" ht="18" customHeight="1" x14ac:dyDescent="0.2">
      <c r="N15" s="4"/>
    </row>
    <row r="16" spans="14:14" ht="6" customHeight="1" x14ac:dyDescent="0.2">
      <c r="N16" s="4"/>
    </row>
    <row r="17" spans="2:14" ht="18" customHeight="1" x14ac:dyDescent="0.2">
      <c r="N17" s="4"/>
    </row>
    <row r="18" spans="2:14" ht="6" customHeight="1" x14ac:dyDescent="0.2">
      <c r="N18" s="4"/>
    </row>
    <row r="19" spans="2:14" ht="18" customHeight="1" x14ac:dyDescent="0.2">
      <c r="N19" s="4"/>
    </row>
    <row r="20" spans="2:14" ht="6" customHeight="1" x14ac:dyDescent="0.2">
      <c r="N20" s="4"/>
    </row>
    <row r="21" spans="2:14" ht="18" customHeight="1" x14ac:dyDescent="0.2">
      <c r="N21" s="4"/>
    </row>
    <row r="22" spans="2:14" ht="21.95" customHeight="1" x14ac:dyDescent="0.25">
      <c r="M22" s="5"/>
      <c r="N22" s="5"/>
    </row>
    <row r="23" spans="2:14" ht="21.95" customHeight="1" x14ac:dyDescent="0.2"/>
    <row r="24" spans="2:14" ht="21.95" customHeight="1" x14ac:dyDescent="0.2"/>
    <row r="25" spans="2:14" ht="21.95" customHeight="1" x14ac:dyDescent="0.2">
      <c r="B25" s="532"/>
    </row>
    <row r="26" spans="2:14" ht="21.95" customHeight="1" x14ac:dyDescent="0.2"/>
    <row r="27" spans="2:14" ht="21.95" customHeight="1" x14ac:dyDescent="0.2"/>
    <row r="28" spans="2:14" ht="21.95" customHeight="1" x14ac:dyDescent="0.2"/>
    <row r="29" spans="2:14" ht="19.5" hidden="1" customHeight="1" x14ac:dyDescent="0.2"/>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S60"/>
  <sheetViews>
    <sheetView showGridLines="0" zoomScale="70" zoomScaleNormal="70" workbookViewId="0">
      <pane xSplit="2" ySplit="5" topLeftCell="C6" activePane="bottomRight" state="frozen"/>
      <selection pane="topRight"/>
      <selection pane="bottomLeft"/>
      <selection pane="bottomRight"/>
    </sheetView>
  </sheetViews>
  <sheetFormatPr defaultColWidth="9.140625" defaultRowHeight="15" outlineLevelCol="1" x14ac:dyDescent="0.2"/>
  <cols>
    <col min="1" max="1" width="2" style="107" customWidth="1"/>
    <col min="2" max="2" width="69.85546875" style="84" customWidth="1"/>
    <col min="3" max="5" width="10.7109375" style="46" customWidth="1" outlineLevel="1"/>
    <col min="6" max="6" width="10.7109375" style="47" customWidth="1" outlineLevel="1"/>
    <col min="7" max="9" width="10.7109375" style="46" customWidth="1" outlineLevel="1"/>
    <col min="10" max="10" width="10.7109375" style="47" customWidth="1" outlineLevel="1"/>
    <col min="11" max="13" width="10.7109375" style="46" customWidth="1" outlineLevel="1"/>
    <col min="14" max="14" width="10.7109375" style="47" customWidth="1" outlineLevel="1"/>
    <col min="15" max="16" width="10.7109375" style="46" customWidth="1"/>
    <col min="17" max="18" width="11.140625" style="46" bestFit="1" customWidth="1"/>
    <col min="19" max="19" width="12.85546875" style="213" customWidth="1"/>
    <col min="20" max="16384" width="9.140625" style="107"/>
  </cols>
  <sheetData>
    <row r="1" spans="1:19" ht="41.25" customHeight="1" x14ac:dyDescent="0.2">
      <c r="A1" s="212"/>
      <c r="C1" s="42"/>
      <c r="D1" s="42"/>
      <c r="E1" s="42"/>
      <c r="F1" s="43"/>
      <c r="G1" s="42"/>
      <c r="H1" s="42"/>
      <c r="I1" s="42"/>
      <c r="J1" s="43"/>
      <c r="K1" s="42"/>
      <c r="L1" s="42"/>
      <c r="M1" s="42"/>
      <c r="N1" s="43"/>
      <c r="O1" s="42"/>
      <c r="P1" s="42"/>
      <c r="Q1" s="42"/>
      <c r="R1" s="42"/>
    </row>
    <row r="2" spans="1:19" ht="18" x14ac:dyDescent="0.2">
      <c r="A2" s="214"/>
      <c r="B2" s="85" t="s">
        <v>545</v>
      </c>
      <c r="C2" s="44"/>
      <c r="D2" s="44"/>
      <c r="E2" s="44"/>
      <c r="F2" s="45"/>
      <c r="G2" s="44"/>
      <c r="H2" s="44"/>
      <c r="I2" s="44"/>
      <c r="J2" s="45"/>
      <c r="K2" s="44"/>
      <c r="L2" s="44"/>
      <c r="M2" s="44"/>
      <c r="N2" s="45"/>
      <c r="O2" s="44"/>
      <c r="P2" s="44"/>
      <c r="Q2" s="44"/>
      <c r="R2" s="44"/>
    </row>
    <row r="3" spans="1:19" x14ac:dyDescent="0.2">
      <c r="C3" s="262" t="s">
        <v>53</v>
      </c>
      <c r="D3" s="262" t="s">
        <v>53</v>
      </c>
      <c r="E3" s="262" t="s">
        <v>53</v>
      </c>
      <c r="F3" s="263" t="s">
        <v>53</v>
      </c>
      <c r="S3" s="107"/>
    </row>
    <row r="4" spans="1:19" ht="15.75" x14ac:dyDescent="0.2">
      <c r="B4" s="86"/>
      <c r="C4" s="48" t="s">
        <v>278</v>
      </c>
      <c r="D4" s="48" t="s">
        <v>279</v>
      </c>
      <c r="E4" s="48" t="s">
        <v>280</v>
      </c>
      <c r="F4" s="49" t="s">
        <v>281</v>
      </c>
      <c r="G4" s="48" t="s">
        <v>282</v>
      </c>
      <c r="H4" s="48" t="s">
        <v>283</v>
      </c>
      <c r="I4" s="48" t="s">
        <v>284</v>
      </c>
      <c r="J4" s="49" t="s">
        <v>285</v>
      </c>
      <c r="K4" s="48" t="s">
        <v>286</v>
      </c>
      <c r="L4" s="48" t="s">
        <v>287</v>
      </c>
      <c r="M4" s="48" t="s">
        <v>288</v>
      </c>
      <c r="N4" s="49" t="s">
        <v>289</v>
      </c>
      <c r="O4" s="48" t="s">
        <v>290</v>
      </c>
      <c r="P4" s="48" t="s">
        <v>291</v>
      </c>
      <c r="Q4" s="48" t="s">
        <v>292</v>
      </c>
      <c r="R4" s="48" t="s">
        <v>570</v>
      </c>
      <c r="S4" s="107"/>
    </row>
    <row r="5" spans="1:19" s="501" customFormat="1" ht="15.75" x14ac:dyDescent="0.25">
      <c r="C5" s="501">
        <v>43190</v>
      </c>
      <c r="D5" s="501">
        <v>43281</v>
      </c>
      <c r="E5" s="501">
        <v>43373</v>
      </c>
      <c r="F5" s="501">
        <v>43465</v>
      </c>
      <c r="G5" s="501">
        <v>43555</v>
      </c>
      <c r="H5" s="501">
        <v>43646</v>
      </c>
      <c r="I5" s="501">
        <v>43738</v>
      </c>
      <c r="J5" s="501">
        <v>43830</v>
      </c>
      <c r="K5" s="501">
        <v>43921</v>
      </c>
      <c r="L5" s="501">
        <v>44012</v>
      </c>
      <c r="M5" s="501">
        <v>44104</v>
      </c>
      <c r="N5" s="501">
        <v>44196</v>
      </c>
      <c r="O5" s="501">
        <v>44286</v>
      </c>
      <c r="P5" s="501">
        <v>44377</v>
      </c>
      <c r="Q5" s="501">
        <v>44469</v>
      </c>
      <c r="R5" s="501">
        <v>43099</v>
      </c>
    </row>
    <row r="6" spans="1:19" ht="8.25" customHeight="1" x14ac:dyDescent="0.2">
      <c r="C6" s="42"/>
      <c r="D6" s="42"/>
      <c r="E6" s="42"/>
      <c r="F6" s="43"/>
      <c r="G6" s="42"/>
      <c r="H6" s="42"/>
      <c r="I6" s="42"/>
      <c r="J6" s="43"/>
      <c r="K6" s="42"/>
      <c r="L6" s="42"/>
      <c r="M6" s="42"/>
      <c r="N6" s="43"/>
      <c r="O6" s="42"/>
      <c r="P6" s="42"/>
      <c r="Q6" s="42"/>
      <c r="R6" s="42"/>
      <c r="S6" s="107"/>
    </row>
    <row r="7" spans="1:19" s="180" customFormat="1" ht="18" x14ac:dyDescent="0.25">
      <c r="B7" s="88" t="s">
        <v>241</v>
      </c>
      <c r="C7" s="50"/>
      <c r="D7" s="50"/>
      <c r="E7" s="50"/>
      <c r="F7" s="51"/>
      <c r="G7" s="50"/>
      <c r="H7" s="52"/>
      <c r="I7" s="52"/>
      <c r="J7" s="53"/>
      <c r="K7" s="52"/>
      <c r="L7" s="52"/>
      <c r="M7" s="52"/>
      <c r="N7" s="53"/>
      <c r="O7" s="52"/>
      <c r="P7" s="54"/>
      <c r="Q7" s="52"/>
      <c r="R7" s="52"/>
      <c r="S7" s="216"/>
    </row>
    <row r="8" spans="1:19" s="264" customFormat="1" ht="7.5" customHeight="1" x14ac:dyDescent="0.25">
      <c r="B8" s="139"/>
      <c r="C8" s="147"/>
      <c r="D8" s="147"/>
      <c r="E8" s="147"/>
      <c r="F8" s="146"/>
      <c r="G8" s="147"/>
      <c r="H8" s="147"/>
      <c r="I8" s="147"/>
      <c r="J8" s="146"/>
      <c r="K8" s="147"/>
      <c r="L8" s="147"/>
      <c r="M8" s="147"/>
      <c r="N8" s="146"/>
      <c r="O8" s="147"/>
      <c r="P8" s="147"/>
      <c r="Q8" s="147"/>
      <c r="R8" s="147"/>
    </row>
    <row r="9" spans="1:19" s="84" customFormat="1" ht="15.75" x14ac:dyDescent="0.25">
      <c r="B9" s="265" t="s">
        <v>242</v>
      </c>
      <c r="C9" s="266">
        <f t="shared" ref="C9:P9" si="0">SUM(C10:C15)</f>
        <v>-20982</v>
      </c>
      <c r="D9" s="266">
        <f t="shared" si="0"/>
        <v>-22281</v>
      </c>
      <c r="E9" s="266">
        <f t="shared" si="0"/>
        <v>-24936</v>
      </c>
      <c r="F9" s="267">
        <f t="shared" si="0"/>
        <v>-23715</v>
      </c>
      <c r="G9" s="266">
        <f t="shared" si="0"/>
        <v>-20842</v>
      </c>
      <c r="H9" s="266">
        <f t="shared" si="0"/>
        <v>-22756</v>
      </c>
      <c r="I9" s="266">
        <f t="shared" si="0"/>
        <v>-22966</v>
      </c>
      <c r="J9" s="267">
        <f t="shared" si="0"/>
        <v>-22463</v>
      </c>
      <c r="K9" s="266">
        <f t="shared" si="0"/>
        <v>-20242</v>
      </c>
      <c r="L9" s="266">
        <f t="shared" si="0"/>
        <v>-14286</v>
      </c>
      <c r="M9" s="266">
        <f t="shared" si="0"/>
        <v>-19751</v>
      </c>
      <c r="N9" s="267">
        <f t="shared" si="0"/>
        <v>-22765</v>
      </c>
      <c r="O9" s="266">
        <f t="shared" si="0"/>
        <v>-24260</v>
      </c>
      <c r="P9" s="266">
        <f t="shared" si="0"/>
        <v>-27750</v>
      </c>
      <c r="Q9" s="266">
        <f>SUM(Q10:Q15)</f>
        <v>-34161</v>
      </c>
      <c r="R9" s="266">
        <v>-37099</v>
      </c>
    </row>
    <row r="10" spans="1:19" s="84" customFormat="1" x14ac:dyDescent="0.2">
      <c r="B10" s="268" t="s">
        <v>243</v>
      </c>
      <c r="C10" s="149">
        <v>-20755</v>
      </c>
      <c r="D10" s="149">
        <v>-22304</v>
      </c>
      <c r="E10" s="149">
        <v>-25024</v>
      </c>
      <c r="F10" s="148">
        <v>-23291</v>
      </c>
      <c r="G10" s="149">
        <v>-20741</v>
      </c>
      <c r="H10" s="149">
        <v>-22863</v>
      </c>
      <c r="I10" s="149">
        <v>-22939</v>
      </c>
      <c r="J10" s="148">
        <v>-22676</v>
      </c>
      <c r="K10" s="149">
        <v>-19749</v>
      </c>
      <c r="L10" s="149">
        <v>-13563</v>
      </c>
      <c r="M10" s="149">
        <v>-20338</v>
      </c>
      <c r="N10" s="148">
        <v>-23329</v>
      </c>
      <c r="O10" s="149">
        <v>-24239</v>
      </c>
      <c r="P10" s="149">
        <v>-28762</v>
      </c>
      <c r="Q10" s="149">
        <v>-34267</v>
      </c>
      <c r="R10" s="149">
        <v>-37896</v>
      </c>
    </row>
    <row r="11" spans="1:19" s="84" customFormat="1" x14ac:dyDescent="0.2">
      <c r="B11" s="490" t="s">
        <v>244</v>
      </c>
      <c r="C11" s="149">
        <v>-20</v>
      </c>
      <c r="D11" s="149">
        <v>-22</v>
      </c>
      <c r="E11" s="149">
        <v>-22</v>
      </c>
      <c r="F11" s="148">
        <v>-22</v>
      </c>
      <c r="G11" s="149">
        <v>-21</v>
      </c>
      <c r="H11" s="149">
        <v>-23</v>
      </c>
      <c r="I11" s="149">
        <v>-20</v>
      </c>
      <c r="J11" s="148">
        <v>-30</v>
      </c>
      <c r="K11" s="149">
        <v>-29</v>
      </c>
      <c r="L11" s="149">
        <v>-25</v>
      </c>
      <c r="M11" s="149">
        <v>-21</v>
      </c>
      <c r="N11" s="148">
        <v>-20</v>
      </c>
      <c r="O11" s="149">
        <v>-17</v>
      </c>
      <c r="P11" s="149">
        <v>-25</v>
      </c>
      <c r="Q11" s="149">
        <v>-16</v>
      </c>
      <c r="R11" s="149">
        <v>-19</v>
      </c>
    </row>
    <row r="12" spans="1:19" s="84" customFormat="1" x14ac:dyDescent="0.2">
      <c r="B12" s="268" t="s">
        <v>245</v>
      </c>
      <c r="C12" s="149">
        <v>-12</v>
      </c>
      <c r="D12" s="149">
        <v>-13</v>
      </c>
      <c r="E12" s="149">
        <v>-12</v>
      </c>
      <c r="F12" s="148">
        <v>-11</v>
      </c>
      <c r="G12" s="149">
        <v>-12</v>
      </c>
      <c r="H12" s="149">
        <v>-12</v>
      </c>
      <c r="I12" s="149">
        <v>-13</v>
      </c>
      <c r="J12" s="148">
        <v>-15</v>
      </c>
      <c r="K12" s="149">
        <v>-9</v>
      </c>
      <c r="L12" s="149">
        <v>-9</v>
      </c>
      <c r="M12" s="149">
        <v>-11</v>
      </c>
      <c r="N12" s="148">
        <v>3</v>
      </c>
      <c r="O12" s="149">
        <v>-10</v>
      </c>
      <c r="P12" s="149">
        <v>-11</v>
      </c>
      <c r="Q12" s="149">
        <v>-9</v>
      </c>
      <c r="R12" s="149">
        <v>-4</v>
      </c>
    </row>
    <row r="13" spans="1:19" s="84" customFormat="1" x14ac:dyDescent="0.2">
      <c r="B13" s="268" t="s">
        <v>120</v>
      </c>
      <c r="C13" s="149">
        <v>-3</v>
      </c>
      <c r="D13" s="149">
        <v>-3</v>
      </c>
      <c r="E13" s="149">
        <v>-3</v>
      </c>
      <c r="F13" s="148">
        <v>-3</v>
      </c>
      <c r="G13" s="149">
        <v>-3</v>
      </c>
      <c r="H13" s="149">
        <v>-3</v>
      </c>
      <c r="I13" s="149">
        <v>-4</v>
      </c>
      <c r="J13" s="148">
        <v>-2</v>
      </c>
      <c r="K13" s="149">
        <v>-3</v>
      </c>
      <c r="L13" s="149">
        <v>-3</v>
      </c>
      <c r="M13" s="149">
        <v>-3</v>
      </c>
      <c r="N13" s="148">
        <v>-4</v>
      </c>
      <c r="O13" s="149">
        <v>-3</v>
      </c>
      <c r="P13" s="149">
        <v>-3</v>
      </c>
      <c r="Q13" s="149">
        <v>-3</v>
      </c>
      <c r="R13" s="149">
        <v>-4</v>
      </c>
    </row>
    <row r="14" spans="1:19" s="84" customFormat="1" x14ac:dyDescent="0.2">
      <c r="B14" s="268" t="s">
        <v>246</v>
      </c>
      <c r="C14" s="149">
        <v>-169</v>
      </c>
      <c r="D14" s="149">
        <v>78</v>
      </c>
      <c r="E14" s="149">
        <v>159</v>
      </c>
      <c r="F14" s="148">
        <v>-390</v>
      </c>
      <c r="G14" s="149">
        <v>-45</v>
      </c>
      <c r="H14" s="149">
        <v>152</v>
      </c>
      <c r="I14" s="149">
        <v>23</v>
      </c>
      <c r="J14" s="148">
        <v>359</v>
      </c>
      <c r="K14" s="149">
        <v>-416</v>
      </c>
      <c r="L14" s="149">
        <v>-649</v>
      </c>
      <c r="M14" s="149">
        <v>632</v>
      </c>
      <c r="N14" s="148">
        <v>588</v>
      </c>
      <c r="O14" s="149">
        <v>16</v>
      </c>
      <c r="P14" s="149">
        <v>1076</v>
      </c>
      <c r="Q14" s="149">
        <v>177</v>
      </c>
      <c r="R14" s="149">
        <v>860</v>
      </c>
    </row>
    <row r="15" spans="1:19" s="84" customFormat="1" x14ac:dyDescent="0.2">
      <c r="B15" s="268" t="s">
        <v>169</v>
      </c>
      <c r="C15" s="149">
        <v>-23</v>
      </c>
      <c r="D15" s="149">
        <v>-17</v>
      </c>
      <c r="E15" s="149">
        <v>-34</v>
      </c>
      <c r="F15" s="148">
        <v>2</v>
      </c>
      <c r="G15" s="149">
        <v>-20</v>
      </c>
      <c r="H15" s="149">
        <v>-7</v>
      </c>
      <c r="I15" s="149">
        <v>-13</v>
      </c>
      <c r="J15" s="148">
        <v>-99</v>
      </c>
      <c r="K15" s="149">
        <v>-36</v>
      </c>
      <c r="L15" s="149">
        <v>-37</v>
      </c>
      <c r="M15" s="149">
        <v>-10</v>
      </c>
      <c r="N15" s="148">
        <v>-3</v>
      </c>
      <c r="O15" s="149">
        <v>-7</v>
      </c>
      <c r="P15" s="149">
        <v>-25</v>
      </c>
      <c r="Q15" s="149">
        <v>-43</v>
      </c>
      <c r="R15" s="149">
        <v>-36</v>
      </c>
    </row>
    <row r="16" spans="1:19" s="264" customFormat="1" ht="7.5" customHeight="1" x14ac:dyDescent="0.25">
      <c r="B16" s="139"/>
      <c r="C16" s="147"/>
      <c r="D16" s="147"/>
      <c r="E16" s="147"/>
      <c r="F16" s="146"/>
      <c r="G16" s="147"/>
      <c r="H16" s="147"/>
      <c r="I16" s="147"/>
      <c r="J16" s="146"/>
      <c r="K16" s="147"/>
      <c r="L16" s="147"/>
      <c r="M16" s="147"/>
      <c r="N16" s="146"/>
      <c r="O16" s="147"/>
      <c r="P16" s="147"/>
      <c r="Q16" s="147"/>
      <c r="R16" s="147"/>
    </row>
    <row r="17" spans="2:18" s="84" customFormat="1" ht="15.75" x14ac:dyDescent="0.25">
      <c r="B17" s="265" t="s">
        <v>72</v>
      </c>
      <c r="C17" s="266">
        <f t="shared" ref="C17:Q17" si="1">SUM(C18:C23)</f>
        <v>-708</v>
      </c>
      <c r="D17" s="266">
        <f t="shared" si="1"/>
        <v>-760</v>
      </c>
      <c r="E17" s="266">
        <f t="shared" si="1"/>
        <v>-776</v>
      </c>
      <c r="F17" s="267">
        <f t="shared" si="1"/>
        <v>-683</v>
      </c>
      <c r="G17" s="266">
        <f t="shared" si="1"/>
        <v>-733</v>
      </c>
      <c r="H17" s="266">
        <f t="shared" si="1"/>
        <v>-722</v>
      </c>
      <c r="I17" s="266">
        <f t="shared" si="1"/>
        <v>-733</v>
      </c>
      <c r="J17" s="267">
        <f t="shared" si="1"/>
        <v>-829</v>
      </c>
      <c r="K17" s="266">
        <f t="shared" si="1"/>
        <v>-623</v>
      </c>
      <c r="L17" s="266">
        <f t="shared" si="1"/>
        <v>-585</v>
      </c>
      <c r="M17" s="266">
        <f t="shared" si="1"/>
        <v>-531</v>
      </c>
      <c r="N17" s="267">
        <f t="shared" si="1"/>
        <v>-553</v>
      </c>
      <c r="O17" s="266">
        <f t="shared" si="1"/>
        <v>-729</v>
      </c>
      <c r="P17" s="266">
        <f t="shared" si="1"/>
        <v>-575</v>
      </c>
      <c r="Q17" s="266">
        <f t="shared" si="1"/>
        <v>-679</v>
      </c>
      <c r="R17" s="266">
        <v>-680</v>
      </c>
    </row>
    <row r="18" spans="2:18" s="84" customFormat="1" x14ac:dyDescent="0.2">
      <c r="B18" s="490" t="s">
        <v>244</v>
      </c>
      <c r="C18" s="149">
        <v>-399</v>
      </c>
      <c r="D18" s="149">
        <v>-410</v>
      </c>
      <c r="E18" s="149">
        <v>-430</v>
      </c>
      <c r="F18" s="148">
        <v>-431</v>
      </c>
      <c r="G18" s="149">
        <v>-386</v>
      </c>
      <c r="H18" s="149">
        <v>-392</v>
      </c>
      <c r="I18" s="149">
        <v>-398</v>
      </c>
      <c r="J18" s="148">
        <v>-398</v>
      </c>
      <c r="K18" s="149">
        <v>-347</v>
      </c>
      <c r="L18" s="149">
        <v>-294</v>
      </c>
      <c r="M18" s="149">
        <v>-304</v>
      </c>
      <c r="N18" s="148">
        <v>-376</v>
      </c>
      <c r="O18" s="149">
        <v>-314</v>
      </c>
      <c r="P18" s="149">
        <v>-331</v>
      </c>
      <c r="Q18" s="149">
        <v>-348</v>
      </c>
      <c r="R18" s="149">
        <v>-370</v>
      </c>
    </row>
    <row r="19" spans="2:18" s="84" customFormat="1" x14ac:dyDescent="0.2">
      <c r="B19" s="268" t="s">
        <v>245</v>
      </c>
      <c r="C19" s="149">
        <v>-170</v>
      </c>
      <c r="D19" s="149">
        <v>-166</v>
      </c>
      <c r="E19" s="149">
        <v>-168</v>
      </c>
      <c r="F19" s="148">
        <v>-172</v>
      </c>
      <c r="G19" s="149">
        <v>-174</v>
      </c>
      <c r="H19" s="149">
        <v>-165</v>
      </c>
      <c r="I19" s="149">
        <v>-173</v>
      </c>
      <c r="J19" s="148">
        <v>-240</v>
      </c>
      <c r="K19" s="149">
        <v>-94</v>
      </c>
      <c r="L19" s="149">
        <v>-76</v>
      </c>
      <c r="M19" s="149">
        <v>-88</v>
      </c>
      <c r="N19" s="148">
        <v>-54</v>
      </c>
      <c r="O19" s="149">
        <v>-91</v>
      </c>
      <c r="P19" s="149">
        <v>-94</v>
      </c>
      <c r="Q19" s="149">
        <v>-97</v>
      </c>
      <c r="R19" s="149">
        <v>-79</v>
      </c>
    </row>
    <row r="20" spans="2:18" s="84" customFormat="1" x14ac:dyDescent="0.2">
      <c r="B20" s="268" t="s">
        <v>247</v>
      </c>
      <c r="C20" s="149">
        <v>4</v>
      </c>
      <c r="D20" s="149">
        <v>-48</v>
      </c>
      <c r="E20" s="149">
        <v>-35</v>
      </c>
      <c r="F20" s="148">
        <v>60</v>
      </c>
      <c r="G20" s="149">
        <v>-15</v>
      </c>
      <c r="H20" s="149">
        <v>-6</v>
      </c>
      <c r="I20" s="149">
        <v>-7</v>
      </c>
      <c r="J20" s="148">
        <v>-24</v>
      </c>
      <c r="K20" s="149">
        <v>-33</v>
      </c>
      <c r="L20" s="149">
        <v>-65</v>
      </c>
      <c r="M20" s="149">
        <v>4</v>
      </c>
      <c r="N20" s="148">
        <v>39</v>
      </c>
      <c r="O20" s="149">
        <v>-173</v>
      </c>
      <c r="P20" s="149">
        <v>10</v>
      </c>
      <c r="Q20" s="149">
        <v>-64</v>
      </c>
      <c r="R20" s="149">
        <v>-62</v>
      </c>
    </row>
    <row r="21" spans="2:18" s="84" customFormat="1" x14ac:dyDescent="0.2">
      <c r="B21" s="268" t="s">
        <v>248</v>
      </c>
      <c r="C21" s="149">
        <v>-5</v>
      </c>
      <c r="D21" s="149">
        <v>-3</v>
      </c>
      <c r="E21" s="149">
        <v>-9</v>
      </c>
      <c r="F21" s="148">
        <v>-6</v>
      </c>
      <c r="G21" s="149">
        <v>-8</v>
      </c>
      <c r="H21" s="149">
        <v>-7</v>
      </c>
      <c r="I21" s="149">
        <v>-4</v>
      </c>
      <c r="J21" s="148">
        <v>-8</v>
      </c>
      <c r="K21" s="149">
        <v>-6</v>
      </c>
      <c r="L21" s="149">
        <v>-2</v>
      </c>
      <c r="M21" s="149">
        <v>-6</v>
      </c>
      <c r="N21" s="148">
        <v>-10</v>
      </c>
      <c r="O21" s="149">
        <v>-5</v>
      </c>
      <c r="P21" s="149">
        <v>-7</v>
      </c>
      <c r="Q21" s="149">
        <v>-5</v>
      </c>
      <c r="R21" s="149">
        <v>-6</v>
      </c>
    </row>
    <row r="22" spans="2:18" s="84" customFormat="1" x14ac:dyDescent="0.2">
      <c r="B22" s="268" t="s">
        <v>120</v>
      </c>
      <c r="C22" s="149">
        <v>-91</v>
      </c>
      <c r="D22" s="149">
        <v>-93</v>
      </c>
      <c r="E22" s="149">
        <v>-90</v>
      </c>
      <c r="F22" s="148">
        <v>-91</v>
      </c>
      <c r="G22" s="149">
        <v>-111</v>
      </c>
      <c r="H22" s="149">
        <v>-107</v>
      </c>
      <c r="I22" s="149">
        <v>-110</v>
      </c>
      <c r="J22" s="148">
        <v>-126</v>
      </c>
      <c r="K22" s="149">
        <v>-114</v>
      </c>
      <c r="L22" s="149">
        <v>-116</v>
      </c>
      <c r="M22" s="149">
        <v>-112</v>
      </c>
      <c r="N22" s="148">
        <v>-113</v>
      </c>
      <c r="O22" s="149">
        <v>-119</v>
      </c>
      <c r="P22" s="149">
        <v>-120</v>
      </c>
      <c r="Q22" s="149">
        <v>-118</v>
      </c>
      <c r="R22" s="149">
        <v>-119</v>
      </c>
    </row>
    <row r="23" spans="2:18" s="84" customFormat="1" x14ac:dyDescent="0.2">
      <c r="B23" s="268" t="s">
        <v>169</v>
      </c>
      <c r="C23" s="149">
        <v>-47</v>
      </c>
      <c r="D23" s="149">
        <v>-40</v>
      </c>
      <c r="E23" s="149">
        <v>-44</v>
      </c>
      <c r="F23" s="148">
        <v>-43</v>
      </c>
      <c r="G23" s="149">
        <v>-39</v>
      </c>
      <c r="H23" s="149">
        <v>-45</v>
      </c>
      <c r="I23" s="149">
        <v>-41</v>
      </c>
      <c r="J23" s="148">
        <v>-33</v>
      </c>
      <c r="K23" s="149">
        <v>-29</v>
      </c>
      <c r="L23" s="149">
        <v>-32</v>
      </c>
      <c r="M23" s="149">
        <v>-25</v>
      </c>
      <c r="N23" s="148">
        <v>-39</v>
      </c>
      <c r="O23" s="149">
        <v>-27</v>
      </c>
      <c r="P23" s="149">
        <v>-33</v>
      </c>
      <c r="Q23" s="149">
        <v>-47</v>
      </c>
      <c r="R23" s="149">
        <v>-44</v>
      </c>
    </row>
    <row r="24" spans="2:18" s="264" customFormat="1" ht="7.5" customHeight="1" x14ac:dyDescent="0.25">
      <c r="B24" s="139"/>
      <c r="C24" s="147"/>
      <c r="D24" s="147"/>
      <c r="E24" s="147"/>
      <c r="F24" s="146"/>
      <c r="G24" s="147"/>
      <c r="H24" s="147"/>
      <c r="I24" s="147"/>
      <c r="J24" s="146"/>
      <c r="K24" s="147"/>
      <c r="L24" s="147"/>
      <c r="M24" s="147"/>
      <c r="N24" s="146"/>
      <c r="O24" s="147"/>
      <c r="P24" s="147"/>
      <c r="Q24" s="147"/>
      <c r="R24" s="147"/>
    </row>
    <row r="25" spans="2:18" s="84" customFormat="1" ht="15.75" x14ac:dyDescent="0.25">
      <c r="B25" s="265" t="s">
        <v>250</v>
      </c>
      <c r="C25" s="266">
        <f>SUM(C26:C29)</f>
        <v>-190</v>
      </c>
      <c r="D25" s="266">
        <f t="shared" ref="D25:Q25" si="2">SUM(D26:D29)</f>
        <v>-198</v>
      </c>
      <c r="E25" s="266">
        <f t="shared" si="2"/>
        <v>-194</v>
      </c>
      <c r="F25" s="267">
        <f t="shared" si="2"/>
        <v>-204</v>
      </c>
      <c r="G25" s="266">
        <f t="shared" si="2"/>
        <v>-195</v>
      </c>
      <c r="H25" s="266">
        <f t="shared" si="2"/>
        <v>-190</v>
      </c>
      <c r="I25" s="266">
        <f t="shared" si="2"/>
        <v>-200</v>
      </c>
      <c r="J25" s="267">
        <f t="shared" si="2"/>
        <v>-283</v>
      </c>
      <c r="K25" s="266">
        <f t="shared" si="2"/>
        <v>-145</v>
      </c>
      <c r="L25" s="266">
        <f t="shared" si="2"/>
        <v>-138</v>
      </c>
      <c r="M25" s="266">
        <f t="shared" si="2"/>
        <v>-152</v>
      </c>
      <c r="N25" s="267">
        <f t="shared" si="2"/>
        <v>-22</v>
      </c>
      <c r="O25" s="266">
        <f t="shared" si="2"/>
        <v>-149</v>
      </c>
      <c r="P25" s="266">
        <f t="shared" si="2"/>
        <v>-168</v>
      </c>
      <c r="Q25" s="266">
        <f t="shared" si="2"/>
        <v>-187</v>
      </c>
      <c r="R25" s="266">
        <v>-130</v>
      </c>
    </row>
    <row r="26" spans="2:18" s="84" customFormat="1" x14ac:dyDescent="0.2">
      <c r="B26" s="268" t="s">
        <v>244</v>
      </c>
      <c r="C26" s="149">
        <v>-47</v>
      </c>
      <c r="D26" s="149">
        <v>-53</v>
      </c>
      <c r="E26" s="149">
        <v>-54</v>
      </c>
      <c r="F26" s="148">
        <v>-62</v>
      </c>
      <c r="G26" s="149">
        <v>-41</v>
      </c>
      <c r="H26" s="149">
        <v>-42</v>
      </c>
      <c r="I26" s="149">
        <v>-43</v>
      </c>
      <c r="J26" s="148">
        <v>-62</v>
      </c>
      <c r="K26" s="149">
        <v>-42</v>
      </c>
      <c r="L26" s="149">
        <v>-46</v>
      </c>
      <c r="M26" s="149">
        <v>-38</v>
      </c>
      <c r="N26" s="148">
        <v>-38</v>
      </c>
      <c r="O26" s="149">
        <v>-33</v>
      </c>
      <c r="P26" s="149">
        <v>-43</v>
      </c>
      <c r="Q26" s="149">
        <v>-37</v>
      </c>
      <c r="R26" s="149">
        <v>-59</v>
      </c>
    </row>
    <row r="27" spans="2:18" s="84" customFormat="1" x14ac:dyDescent="0.2">
      <c r="B27" s="268" t="s">
        <v>245</v>
      </c>
      <c r="C27" s="149">
        <v>-119</v>
      </c>
      <c r="D27" s="149">
        <v>-122</v>
      </c>
      <c r="E27" s="149">
        <v>-121</v>
      </c>
      <c r="F27" s="148">
        <v>-122</v>
      </c>
      <c r="G27" s="149">
        <v>-126</v>
      </c>
      <c r="H27" s="149">
        <v>-115</v>
      </c>
      <c r="I27" s="149">
        <v>-127</v>
      </c>
      <c r="J27" s="148">
        <v>-189</v>
      </c>
      <c r="K27" s="149">
        <v>-71</v>
      </c>
      <c r="L27" s="149">
        <v>-62</v>
      </c>
      <c r="M27" s="149">
        <v>-85</v>
      </c>
      <c r="N27" s="148">
        <v>50</v>
      </c>
      <c r="O27" s="149">
        <v>-87</v>
      </c>
      <c r="P27" s="149">
        <v>-86</v>
      </c>
      <c r="Q27" s="149">
        <v>-95</v>
      </c>
      <c r="R27" s="149">
        <v>-44</v>
      </c>
    </row>
    <row r="28" spans="2:18" s="84" customFormat="1" x14ac:dyDescent="0.2">
      <c r="B28" s="268" t="s">
        <v>120</v>
      </c>
      <c r="C28" s="149">
        <v>-12</v>
      </c>
      <c r="D28" s="149">
        <v>-11</v>
      </c>
      <c r="E28" s="149">
        <v>-9</v>
      </c>
      <c r="F28" s="148">
        <v>-8</v>
      </c>
      <c r="G28" s="149">
        <v>-14</v>
      </c>
      <c r="H28" s="149">
        <v>-17</v>
      </c>
      <c r="I28" s="149">
        <v>-13</v>
      </c>
      <c r="J28" s="148">
        <v>-18</v>
      </c>
      <c r="K28" s="149">
        <v>-18</v>
      </c>
      <c r="L28" s="149">
        <v>-17</v>
      </c>
      <c r="M28" s="149">
        <v>-17</v>
      </c>
      <c r="N28" s="148">
        <v>-17</v>
      </c>
      <c r="O28" s="149">
        <v>-17</v>
      </c>
      <c r="P28" s="149">
        <v>-17</v>
      </c>
      <c r="Q28" s="149">
        <v>-23</v>
      </c>
      <c r="R28" s="149">
        <v>-13</v>
      </c>
    </row>
    <row r="29" spans="2:18" s="84" customFormat="1" x14ac:dyDescent="0.2">
      <c r="B29" s="268" t="s">
        <v>169</v>
      </c>
      <c r="C29" s="149">
        <v>-12</v>
      </c>
      <c r="D29" s="149">
        <v>-12</v>
      </c>
      <c r="E29" s="149">
        <v>-10</v>
      </c>
      <c r="F29" s="148">
        <v>-12</v>
      </c>
      <c r="G29" s="149">
        <v>-14</v>
      </c>
      <c r="H29" s="149">
        <v>-16</v>
      </c>
      <c r="I29" s="149">
        <v>-17</v>
      </c>
      <c r="J29" s="148">
        <v>-14</v>
      </c>
      <c r="K29" s="149">
        <v>-14</v>
      </c>
      <c r="L29" s="149">
        <v>-13</v>
      </c>
      <c r="M29" s="149">
        <v>-12</v>
      </c>
      <c r="N29" s="148">
        <v>-17</v>
      </c>
      <c r="O29" s="149">
        <v>-12</v>
      </c>
      <c r="P29" s="149">
        <v>-22</v>
      </c>
      <c r="Q29" s="149">
        <v>-32</v>
      </c>
      <c r="R29" s="149">
        <v>-14</v>
      </c>
    </row>
    <row r="30" spans="2:18" s="264" customFormat="1" ht="7.5" customHeight="1" x14ac:dyDescent="0.25">
      <c r="B30" s="139"/>
      <c r="C30" s="147"/>
      <c r="D30" s="147"/>
      <c r="E30" s="147"/>
      <c r="F30" s="146"/>
      <c r="G30" s="147"/>
      <c r="H30" s="147"/>
      <c r="I30" s="147"/>
      <c r="J30" s="146"/>
      <c r="K30" s="147"/>
      <c r="L30" s="147"/>
      <c r="M30" s="147"/>
      <c r="N30" s="146"/>
      <c r="O30" s="147"/>
      <c r="P30" s="147"/>
      <c r="Q30" s="147"/>
      <c r="R30" s="147"/>
    </row>
    <row r="31" spans="2:18" s="84" customFormat="1" ht="15.75" x14ac:dyDescent="0.25">
      <c r="B31" s="491" t="s">
        <v>76</v>
      </c>
      <c r="C31" s="266">
        <f>SUM(C32:C54)</f>
        <v>-135</v>
      </c>
      <c r="D31" s="266">
        <f t="shared" ref="D31:Q31" si="3">SUM(D32:D54)</f>
        <v>-162</v>
      </c>
      <c r="E31" s="266">
        <f t="shared" si="3"/>
        <v>1082</v>
      </c>
      <c r="F31" s="267">
        <f t="shared" si="3"/>
        <v>-226</v>
      </c>
      <c r="G31" s="266">
        <f t="shared" si="3"/>
        <v>-137</v>
      </c>
      <c r="H31" s="266">
        <f t="shared" si="3"/>
        <v>-64</v>
      </c>
      <c r="I31" s="266">
        <f t="shared" si="3"/>
        <v>72</v>
      </c>
      <c r="J31" s="267">
        <f t="shared" si="3"/>
        <v>-525</v>
      </c>
      <c r="K31" s="266">
        <f t="shared" si="3"/>
        <v>364</v>
      </c>
      <c r="L31" s="266">
        <f t="shared" si="3"/>
        <v>400</v>
      </c>
      <c r="M31" s="266">
        <f t="shared" si="3"/>
        <v>-120</v>
      </c>
      <c r="N31" s="267">
        <f>SUM(N32:N54)</f>
        <v>2352</v>
      </c>
      <c r="O31" s="266">
        <f t="shared" si="3"/>
        <v>-60</v>
      </c>
      <c r="P31" s="266">
        <f t="shared" si="3"/>
        <v>165</v>
      </c>
      <c r="Q31" s="266">
        <f t="shared" si="3"/>
        <v>-20</v>
      </c>
      <c r="R31" s="266">
        <v>-800</v>
      </c>
    </row>
    <row r="32" spans="2:18" s="84" customFormat="1" x14ac:dyDescent="0.2">
      <c r="B32" s="268" t="s">
        <v>249</v>
      </c>
      <c r="C32" s="149">
        <v>0</v>
      </c>
      <c r="D32" s="149">
        <v>0</v>
      </c>
      <c r="E32" s="149">
        <v>0</v>
      </c>
      <c r="F32" s="148">
        <v>0</v>
      </c>
      <c r="G32" s="149">
        <v>0</v>
      </c>
      <c r="H32" s="149">
        <v>0</v>
      </c>
      <c r="I32" s="149">
        <v>0</v>
      </c>
      <c r="J32" s="148">
        <v>-55</v>
      </c>
      <c r="K32" s="149">
        <v>-9</v>
      </c>
      <c r="L32" s="149">
        <v>-12</v>
      </c>
      <c r="M32" s="149">
        <v>-12</v>
      </c>
      <c r="N32" s="148">
        <v>-30</v>
      </c>
      <c r="O32" s="149">
        <v>0</v>
      </c>
      <c r="P32" s="149">
        <v>0</v>
      </c>
      <c r="Q32" s="149">
        <v>8</v>
      </c>
      <c r="R32" s="149">
        <v>0</v>
      </c>
    </row>
    <row r="33" spans="2:18" s="84" customFormat="1" x14ac:dyDescent="0.2">
      <c r="B33" s="268" t="s">
        <v>251</v>
      </c>
      <c r="C33" s="149">
        <v>0</v>
      </c>
      <c r="D33" s="149">
        <v>0</v>
      </c>
      <c r="E33" s="149">
        <v>0</v>
      </c>
      <c r="F33" s="148">
        <v>0</v>
      </c>
      <c r="G33" s="149">
        <v>0</v>
      </c>
      <c r="H33" s="149">
        <v>0</v>
      </c>
      <c r="I33" s="149">
        <v>0</v>
      </c>
      <c r="J33" s="148">
        <v>0</v>
      </c>
      <c r="K33" s="149">
        <v>0</v>
      </c>
      <c r="L33" s="149">
        <v>376</v>
      </c>
      <c r="M33" s="149">
        <v>16</v>
      </c>
      <c r="N33" s="148">
        <v>648</v>
      </c>
      <c r="O33" s="149">
        <v>0</v>
      </c>
      <c r="P33" s="149">
        <v>0</v>
      </c>
      <c r="Q33" s="149">
        <v>0</v>
      </c>
      <c r="R33" s="149">
        <v>0</v>
      </c>
    </row>
    <row r="34" spans="2:18" s="84" customFormat="1" x14ac:dyDescent="0.2">
      <c r="B34" s="268" t="s">
        <v>252</v>
      </c>
      <c r="C34" s="149">
        <v>0</v>
      </c>
      <c r="D34" s="149">
        <v>0</v>
      </c>
      <c r="E34" s="149">
        <v>0</v>
      </c>
      <c r="F34" s="148">
        <v>0</v>
      </c>
      <c r="G34" s="149">
        <v>0</v>
      </c>
      <c r="H34" s="149">
        <v>0</v>
      </c>
      <c r="I34" s="149">
        <v>0</v>
      </c>
      <c r="J34" s="148">
        <v>0</v>
      </c>
      <c r="K34" s="149">
        <v>0</v>
      </c>
      <c r="L34" s="149">
        <v>0</v>
      </c>
      <c r="M34" s="149">
        <v>0</v>
      </c>
      <c r="N34" s="148">
        <v>52</v>
      </c>
      <c r="O34" s="149">
        <v>128</v>
      </c>
      <c r="P34" s="149">
        <v>75</v>
      </c>
      <c r="Q34" s="149">
        <v>82</v>
      </c>
      <c r="R34" s="149">
        <v>6</v>
      </c>
    </row>
    <row r="35" spans="2:18" s="84" customFormat="1" x14ac:dyDescent="0.2">
      <c r="B35" s="490" t="s">
        <v>253</v>
      </c>
      <c r="C35" s="149">
        <v>0</v>
      </c>
      <c r="D35" s="149">
        <v>0</v>
      </c>
      <c r="E35" s="149">
        <v>0</v>
      </c>
      <c r="F35" s="148">
        <v>0</v>
      </c>
      <c r="G35" s="149">
        <v>0</v>
      </c>
      <c r="H35" s="149">
        <v>0</v>
      </c>
      <c r="I35" s="149">
        <v>0</v>
      </c>
      <c r="J35" s="148">
        <v>0</v>
      </c>
      <c r="K35" s="149">
        <v>0</v>
      </c>
      <c r="L35" s="149">
        <v>0</v>
      </c>
      <c r="M35" s="149">
        <v>0</v>
      </c>
      <c r="N35" s="148">
        <v>0</v>
      </c>
      <c r="O35" s="149">
        <v>0</v>
      </c>
      <c r="P35" s="149">
        <v>79</v>
      </c>
      <c r="Q35" s="149">
        <v>0</v>
      </c>
      <c r="R35" s="149">
        <v>0</v>
      </c>
    </row>
    <row r="36" spans="2:18" s="84" customFormat="1" x14ac:dyDescent="0.2">
      <c r="B36" s="268" t="s">
        <v>254</v>
      </c>
      <c r="C36" s="149">
        <v>0</v>
      </c>
      <c r="D36" s="149">
        <v>0</v>
      </c>
      <c r="E36" s="149">
        <v>0</v>
      </c>
      <c r="F36" s="148">
        <v>0</v>
      </c>
      <c r="G36" s="149">
        <v>0</v>
      </c>
      <c r="H36" s="149">
        <v>0</v>
      </c>
      <c r="I36" s="149">
        <v>0</v>
      </c>
      <c r="J36" s="148">
        <v>0</v>
      </c>
      <c r="K36" s="149">
        <v>0</v>
      </c>
      <c r="L36" s="149">
        <v>0</v>
      </c>
      <c r="M36" s="149">
        <v>0</v>
      </c>
      <c r="N36" s="148">
        <v>0</v>
      </c>
      <c r="O36" s="149">
        <v>0</v>
      </c>
      <c r="P36" s="149">
        <v>0</v>
      </c>
      <c r="Q36" s="149">
        <v>55</v>
      </c>
      <c r="R36" s="149">
        <v>0</v>
      </c>
    </row>
    <row r="37" spans="2:18" s="84" customFormat="1" x14ac:dyDescent="0.2">
      <c r="B37" s="490" t="s">
        <v>255</v>
      </c>
      <c r="C37" s="149">
        <v>-31</v>
      </c>
      <c r="D37" s="149">
        <v>-34</v>
      </c>
      <c r="E37" s="149">
        <v>-28</v>
      </c>
      <c r="F37" s="148">
        <v>-28</v>
      </c>
      <c r="G37" s="149">
        <v>-13</v>
      </c>
      <c r="H37" s="149">
        <v>-13</v>
      </c>
      <c r="I37" s="149">
        <v>-11</v>
      </c>
      <c r="J37" s="148">
        <v>-7</v>
      </c>
      <c r="K37" s="149">
        <v>-9</v>
      </c>
      <c r="L37" s="149">
        <v>-14</v>
      </c>
      <c r="M37" s="149">
        <v>-12</v>
      </c>
      <c r="N37" s="148">
        <v>-11</v>
      </c>
      <c r="O37" s="149">
        <v>-11</v>
      </c>
      <c r="P37" s="149">
        <v>-12</v>
      </c>
      <c r="Q37" s="149">
        <v>-10</v>
      </c>
      <c r="R37" s="149">
        <v>-10</v>
      </c>
    </row>
    <row r="38" spans="2:18" s="84" customFormat="1" x14ac:dyDescent="0.2">
      <c r="B38" s="490" t="s">
        <v>256</v>
      </c>
      <c r="C38" s="149">
        <v>0</v>
      </c>
      <c r="D38" s="149">
        <v>0</v>
      </c>
      <c r="E38" s="149">
        <v>0</v>
      </c>
      <c r="F38" s="148">
        <v>0</v>
      </c>
      <c r="G38" s="149">
        <v>0</v>
      </c>
      <c r="H38" s="149">
        <v>0</v>
      </c>
      <c r="I38" s="149">
        <v>0</v>
      </c>
      <c r="J38" s="148">
        <v>0</v>
      </c>
      <c r="K38" s="149">
        <v>0</v>
      </c>
      <c r="L38" s="149">
        <v>0</v>
      </c>
      <c r="M38" s="149">
        <v>117</v>
      </c>
      <c r="N38" s="148">
        <v>0</v>
      </c>
      <c r="O38" s="149">
        <v>0</v>
      </c>
      <c r="P38" s="149">
        <v>0</v>
      </c>
      <c r="Q38" s="149">
        <v>0</v>
      </c>
      <c r="R38" s="149">
        <v>0</v>
      </c>
    </row>
    <row r="39" spans="2:18" s="84" customFormat="1" x14ac:dyDescent="0.2">
      <c r="B39" s="268" t="s">
        <v>257</v>
      </c>
      <c r="C39" s="149">
        <v>-78</v>
      </c>
      <c r="D39" s="149">
        <v>-89</v>
      </c>
      <c r="E39" s="149">
        <v>1210</v>
      </c>
      <c r="F39" s="148">
        <v>-52</v>
      </c>
      <c r="G39" s="149">
        <v>-55</v>
      </c>
      <c r="H39" s="149">
        <v>-31</v>
      </c>
      <c r="I39" s="149">
        <v>-9</v>
      </c>
      <c r="J39" s="148">
        <v>-14</v>
      </c>
      <c r="K39" s="149">
        <v>-26</v>
      </c>
      <c r="L39" s="149">
        <v>68</v>
      </c>
      <c r="M39" s="149">
        <v>-16</v>
      </c>
      <c r="N39" s="148">
        <v>23</v>
      </c>
      <c r="O39" s="149">
        <v>-32</v>
      </c>
      <c r="P39" s="149">
        <v>54</v>
      </c>
      <c r="Q39" s="149">
        <v>-44</v>
      </c>
      <c r="R39" s="149">
        <v>-904</v>
      </c>
    </row>
    <row r="40" spans="2:18" s="84" customFormat="1" x14ac:dyDescent="0.2">
      <c r="B40" s="268" t="s">
        <v>258</v>
      </c>
      <c r="C40" s="149">
        <v>0</v>
      </c>
      <c r="D40" s="149">
        <v>0</v>
      </c>
      <c r="E40" s="149">
        <v>-67</v>
      </c>
      <c r="F40" s="148">
        <v>-15</v>
      </c>
      <c r="G40" s="149">
        <v>-13</v>
      </c>
      <c r="H40" s="149">
        <v>0</v>
      </c>
      <c r="I40" s="149">
        <v>0</v>
      </c>
      <c r="J40" s="148">
        <v>-1</v>
      </c>
      <c r="K40" s="149">
        <v>0</v>
      </c>
      <c r="L40" s="149">
        <v>0</v>
      </c>
      <c r="M40" s="149">
        <v>0</v>
      </c>
      <c r="N40" s="148">
        <v>0</v>
      </c>
      <c r="O40" s="149">
        <v>0</v>
      </c>
      <c r="P40" s="149">
        <v>0</v>
      </c>
      <c r="Q40" s="149">
        <v>0</v>
      </c>
      <c r="R40" s="149">
        <v>0</v>
      </c>
    </row>
    <row r="41" spans="2:18" s="84" customFormat="1" x14ac:dyDescent="0.2">
      <c r="B41" s="268" t="s">
        <v>259</v>
      </c>
      <c r="C41" s="149">
        <v>0</v>
      </c>
      <c r="D41" s="149">
        <v>0</v>
      </c>
      <c r="E41" s="149">
        <v>0</v>
      </c>
      <c r="F41" s="148">
        <v>0</v>
      </c>
      <c r="G41" s="149">
        <v>0</v>
      </c>
      <c r="H41" s="149">
        <v>-49</v>
      </c>
      <c r="I41" s="149">
        <v>1</v>
      </c>
      <c r="J41" s="148">
        <v>0</v>
      </c>
      <c r="K41" s="149">
        <v>0</v>
      </c>
      <c r="L41" s="149">
        <v>0</v>
      </c>
      <c r="M41" s="149">
        <v>0</v>
      </c>
      <c r="N41" s="148">
        <v>0</v>
      </c>
      <c r="O41" s="149">
        <v>0</v>
      </c>
      <c r="P41" s="149">
        <v>0</v>
      </c>
      <c r="Q41" s="149">
        <v>0</v>
      </c>
      <c r="R41" s="149">
        <v>0</v>
      </c>
    </row>
    <row r="42" spans="2:18" s="84" customFormat="1" x14ac:dyDescent="0.2">
      <c r="B42" s="268" t="s">
        <v>260</v>
      </c>
      <c r="C42" s="149">
        <v>-22</v>
      </c>
      <c r="D42" s="149">
        <v>6</v>
      </c>
      <c r="E42" s="149">
        <v>0</v>
      </c>
      <c r="F42" s="148">
        <v>-76</v>
      </c>
      <c r="G42" s="149">
        <v>3</v>
      </c>
      <c r="H42" s="149">
        <v>13</v>
      </c>
      <c r="I42" s="149">
        <v>3</v>
      </c>
      <c r="J42" s="148">
        <v>2</v>
      </c>
      <c r="K42" s="149">
        <v>0</v>
      </c>
      <c r="L42" s="149">
        <v>0</v>
      </c>
      <c r="M42" s="149">
        <v>0</v>
      </c>
      <c r="N42" s="148">
        <v>0</v>
      </c>
      <c r="O42" s="149">
        <v>0</v>
      </c>
      <c r="P42" s="149">
        <v>0</v>
      </c>
      <c r="Q42" s="149">
        <v>0</v>
      </c>
      <c r="R42" s="149">
        <v>0</v>
      </c>
    </row>
    <row r="43" spans="2:18" s="84" customFormat="1" x14ac:dyDescent="0.2">
      <c r="B43" s="268" t="s">
        <v>261</v>
      </c>
      <c r="C43" s="149">
        <v>0</v>
      </c>
      <c r="D43" s="149">
        <v>0</v>
      </c>
      <c r="E43" s="149">
        <v>0</v>
      </c>
      <c r="F43" s="148">
        <v>0</v>
      </c>
      <c r="G43" s="149">
        <v>0</v>
      </c>
      <c r="H43" s="149">
        <v>0</v>
      </c>
      <c r="I43" s="149">
        <v>0</v>
      </c>
      <c r="J43" s="148">
        <v>-332</v>
      </c>
      <c r="K43" s="149">
        <v>3</v>
      </c>
      <c r="L43" s="149">
        <v>-1</v>
      </c>
      <c r="M43" s="149">
        <v>0</v>
      </c>
      <c r="N43" s="148">
        <v>0</v>
      </c>
      <c r="O43" s="149">
        <v>0</v>
      </c>
      <c r="P43" s="149">
        <v>0</v>
      </c>
      <c r="Q43" s="149">
        <v>0</v>
      </c>
      <c r="R43" s="149">
        <v>0</v>
      </c>
    </row>
    <row r="44" spans="2:18" s="84" customFormat="1" x14ac:dyDescent="0.2">
      <c r="B44" s="490" t="s">
        <v>262</v>
      </c>
      <c r="C44" s="149">
        <v>-79</v>
      </c>
      <c r="D44" s="149">
        <v>-79</v>
      </c>
      <c r="E44" s="149">
        <v>-79</v>
      </c>
      <c r="F44" s="148">
        <v>-80</v>
      </c>
      <c r="G44" s="149">
        <v>-84</v>
      </c>
      <c r="H44" s="149">
        <v>-83</v>
      </c>
      <c r="I44" s="149">
        <v>-84</v>
      </c>
      <c r="J44" s="148">
        <v>-83</v>
      </c>
      <c r="K44" s="149">
        <v>-90</v>
      </c>
      <c r="L44" s="149">
        <v>-112</v>
      </c>
      <c r="M44" s="149">
        <v>-76</v>
      </c>
      <c r="N44" s="148">
        <v>1851</v>
      </c>
      <c r="O44" s="149">
        <v>-30</v>
      </c>
      <c r="P44" s="149">
        <v>-31</v>
      </c>
      <c r="Q44" s="149">
        <v>-30</v>
      </c>
      <c r="R44" s="149">
        <v>88</v>
      </c>
    </row>
    <row r="45" spans="2:18" s="84" customFormat="1" x14ac:dyDescent="0.2">
      <c r="B45" s="494" t="s">
        <v>306</v>
      </c>
      <c r="C45" s="149">
        <v>0</v>
      </c>
      <c r="D45" s="149">
        <v>0</v>
      </c>
      <c r="E45" s="149">
        <v>0</v>
      </c>
      <c r="F45" s="148">
        <v>0</v>
      </c>
      <c r="G45" s="149">
        <v>0</v>
      </c>
      <c r="H45" s="149">
        <v>0</v>
      </c>
      <c r="I45" s="149">
        <v>0</v>
      </c>
      <c r="J45" s="148">
        <v>0</v>
      </c>
      <c r="K45" s="149">
        <v>0</v>
      </c>
      <c r="L45" s="149">
        <v>0</v>
      </c>
      <c r="M45" s="149">
        <v>-111</v>
      </c>
      <c r="N45" s="148">
        <v>-79</v>
      </c>
      <c r="O45" s="149">
        <v>-50</v>
      </c>
      <c r="P45" s="149">
        <v>-50</v>
      </c>
      <c r="Q45" s="149">
        <v>-59</v>
      </c>
      <c r="R45" s="149">
        <v>-81</v>
      </c>
    </row>
    <row r="46" spans="2:18" s="84" customFormat="1" x14ac:dyDescent="0.2">
      <c r="B46" s="490" t="s">
        <v>307</v>
      </c>
      <c r="C46" s="149">
        <v>65</v>
      </c>
      <c r="D46" s="149">
        <v>64</v>
      </c>
      <c r="E46" s="149">
        <v>66</v>
      </c>
      <c r="F46" s="148">
        <v>70</v>
      </c>
      <c r="G46" s="149">
        <v>49</v>
      </c>
      <c r="H46" s="149">
        <v>74</v>
      </c>
      <c r="I46" s="149">
        <v>66</v>
      </c>
      <c r="J46" s="148">
        <v>63</v>
      </c>
      <c r="K46" s="149">
        <v>60</v>
      </c>
      <c r="L46" s="149">
        <v>32</v>
      </c>
      <c r="M46" s="149">
        <v>68</v>
      </c>
      <c r="N46" s="148">
        <v>75</v>
      </c>
      <c r="O46" s="149">
        <v>91</v>
      </c>
      <c r="P46" s="149">
        <v>99</v>
      </c>
      <c r="Q46" s="149">
        <v>93</v>
      </c>
      <c r="R46" s="149">
        <v>99</v>
      </c>
    </row>
    <row r="47" spans="2:18" s="84" customFormat="1" x14ac:dyDescent="0.2">
      <c r="B47" s="490" t="s">
        <v>308</v>
      </c>
      <c r="C47" s="149">
        <v>14</v>
      </c>
      <c r="D47" s="149">
        <v>19</v>
      </c>
      <c r="E47" s="149">
        <v>30</v>
      </c>
      <c r="F47" s="148">
        <v>31</v>
      </c>
      <c r="G47" s="149">
        <v>28</v>
      </c>
      <c r="H47" s="149">
        <v>27</v>
      </c>
      <c r="I47" s="149">
        <v>79</v>
      </c>
      <c r="J47" s="148">
        <v>27</v>
      </c>
      <c r="K47" s="149">
        <v>18</v>
      </c>
      <c r="L47" s="149">
        <v>19</v>
      </c>
      <c r="M47" s="149">
        <v>22</v>
      </c>
      <c r="N47" s="148">
        <v>25</v>
      </c>
      <c r="O47" s="149">
        <v>28</v>
      </c>
      <c r="P47" s="149">
        <v>24</v>
      </c>
      <c r="Q47" s="149">
        <v>40</v>
      </c>
      <c r="R47" s="149">
        <v>47</v>
      </c>
    </row>
    <row r="48" spans="2:18" s="84" customFormat="1" x14ac:dyDescent="0.2">
      <c r="B48" s="268" t="s">
        <v>309</v>
      </c>
      <c r="C48" s="149">
        <v>19</v>
      </c>
      <c r="D48" s="149">
        <v>10</v>
      </c>
      <c r="E48" s="149">
        <v>10</v>
      </c>
      <c r="F48" s="148">
        <v>16</v>
      </c>
      <c r="G48" s="149">
        <v>18</v>
      </c>
      <c r="H48" s="149">
        <v>8</v>
      </c>
      <c r="I48" s="149">
        <v>14</v>
      </c>
      <c r="J48" s="148">
        <v>5</v>
      </c>
      <c r="K48" s="149">
        <v>20</v>
      </c>
      <c r="L48" s="149">
        <v>2</v>
      </c>
      <c r="M48" s="149">
        <v>5</v>
      </c>
      <c r="N48" s="148">
        <v>7</v>
      </c>
      <c r="O48" s="149">
        <v>17</v>
      </c>
      <c r="P48" s="149">
        <v>4</v>
      </c>
      <c r="Q48" s="149">
        <v>5</v>
      </c>
      <c r="R48" s="149">
        <v>5</v>
      </c>
    </row>
    <row r="49" spans="2:19" s="84" customFormat="1" x14ac:dyDescent="0.2">
      <c r="B49" s="490" t="s">
        <v>310</v>
      </c>
      <c r="C49" s="149">
        <v>-8</v>
      </c>
      <c r="D49" s="149">
        <v>-28</v>
      </c>
      <c r="E49" s="149">
        <v>-53</v>
      </c>
      <c r="F49" s="148">
        <v>-81</v>
      </c>
      <c r="G49" s="149">
        <v>-12</v>
      </c>
      <c r="H49" s="149">
        <v>-22</v>
      </c>
      <c r="I49" s="149">
        <v>-14</v>
      </c>
      <c r="J49" s="148">
        <v>-43</v>
      </c>
      <c r="K49" s="149">
        <v>-5</v>
      </c>
      <c r="L49" s="149">
        <v>-19</v>
      </c>
      <c r="M49" s="149">
        <v>-45</v>
      </c>
      <c r="N49" s="148">
        <v>-31</v>
      </c>
      <c r="O49" s="149">
        <v>-23</v>
      </c>
      <c r="P49" s="149">
        <v>-22</v>
      </c>
      <c r="Q49" s="149">
        <v>-23</v>
      </c>
      <c r="R49" s="149">
        <v>-40</v>
      </c>
    </row>
    <row r="50" spans="2:19" s="84" customFormat="1" x14ac:dyDescent="0.2">
      <c r="B50" s="268" t="s">
        <v>311</v>
      </c>
      <c r="C50" s="149">
        <v>1</v>
      </c>
      <c r="D50" s="149">
        <v>9</v>
      </c>
      <c r="E50" s="149">
        <v>16</v>
      </c>
      <c r="F50" s="148">
        <v>-13</v>
      </c>
      <c r="G50" s="149">
        <v>6</v>
      </c>
      <c r="H50" s="149">
        <v>4</v>
      </c>
      <c r="I50" s="149">
        <v>0</v>
      </c>
      <c r="J50" s="148">
        <v>7</v>
      </c>
      <c r="K50" s="149">
        <v>3</v>
      </c>
      <c r="L50" s="149">
        <v>-8</v>
      </c>
      <c r="M50" s="149">
        <v>-160</v>
      </c>
      <c r="N50" s="148">
        <v>18</v>
      </c>
      <c r="O50" s="149">
        <v>54</v>
      </c>
      <c r="P50" s="149">
        <v>31</v>
      </c>
      <c r="Q50" s="149">
        <v>-30</v>
      </c>
      <c r="R50" s="149">
        <v>39</v>
      </c>
    </row>
    <row r="51" spans="2:19" s="84" customFormat="1" x14ac:dyDescent="0.2">
      <c r="B51" s="268" t="s">
        <v>312</v>
      </c>
      <c r="C51" s="149">
        <v>0</v>
      </c>
      <c r="D51" s="149">
        <v>0</v>
      </c>
      <c r="E51" s="149">
        <v>0</v>
      </c>
      <c r="F51" s="148">
        <v>0</v>
      </c>
      <c r="G51" s="149">
        <v>-64</v>
      </c>
      <c r="H51" s="149">
        <v>59</v>
      </c>
      <c r="I51" s="149">
        <v>-26</v>
      </c>
      <c r="J51" s="148">
        <v>-36</v>
      </c>
      <c r="K51" s="149">
        <v>292</v>
      </c>
      <c r="L51" s="149">
        <v>-308</v>
      </c>
      <c r="M51" s="149">
        <v>75</v>
      </c>
      <c r="N51" s="148">
        <v>-109</v>
      </c>
      <c r="O51" s="149">
        <v>61</v>
      </c>
      <c r="P51" s="149">
        <v>5</v>
      </c>
      <c r="Q51" s="149">
        <v>-33</v>
      </c>
      <c r="R51" s="149">
        <v>23</v>
      </c>
    </row>
    <row r="52" spans="2:19" s="84" customFormat="1" x14ac:dyDescent="0.2">
      <c r="B52" s="268" t="s">
        <v>313</v>
      </c>
      <c r="C52" s="149">
        <v>0</v>
      </c>
      <c r="D52" s="149">
        <v>0</v>
      </c>
      <c r="E52" s="149">
        <v>0</v>
      </c>
      <c r="F52" s="148">
        <v>0</v>
      </c>
      <c r="G52" s="149">
        <v>19</v>
      </c>
      <c r="H52" s="149">
        <v>-35</v>
      </c>
      <c r="I52" s="149">
        <v>48</v>
      </c>
      <c r="J52" s="148">
        <v>-5</v>
      </c>
      <c r="K52" s="149">
        <v>124</v>
      </c>
      <c r="L52" s="149">
        <v>327</v>
      </c>
      <c r="M52" s="149">
        <v>-49</v>
      </c>
      <c r="N52" s="148">
        <v>-7</v>
      </c>
      <c r="O52" s="149">
        <v>-273</v>
      </c>
      <c r="P52" s="149">
        <v>-74</v>
      </c>
      <c r="Q52" s="149">
        <v>-44</v>
      </c>
      <c r="R52" s="149">
        <v>-39</v>
      </c>
    </row>
    <row r="53" spans="2:19" s="84" customFormat="1" x14ac:dyDescent="0.2">
      <c r="B53" s="268" t="s">
        <v>314</v>
      </c>
      <c r="C53" s="149">
        <v>0</v>
      </c>
      <c r="D53" s="149">
        <v>-50</v>
      </c>
      <c r="E53" s="149">
        <v>-21</v>
      </c>
      <c r="F53" s="148">
        <v>-19</v>
      </c>
      <c r="G53" s="149">
        <v>-13</v>
      </c>
      <c r="H53" s="149">
        <v>-14</v>
      </c>
      <c r="I53" s="149">
        <v>-13</v>
      </c>
      <c r="J53" s="148">
        <v>-12</v>
      </c>
      <c r="K53" s="149">
        <v>0</v>
      </c>
      <c r="L53" s="149">
        <v>0</v>
      </c>
      <c r="M53" s="149">
        <v>3</v>
      </c>
      <c r="N53" s="148">
        <v>-30</v>
      </c>
      <c r="O53" s="149">
        <v>-13</v>
      </c>
      <c r="P53" s="149">
        <v>-15</v>
      </c>
      <c r="Q53" s="149">
        <v>-15</v>
      </c>
      <c r="R53" s="149">
        <v>-37</v>
      </c>
    </row>
    <row r="54" spans="2:19" s="84" customFormat="1" x14ac:dyDescent="0.2">
      <c r="B54" s="268" t="s">
        <v>169</v>
      </c>
      <c r="C54" s="149">
        <v>-16</v>
      </c>
      <c r="D54" s="149">
        <v>10</v>
      </c>
      <c r="E54" s="149">
        <v>-2</v>
      </c>
      <c r="F54" s="148">
        <v>21</v>
      </c>
      <c r="G54" s="149">
        <v>-6</v>
      </c>
      <c r="H54" s="149">
        <v>-2</v>
      </c>
      <c r="I54" s="149">
        <v>18</v>
      </c>
      <c r="J54" s="148">
        <v>-41</v>
      </c>
      <c r="K54" s="149">
        <v>-17</v>
      </c>
      <c r="L54" s="149">
        <v>50</v>
      </c>
      <c r="M54" s="149">
        <v>55</v>
      </c>
      <c r="N54" s="148">
        <v>-50</v>
      </c>
      <c r="O54" s="149">
        <v>-7</v>
      </c>
      <c r="P54" s="149">
        <v>-2</v>
      </c>
      <c r="Q54" s="149">
        <v>-15</v>
      </c>
      <c r="R54" s="149">
        <v>4</v>
      </c>
    </row>
    <row r="55" spans="2:19" x14ac:dyDescent="0.2">
      <c r="I55" s="47"/>
      <c r="J55" s="46"/>
      <c r="L55" s="47"/>
      <c r="N55" s="46"/>
      <c r="Q55" s="213"/>
      <c r="R55" s="213"/>
      <c r="S55" s="107"/>
    </row>
    <row r="57" spans="2:19" ht="14.25" x14ac:dyDescent="0.2">
      <c r="B57" s="269" t="s">
        <v>315</v>
      </c>
    </row>
    <row r="58" spans="2:19" ht="14.25" x14ac:dyDescent="0.2">
      <c r="B58" s="269" t="s">
        <v>316</v>
      </c>
    </row>
    <row r="60" spans="2:19" ht="14.25" x14ac:dyDescent="0.2">
      <c r="B60" s="495"/>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N30"/>
  <sheetViews>
    <sheetView showGridLines="0" zoomScale="70" zoomScaleNormal="70" workbookViewId="0">
      <pane xSplit="2" ySplit="5" topLeftCell="C6" activePane="bottomRight" state="frozen"/>
      <selection pane="topRight"/>
      <selection pane="bottomLeft"/>
      <selection pane="bottomRight"/>
    </sheetView>
  </sheetViews>
  <sheetFormatPr defaultColWidth="9.140625" defaultRowHeight="15" outlineLevelCol="1" x14ac:dyDescent="0.2"/>
  <cols>
    <col min="1" max="1" width="1.42578125" style="107" customWidth="1"/>
    <col min="2" max="2" width="70.28515625" style="84" customWidth="1"/>
    <col min="3" max="4" width="10.7109375" style="46" customWidth="1" outlineLevel="1"/>
    <col min="5" max="5" width="10.7109375" style="47" customWidth="1" outlineLevel="1"/>
    <col min="6" max="8" width="10.7109375" style="46" customWidth="1" outlineLevel="1"/>
    <col min="9" max="9" width="10.7109375" style="47" customWidth="1" outlineLevel="1"/>
    <col min="10" max="13" width="10.7109375" style="46" customWidth="1"/>
    <col min="14" max="14" width="12.85546875" style="213" customWidth="1"/>
    <col min="15" max="16384" width="9.140625" style="107"/>
  </cols>
  <sheetData>
    <row r="1" spans="1:14" ht="41.25" customHeight="1" x14ac:dyDescent="0.2">
      <c r="A1" s="234"/>
      <c r="B1" s="102"/>
      <c r="C1" s="42"/>
      <c r="D1" s="42"/>
      <c r="E1" s="43"/>
      <c r="F1" s="42"/>
      <c r="G1" s="42"/>
      <c r="H1" s="42"/>
      <c r="I1" s="43"/>
      <c r="J1" s="42"/>
      <c r="K1" s="42"/>
      <c r="L1" s="42"/>
      <c r="M1" s="42"/>
    </row>
    <row r="2" spans="1:14" ht="18" x14ac:dyDescent="0.2">
      <c r="A2" s="214"/>
      <c r="B2" s="85" t="s">
        <v>546</v>
      </c>
      <c r="C2" s="44"/>
      <c r="D2" s="44"/>
      <c r="E2" s="45"/>
      <c r="F2" s="44"/>
      <c r="G2" s="44"/>
      <c r="H2" s="44"/>
      <c r="I2" s="45"/>
      <c r="J2" s="44"/>
      <c r="K2" s="44"/>
      <c r="L2" s="44"/>
      <c r="M2" s="44"/>
    </row>
    <row r="3" spans="1:14" ht="7.5" customHeight="1" x14ac:dyDescent="0.2">
      <c r="N3" s="107"/>
    </row>
    <row r="4" spans="1:14" ht="15.75" x14ac:dyDescent="0.2">
      <c r="B4" s="86"/>
      <c r="C4" s="48" t="s">
        <v>283</v>
      </c>
      <c r="D4" s="48" t="s">
        <v>284</v>
      </c>
      <c r="E4" s="49" t="s">
        <v>285</v>
      </c>
      <c r="F4" s="48" t="s">
        <v>286</v>
      </c>
      <c r="G4" s="48" t="s">
        <v>287</v>
      </c>
      <c r="H4" s="48" t="s">
        <v>288</v>
      </c>
      <c r="I4" s="49" t="s">
        <v>289</v>
      </c>
      <c r="J4" s="48" t="s">
        <v>290</v>
      </c>
      <c r="K4" s="48" t="s">
        <v>291</v>
      </c>
      <c r="L4" s="48" t="s">
        <v>292</v>
      </c>
      <c r="M4" s="48" t="s">
        <v>570</v>
      </c>
      <c r="N4" s="107"/>
    </row>
    <row r="5" spans="1:14" s="501" customFormat="1" ht="15.75" x14ac:dyDescent="0.25">
      <c r="C5" s="501">
        <v>43646</v>
      </c>
      <c r="D5" s="501">
        <v>43738</v>
      </c>
      <c r="E5" s="501">
        <v>43830</v>
      </c>
      <c r="F5" s="501">
        <v>43921</v>
      </c>
      <c r="G5" s="501">
        <v>44012</v>
      </c>
      <c r="H5" s="501">
        <v>44104</v>
      </c>
      <c r="I5" s="501">
        <v>44196</v>
      </c>
      <c r="J5" s="501">
        <v>44286</v>
      </c>
      <c r="K5" s="501">
        <v>44377</v>
      </c>
      <c r="L5" s="501">
        <v>44469</v>
      </c>
      <c r="M5" s="501">
        <v>43099</v>
      </c>
    </row>
    <row r="6" spans="1:14" ht="7.5" customHeight="1" x14ac:dyDescent="0.2">
      <c r="C6" s="42"/>
      <c r="D6" s="42"/>
      <c r="E6" s="43"/>
      <c r="F6" s="42"/>
      <c r="G6" s="42"/>
      <c r="H6" s="270"/>
      <c r="I6" s="43"/>
      <c r="J6" s="42"/>
      <c r="K6" s="42"/>
      <c r="L6" s="42"/>
      <c r="M6" s="42"/>
      <c r="N6" s="107"/>
    </row>
    <row r="7" spans="1:14" s="180" customFormat="1" ht="18" x14ac:dyDescent="0.25">
      <c r="B7" s="88" t="s">
        <v>317</v>
      </c>
      <c r="C7" s="52"/>
      <c r="D7" s="52"/>
      <c r="E7" s="53"/>
      <c r="F7" s="52"/>
      <c r="G7" s="52"/>
      <c r="H7" s="52"/>
      <c r="I7" s="53"/>
      <c r="J7" s="52"/>
      <c r="K7" s="54"/>
      <c r="L7" s="52"/>
      <c r="M7" s="52"/>
      <c r="N7" s="216"/>
    </row>
    <row r="8" spans="1:14" s="180" customFormat="1" ht="15.75" x14ac:dyDescent="0.25">
      <c r="B8" s="271" t="s">
        <v>318</v>
      </c>
      <c r="C8" s="272">
        <v>-901</v>
      </c>
      <c r="D8" s="272">
        <v>-169</v>
      </c>
      <c r="E8" s="272">
        <v>-879</v>
      </c>
      <c r="F8" s="272">
        <v>-554</v>
      </c>
      <c r="G8" s="272">
        <v>60</v>
      </c>
      <c r="H8" s="272">
        <v>-703</v>
      </c>
      <c r="I8" s="272">
        <v>-87</v>
      </c>
      <c r="J8" s="272">
        <v>-887</v>
      </c>
      <c r="K8" s="272">
        <v>-498</v>
      </c>
      <c r="L8" s="273">
        <f>-539</f>
        <v>-539</v>
      </c>
      <c r="M8" s="273">
        <v>-758</v>
      </c>
      <c r="N8" s="216"/>
    </row>
    <row r="9" spans="1:14" s="251" customFormat="1" ht="18" x14ac:dyDescent="0.25">
      <c r="B9" s="274" t="s">
        <v>319</v>
      </c>
      <c r="C9" s="275">
        <v>35</v>
      </c>
      <c r="D9" s="275">
        <v>48</v>
      </c>
      <c r="E9" s="275">
        <v>5</v>
      </c>
      <c r="F9" s="275">
        <v>-124</v>
      </c>
      <c r="G9" s="275">
        <v>-327</v>
      </c>
      <c r="H9" s="275">
        <v>49</v>
      </c>
      <c r="I9" s="275">
        <v>7</v>
      </c>
      <c r="J9" s="275">
        <v>273</v>
      </c>
      <c r="K9" s="275">
        <v>74</v>
      </c>
      <c r="L9" s="275">
        <v>44</v>
      </c>
      <c r="M9" s="275">
        <v>39</v>
      </c>
    </row>
    <row r="10" spans="1:14" x14ac:dyDescent="0.2">
      <c r="B10" s="274" t="s">
        <v>320</v>
      </c>
      <c r="C10" s="275">
        <v>0</v>
      </c>
      <c r="D10" s="275">
        <v>0</v>
      </c>
      <c r="E10" s="275"/>
      <c r="F10" s="275">
        <v>0</v>
      </c>
      <c r="G10" s="275"/>
      <c r="H10" s="275"/>
      <c r="I10" s="275">
        <v>0</v>
      </c>
      <c r="J10" s="275">
        <v>0</v>
      </c>
      <c r="K10" s="275">
        <v>0</v>
      </c>
      <c r="L10" s="275">
        <v>0</v>
      </c>
      <c r="M10" s="275">
        <v>0</v>
      </c>
    </row>
    <row r="11" spans="1:14" x14ac:dyDescent="0.2">
      <c r="B11" s="274" t="s">
        <v>321</v>
      </c>
      <c r="C11" s="275">
        <v>0</v>
      </c>
      <c r="D11" s="275">
        <v>0</v>
      </c>
      <c r="E11" s="275">
        <v>0</v>
      </c>
      <c r="F11" s="275">
        <v>0</v>
      </c>
      <c r="G11" s="275">
        <v>-376</v>
      </c>
      <c r="H11" s="275">
        <v>-16</v>
      </c>
      <c r="I11" s="275">
        <v>-647</v>
      </c>
      <c r="J11" s="275">
        <v>0</v>
      </c>
      <c r="K11" s="275">
        <v>-79</v>
      </c>
      <c r="L11" s="275">
        <v>0</v>
      </c>
      <c r="M11" s="275">
        <v>0</v>
      </c>
    </row>
    <row r="12" spans="1:14" x14ac:dyDescent="0.2">
      <c r="B12" s="274" t="s">
        <v>19</v>
      </c>
      <c r="C12" s="275"/>
      <c r="D12" s="275">
        <v>0</v>
      </c>
      <c r="E12" s="275">
        <v>0</v>
      </c>
      <c r="F12" s="275"/>
      <c r="G12" s="275">
        <v>0</v>
      </c>
      <c r="H12" s="275">
        <v>111</v>
      </c>
      <c r="I12" s="275">
        <v>79</v>
      </c>
      <c r="J12" s="275">
        <v>50</v>
      </c>
      <c r="K12" s="275">
        <v>50</v>
      </c>
      <c r="L12" s="275">
        <v>58</v>
      </c>
      <c r="M12" s="275">
        <v>81</v>
      </c>
    </row>
    <row r="13" spans="1:14" x14ac:dyDescent="0.2">
      <c r="B13" s="276" t="s">
        <v>20</v>
      </c>
      <c r="C13" s="275"/>
      <c r="D13" s="275"/>
      <c r="E13" s="275"/>
      <c r="F13" s="275"/>
      <c r="G13" s="275">
        <v>0</v>
      </c>
      <c r="H13" s="275">
        <v>0</v>
      </c>
      <c r="I13" s="275"/>
      <c r="J13" s="275"/>
      <c r="K13" s="275"/>
      <c r="L13" s="275"/>
      <c r="M13" s="275"/>
    </row>
    <row r="14" spans="1:14" s="84" customFormat="1" ht="15.75" x14ac:dyDescent="0.2">
      <c r="B14" s="265" t="s">
        <v>322</v>
      </c>
      <c r="C14" s="277">
        <f t="shared" ref="C14:L14" si="0">SUM(C7:C13)</f>
        <v>-866</v>
      </c>
      <c r="D14" s="277">
        <f t="shared" si="0"/>
        <v>-121</v>
      </c>
      <c r="E14" s="277">
        <f t="shared" si="0"/>
        <v>-874</v>
      </c>
      <c r="F14" s="277">
        <f t="shared" si="0"/>
        <v>-678</v>
      </c>
      <c r="G14" s="277">
        <f t="shared" si="0"/>
        <v>-643</v>
      </c>
      <c r="H14" s="277">
        <f t="shared" si="0"/>
        <v>-559</v>
      </c>
      <c r="I14" s="277">
        <f t="shared" si="0"/>
        <v>-648</v>
      </c>
      <c r="J14" s="277">
        <f t="shared" si="0"/>
        <v>-564</v>
      </c>
      <c r="K14" s="277">
        <f t="shared" si="0"/>
        <v>-453</v>
      </c>
      <c r="L14" s="277">
        <f t="shared" si="0"/>
        <v>-437</v>
      </c>
      <c r="M14" s="277">
        <v>-638</v>
      </c>
    </row>
    <row r="15" spans="1:14" ht="13.5" customHeight="1" x14ac:dyDescent="0.2">
      <c r="B15" s="278"/>
      <c r="C15" s="242"/>
      <c r="D15" s="242"/>
      <c r="E15" s="243"/>
      <c r="F15" s="242"/>
      <c r="G15" s="242"/>
      <c r="H15" s="279"/>
      <c r="I15" s="243"/>
      <c r="J15" s="242"/>
      <c r="K15" s="261"/>
      <c r="L15" s="242"/>
      <c r="M15" s="242"/>
    </row>
    <row r="16" spans="1:14" ht="18" x14ac:dyDescent="0.25">
      <c r="B16" s="88" t="s">
        <v>323</v>
      </c>
      <c r="C16" s="55"/>
      <c r="D16" s="55"/>
      <c r="E16" s="56"/>
      <c r="F16" s="55"/>
      <c r="G16" s="55"/>
      <c r="H16" s="55"/>
      <c r="I16" s="56"/>
      <c r="J16" s="55"/>
      <c r="K16" s="54"/>
      <c r="L16" s="55"/>
      <c r="M16" s="55"/>
    </row>
    <row r="17" spans="1:14" ht="15.75" x14ac:dyDescent="0.25">
      <c r="B17" s="280" t="s">
        <v>324</v>
      </c>
      <c r="C17" s="272">
        <v>-345</v>
      </c>
      <c r="D17" s="272">
        <v>-255</v>
      </c>
      <c r="E17" s="272">
        <v>-325</v>
      </c>
      <c r="F17" s="272">
        <v>-177</v>
      </c>
      <c r="G17" s="272">
        <v>-18</v>
      </c>
      <c r="H17" s="272">
        <v>-324</v>
      </c>
      <c r="I17" s="272">
        <v>-299</v>
      </c>
      <c r="J17" s="272">
        <v>-397</v>
      </c>
      <c r="K17" s="272">
        <v>-290</v>
      </c>
      <c r="L17" s="272">
        <v>-280</v>
      </c>
      <c r="M17" s="272">
        <v>-337</v>
      </c>
    </row>
    <row r="18" spans="1:14" x14ac:dyDescent="0.2">
      <c r="B18" s="274" t="s">
        <v>325</v>
      </c>
      <c r="C18" s="275">
        <v>23</v>
      </c>
      <c r="D18" s="275">
        <v>27</v>
      </c>
      <c r="E18" s="275">
        <v>3</v>
      </c>
      <c r="F18" s="275">
        <v>-75</v>
      </c>
      <c r="G18" s="275">
        <v>-221</v>
      </c>
      <c r="H18" s="275">
        <v>29</v>
      </c>
      <c r="I18" s="275">
        <v>14</v>
      </c>
      <c r="J18" s="275">
        <v>172</v>
      </c>
      <c r="K18" s="275">
        <v>51</v>
      </c>
      <c r="L18" s="275">
        <v>26</v>
      </c>
      <c r="M18" s="275">
        <v>32</v>
      </c>
    </row>
    <row r="19" spans="1:14" x14ac:dyDescent="0.2">
      <c r="B19" s="274" t="s">
        <v>19</v>
      </c>
      <c r="C19" s="275"/>
      <c r="D19" s="275"/>
      <c r="E19" s="275">
        <v>0</v>
      </c>
      <c r="F19" s="275"/>
      <c r="G19" s="275"/>
      <c r="H19" s="275">
        <v>78</v>
      </c>
      <c r="I19" s="275">
        <v>56</v>
      </c>
      <c r="J19" s="275">
        <v>36</v>
      </c>
      <c r="K19" s="275">
        <v>36</v>
      </c>
      <c r="L19" s="275">
        <v>41</v>
      </c>
      <c r="M19" s="275">
        <v>57</v>
      </c>
    </row>
    <row r="20" spans="1:14" s="84" customFormat="1" ht="15.75" x14ac:dyDescent="0.2">
      <c r="B20" s="265" t="s">
        <v>326</v>
      </c>
      <c r="C20" s="277">
        <f t="shared" ref="C20:L20" si="1">SUM(C17:C19)</f>
        <v>-322</v>
      </c>
      <c r="D20" s="277">
        <f t="shared" si="1"/>
        <v>-228</v>
      </c>
      <c r="E20" s="277">
        <f t="shared" si="1"/>
        <v>-322</v>
      </c>
      <c r="F20" s="277">
        <f t="shared" si="1"/>
        <v>-252</v>
      </c>
      <c r="G20" s="277">
        <f t="shared" si="1"/>
        <v>-239</v>
      </c>
      <c r="H20" s="277">
        <f t="shared" si="1"/>
        <v>-217</v>
      </c>
      <c r="I20" s="277">
        <f t="shared" si="1"/>
        <v>-229</v>
      </c>
      <c r="J20" s="277">
        <f t="shared" si="1"/>
        <v>-189</v>
      </c>
      <c r="K20" s="277">
        <f t="shared" si="1"/>
        <v>-203</v>
      </c>
      <c r="L20" s="277">
        <f t="shared" si="1"/>
        <v>-213</v>
      </c>
      <c r="M20" s="277">
        <v>-248</v>
      </c>
    </row>
    <row r="21" spans="1:14" x14ac:dyDescent="0.2">
      <c r="B21" s="281"/>
      <c r="C21" s="242"/>
      <c r="D21" s="242"/>
      <c r="E21" s="243"/>
      <c r="F21" s="242"/>
      <c r="G21" s="242"/>
      <c r="H21" s="279"/>
      <c r="I21" s="243"/>
      <c r="J21" s="242"/>
      <c r="K21" s="261"/>
      <c r="L21" s="242"/>
      <c r="M21" s="242"/>
    </row>
    <row r="22" spans="1:14" ht="18" x14ac:dyDescent="0.25">
      <c r="B22" s="88" t="s">
        <v>327</v>
      </c>
      <c r="C22" s="55"/>
      <c r="D22" s="55"/>
      <c r="E22" s="56"/>
      <c r="F22" s="55"/>
      <c r="G22" s="55"/>
      <c r="H22" s="55"/>
      <c r="I22" s="56"/>
      <c r="J22" s="55"/>
      <c r="K22" s="54"/>
      <c r="L22" s="55"/>
      <c r="M22" s="55"/>
    </row>
    <row r="23" spans="1:14" s="46" customFormat="1" ht="15.75" x14ac:dyDescent="0.25">
      <c r="A23" s="107"/>
      <c r="B23" s="280" t="s">
        <v>21</v>
      </c>
      <c r="C23" s="272">
        <v>-265</v>
      </c>
      <c r="D23" s="272">
        <v>-192</v>
      </c>
      <c r="E23" s="272">
        <v>-265</v>
      </c>
      <c r="F23" s="272">
        <v>-155</v>
      </c>
      <c r="G23" s="272">
        <v>-112</v>
      </c>
      <c r="H23" s="272">
        <v>-270</v>
      </c>
      <c r="I23" s="272">
        <v>-186</v>
      </c>
      <c r="J23" s="272">
        <v>-453</v>
      </c>
      <c r="K23" s="272">
        <v>-256</v>
      </c>
      <c r="L23" s="272">
        <v>-185</v>
      </c>
      <c r="M23" s="272">
        <v>-303</v>
      </c>
      <c r="N23" s="213"/>
    </row>
    <row r="24" spans="1:14" x14ac:dyDescent="0.2">
      <c r="B24" s="274" t="s">
        <v>325</v>
      </c>
      <c r="C24" s="275">
        <v>-12</v>
      </c>
      <c r="D24" s="275">
        <v>-21</v>
      </c>
      <c r="E24" s="275">
        <v>2</v>
      </c>
      <c r="F24" s="275">
        <v>-49</v>
      </c>
      <c r="G24" s="275">
        <v>-106</v>
      </c>
      <c r="H24" s="275">
        <v>20</v>
      </c>
      <c r="I24" s="275">
        <v>-7</v>
      </c>
      <c r="J24" s="275">
        <v>101</v>
      </c>
      <c r="K24" s="275">
        <v>23</v>
      </c>
      <c r="L24" s="275">
        <v>18</v>
      </c>
      <c r="M24" s="275">
        <v>7</v>
      </c>
    </row>
    <row r="25" spans="1:14" x14ac:dyDescent="0.2">
      <c r="B25" s="274" t="s">
        <v>19</v>
      </c>
      <c r="C25" s="275"/>
      <c r="D25" s="275">
        <v>0</v>
      </c>
      <c r="E25" s="275">
        <v>0</v>
      </c>
      <c r="F25" s="275"/>
      <c r="G25" s="275"/>
      <c r="H25" s="275">
        <v>33</v>
      </c>
      <c r="I25" s="275">
        <v>23</v>
      </c>
      <c r="J25" s="275">
        <v>14</v>
      </c>
      <c r="K25" s="275">
        <v>14</v>
      </c>
      <c r="L25" s="275">
        <v>17</v>
      </c>
      <c r="M25" s="275">
        <v>24</v>
      </c>
    </row>
    <row r="26" spans="1:14" s="84" customFormat="1" ht="15.75" x14ac:dyDescent="0.2">
      <c r="B26" s="265" t="s">
        <v>326</v>
      </c>
      <c r="C26" s="277">
        <f t="shared" ref="C26:K26" si="2">SUM(C23:C25)</f>
        <v>-277</v>
      </c>
      <c r="D26" s="277">
        <f t="shared" si="2"/>
        <v>-213</v>
      </c>
      <c r="E26" s="277">
        <f t="shared" si="2"/>
        <v>-263</v>
      </c>
      <c r="F26" s="277">
        <f t="shared" si="2"/>
        <v>-204</v>
      </c>
      <c r="G26" s="277">
        <f t="shared" si="2"/>
        <v>-218</v>
      </c>
      <c r="H26" s="277">
        <f t="shared" si="2"/>
        <v>-217</v>
      </c>
      <c r="I26" s="277">
        <f t="shared" si="2"/>
        <v>-170</v>
      </c>
      <c r="J26" s="277">
        <f t="shared" si="2"/>
        <v>-338</v>
      </c>
      <c r="K26" s="277">
        <f t="shared" si="2"/>
        <v>-219</v>
      </c>
      <c r="L26" s="277">
        <f>SUM(L23:L25)</f>
        <v>-150</v>
      </c>
      <c r="M26" s="277">
        <v>-272</v>
      </c>
    </row>
    <row r="27" spans="1:14" x14ac:dyDescent="0.2">
      <c r="B27" s="281"/>
    </row>
    <row r="28" spans="1:14" ht="18" x14ac:dyDescent="0.25">
      <c r="B28" s="282"/>
    </row>
    <row r="29" spans="1:14" x14ac:dyDescent="0.2">
      <c r="B29" s="281"/>
    </row>
    <row r="30" spans="1:14" x14ac:dyDescent="0.2">
      <c r="B30" s="281"/>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T34"/>
  <sheetViews>
    <sheetView showGridLines="0" zoomScale="70" zoomScaleNormal="70" workbookViewId="0">
      <pane xSplit="2" ySplit="5" topLeftCell="C6" activePane="bottomRight" state="frozen"/>
      <selection pane="topRight"/>
      <selection pane="bottomLeft"/>
      <selection pane="bottomRight"/>
    </sheetView>
  </sheetViews>
  <sheetFormatPr defaultColWidth="9.140625" defaultRowHeight="15" outlineLevelCol="1" x14ac:dyDescent="0.2"/>
  <cols>
    <col min="1" max="1" width="1.42578125" style="107" customWidth="1"/>
    <col min="2" max="2" width="55.85546875" style="84" customWidth="1"/>
    <col min="3" max="3" width="10.7109375" style="47" customWidth="1" outlineLevel="1"/>
    <col min="4" max="6" width="10.7109375" style="46" customWidth="1" outlineLevel="1"/>
    <col min="7" max="7" width="10.7109375" style="47" customWidth="1" outlineLevel="1"/>
    <col min="8" max="10" width="10.7109375" style="46" customWidth="1" outlineLevel="1"/>
    <col min="11" max="11" width="10.7109375" style="47" customWidth="1" outlineLevel="1"/>
    <col min="12" max="12" width="11.5703125" style="46" customWidth="1" outlineLevel="1"/>
    <col min="13" max="14" width="10.7109375" style="46" customWidth="1" outlineLevel="1"/>
    <col min="15" max="15" width="11.5703125" style="47" customWidth="1" outlineLevel="1"/>
    <col min="16" max="16" width="12.5703125" style="46" customWidth="1"/>
    <col min="17" max="17" width="10" style="46" customWidth="1"/>
    <col min="18" max="19" width="11.28515625" style="46" customWidth="1"/>
    <col min="20" max="20" width="12.85546875" style="213" customWidth="1"/>
    <col min="21" max="16384" width="9.140625" style="107"/>
  </cols>
  <sheetData>
    <row r="1" spans="1:20" ht="41.25" customHeight="1" x14ac:dyDescent="0.2">
      <c r="A1" s="234"/>
      <c r="B1" s="102"/>
      <c r="C1" s="43"/>
      <c r="D1" s="42"/>
      <c r="E1" s="42"/>
      <c r="F1" s="42"/>
      <c r="G1" s="43"/>
      <c r="H1" s="42"/>
      <c r="I1" s="42"/>
      <c r="J1" s="42"/>
      <c r="K1" s="43"/>
      <c r="L1" s="42"/>
      <c r="M1" s="42"/>
      <c r="N1" s="42"/>
      <c r="O1" s="43"/>
      <c r="P1" s="42"/>
      <c r="Q1" s="42"/>
      <c r="R1" s="42"/>
      <c r="S1" s="42"/>
    </row>
    <row r="2" spans="1:20" ht="18" x14ac:dyDescent="0.2">
      <c r="A2" s="214"/>
      <c r="B2" s="85" t="s">
        <v>547</v>
      </c>
      <c r="C2" s="45"/>
      <c r="D2" s="44"/>
      <c r="E2" s="44"/>
      <c r="F2" s="44"/>
      <c r="G2" s="45"/>
      <c r="H2" s="44"/>
      <c r="I2" s="44"/>
      <c r="J2" s="44"/>
      <c r="K2" s="45"/>
      <c r="L2" s="44"/>
      <c r="M2" s="44"/>
      <c r="N2" s="44"/>
      <c r="O2" s="45"/>
      <c r="P2" s="44"/>
      <c r="Q2" s="44"/>
      <c r="R2" s="44"/>
      <c r="S2" s="44"/>
    </row>
    <row r="3" spans="1:20" ht="14.25" customHeight="1" x14ac:dyDescent="0.2">
      <c r="D3" s="283"/>
      <c r="E3" s="283"/>
      <c r="F3" s="283"/>
      <c r="H3" s="283"/>
      <c r="I3" s="283"/>
      <c r="J3" s="283"/>
      <c r="L3" s="283"/>
      <c r="M3" s="283"/>
      <c r="N3" s="283"/>
      <c r="P3" s="283"/>
      <c r="Q3" s="283"/>
      <c r="R3" s="283"/>
      <c r="S3" s="283"/>
      <c r="T3" s="107"/>
    </row>
    <row r="4" spans="1:20" ht="15.75" x14ac:dyDescent="0.2">
      <c r="B4" s="86"/>
      <c r="C4" s="49">
        <v>2017</v>
      </c>
      <c r="D4" s="48" t="s">
        <v>278</v>
      </c>
      <c r="E4" s="48" t="s">
        <v>279</v>
      </c>
      <c r="F4" s="48" t="s">
        <v>280</v>
      </c>
      <c r="G4" s="49" t="s">
        <v>281</v>
      </c>
      <c r="H4" s="48" t="s">
        <v>282</v>
      </c>
      <c r="I4" s="48" t="s">
        <v>283</v>
      </c>
      <c r="J4" s="48" t="s">
        <v>284</v>
      </c>
      <c r="K4" s="49" t="s">
        <v>285</v>
      </c>
      <c r="L4" s="48" t="s">
        <v>286</v>
      </c>
      <c r="M4" s="48" t="s">
        <v>287</v>
      </c>
      <c r="N4" s="48" t="s">
        <v>288</v>
      </c>
      <c r="O4" s="49" t="s">
        <v>289</v>
      </c>
      <c r="P4" s="48" t="s">
        <v>290</v>
      </c>
      <c r="Q4" s="48" t="s">
        <v>291</v>
      </c>
      <c r="R4" s="48" t="s">
        <v>292</v>
      </c>
      <c r="S4" s="48" t="s">
        <v>570</v>
      </c>
      <c r="T4" s="107"/>
    </row>
    <row r="5" spans="1:20" s="501" customFormat="1" ht="15.75" x14ac:dyDescent="0.25">
      <c r="C5" s="501">
        <v>43098</v>
      </c>
      <c r="D5" s="501">
        <v>43189</v>
      </c>
      <c r="E5" s="501">
        <v>43280</v>
      </c>
      <c r="F5" s="501">
        <v>43371</v>
      </c>
      <c r="G5" s="501">
        <v>43465</v>
      </c>
      <c r="H5" s="501">
        <v>43553</v>
      </c>
      <c r="I5" s="501">
        <v>43644</v>
      </c>
      <c r="J5" s="501">
        <v>43738</v>
      </c>
      <c r="K5" s="501">
        <v>43830</v>
      </c>
      <c r="L5" s="501">
        <v>43921</v>
      </c>
      <c r="M5" s="501">
        <v>44012</v>
      </c>
      <c r="N5" s="501">
        <v>44104</v>
      </c>
      <c r="O5" s="501">
        <v>44196</v>
      </c>
      <c r="P5" s="501">
        <v>44286</v>
      </c>
      <c r="Q5" s="501">
        <v>44377</v>
      </c>
      <c r="R5" s="501">
        <v>44469</v>
      </c>
      <c r="S5" s="501">
        <v>43099</v>
      </c>
    </row>
    <row r="6" spans="1:20" ht="7.5" customHeight="1" x14ac:dyDescent="0.2">
      <c r="C6" s="43"/>
      <c r="D6" s="42"/>
      <c r="E6" s="42"/>
      <c r="F6" s="42"/>
      <c r="G6" s="43"/>
      <c r="H6" s="42"/>
      <c r="I6" s="42"/>
      <c r="J6" s="42"/>
      <c r="K6" s="43"/>
      <c r="L6" s="42"/>
      <c r="M6" s="42"/>
      <c r="N6" s="42"/>
      <c r="O6" s="43"/>
      <c r="P6" s="42"/>
      <c r="Q6" s="42"/>
      <c r="R6" s="42"/>
      <c r="S6" s="42"/>
      <c r="T6" s="107"/>
    </row>
    <row r="7" spans="1:20" s="84" customFormat="1" ht="15.75" x14ac:dyDescent="0.2">
      <c r="B7" s="238" t="s">
        <v>237</v>
      </c>
      <c r="C7" s="240"/>
      <c r="D7" s="239"/>
      <c r="E7" s="239"/>
      <c r="F7" s="239"/>
      <c r="G7" s="240"/>
      <c r="H7" s="239"/>
      <c r="I7" s="239"/>
      <c r="J7" s="239"/>
      <c r="K7" s="240"/>
      <c r="L7" s="239"/>
      <c r="M7" s="239"/>
      <c r="N7" s="239"/>
      <c r="O7" s="240"/>
      <c r="P7" s="239"/>
      <c r="Q7" s="239"/>
      <c r="R7" s="239"/>
      <c r="S7" s="239"/>
    </row>
    <row r="8" spans="1:20" s="84" customFormat="1" ht="6.75" customHeight="1" x14ac:dyDescent="0.2">
      <c r="B8" s="241"/>
      <c r="C8" s="243"/>
      <c r="D8" s="242"/>
      <c r="E8" s="242"/>
      <c r="F8" s="242"/>
      <c r="G8" s="243"/>
      <c r="H8" s="242"/>
      <c r="I8" s="242"/>
      <c r="J8" s="242"/>
      <c r="K8" s="243"/>
      <c r="L8" s="242"/>
      <c r="M8" s="242"/>
      <c r="N8" s="242"/>
      <c r="O8" s="243"/>
      <c r="P8" s="242"/>
      <c r="Q8" s="242"/>
      <c r="R8" s="242"/>
      <c r="S8" s="242"/>
    </row>
    <row r="9" spans="1:20" s="251" customFormat="1" ht="18" x14ac:dyDescent="0.25">
      <c r="B9" s="284" t="s">
        <v>162</v>
      </c>
      <c r="C9" s="285">
        <v>4640</v>
      </c>
      <c r="D9" s="286">
        <v>4585</v>
      </c>
      <c r="E9" s="286">
        <v>4521</v>
      </c>
      <c r="F9" s="286">
        <v>5552</v>
      </c>
      <c r="G9" s="285">
        <v>5524</v>
      </c>
      <c r="H9" s="286">
        <v>5434</v>
      </c>
      <c r="I9" s="286">
        <v>5412</v>
      </c>
      <c r="J9" s="286">
        <v>5489</v>
      </c>
      <c r="K9" s="285">
        <v>5957</v>
      </c>
      <c r="L9" s="286">
        <v>9531</v>
      </c>
      <c r="M9" s="286">
        <v>8424</v>
      </c>
      <c r="N9" s="286">
        <v>8512</v>
      </c>
      <c r="O9" s="285">
        <v>7757</v>
      </c>
      <c r="P9" s="286">
        <v>9014</v>
      </c>
      <c r="Q9" s="287">
        <v>8299</v>
      </c>
      <c r="R9" s="286">
        <v>9930</v>
      </c>
      <c r="S9" s="286">
        <v>13538</v>
      </c>
    </row>
    <row r="10" spans="1:20" x14ac:dyDescent="0.2">
      <c r="B10" s="284" t="s">
        <v>328</v>
      </c>
      <c r="C10" s="285">
        <v>72</v>
      </c>
      <c r="D10" s="286">
        <v>73</v>
      </c>
      <c r="E10" s="286">
        <v>74</v>
      </c>
      <c r="F10" s="286">
        <v>73</v>
      </c>
      <c r="G10" s="285">
        <v>48</v>
      </c>
      <c r="H10" s="286">
        <v>923</v>
      </c>
      <c r="I10" s="286">
        <v>743</v>
      </c>
      <c r="J10" s="286">
        <v>731</v>
      </c>
      <c r="K10" s="285">
        <v>818</v>
      </c>
      <c r="L10" s="286">
        <v>810</v>
      </c>
      <c r="M10" s="286">
        <v>796</v>
      </c>
      <c r="N10" s="286">
        <v>779</v>
      </c>
      <c r="O10" s="285">
        <v>796</v>
      </c>
      <c r="P10" s="286">
        <v>834</v>
      </c>
      <c r="Q10" s="287">
        <v>829</v>
      </c>
      <c r="R10" s="286">
        <v>858</v>
      </c>
      <c r="S10" s="286">
        <v>824</v>
      </c>
    </row>
    <row r="11" spans="1:20" s="84" customFormat="1" ht="15.75" x14ac:dyDescent="0.2">
      <c r="B11" s="288" t="s">
        <v>329</v>
      </c>
      <c r="C11" s="289">
        <f t="shared" ref="C11:R11" si="0">C9+C10</f>
        <v>4712</v>
      </c>
      <c r="D11" s="289">
        <f t="shared" si="0"/>
        <v>4658</v>
      </c>
      <c r="E11" s="289">
        <f t="shared" si="0"/>
        <v>4595</v>
      </c>
      <c r="F11" s="289">
        <f t="shared" si="0"/>
        <v>5625</v>
      </c>
      <c r="G11" s="289">
        <f t="shared" si="0"/>
        <v>5572</v>
      </c>
      <c r="H11" s="289">
        <f t="shared" si="0"/>
        <v>6357</v>
      </c>
      <c r="I11" s="289">
        <f t="shared" si="0"/>
        <v>6155</v>
      </c>
      <c r="J11" s="289">
        <f t="shared" si="0"/>
        <v>6220</v>
      </c>
      <c r="K11" s="289">
        <f t="shared" si="0"/>
        <v>6775</v>
      </c>
      <c r="L11" s="289">
        <f t="shared" si="0"/>
        <v>10341</v>
      </c>
      <c r="M11" s="289">
        <f t="shared" si="0"/>
        <v>9220</v>
      </c>
      <c r="N11" s="289">
        <f t="shared" si="0"/>
        <v>9291</v>
      </c>
      <c r="O11" s="289">
        <f t="shared" si="0"/>
        <v>8553</v>
      </c>
      <c r="P11" s="289">
        <f t="shared" si="0"/>
        <v>9848</v>
      </c>
      <c r="Q11" s="289">
        <f t="shared" si="0"/>
        <v>9128</v>
      </c>
      <c r="R11" s="289">
        <f t="shared" si="0"/>
        <v>10788</v>
      </c>
      <c r="S11" s="289">
        <v>14362</v>
      </c>
    </row>
    <row r="12" spans="1:20" s="290" customFormat="1" ht="8.25" customHeight="1" x14ac:dyDescent="0.2">
      <c r="B12" s="168"/>
      <c r="C12" s="291"/>
      <c r="D12" s="291"/>
      <c r="E12" s="291"/>
      <c r="F12" s="291"/>
      <c r="G12" s="291"/>
      <c r="H12" s="291"/>
      <c r="I12" s="291"/>
      <c r="J12" s="291"/>
      <c r="K12" s="291"/>
      <c r="L12" s="291"/>
      <c r="M12" s="291"/>
      <c r="N12" s="291"/>
      <c r="O12" s="291"/>
      <c r="P12" s="291"/>
      <c r="Q12" s="291"/>
      <c r="R12" s="291"/>
      <c r="S12" s="291"/>
    </row>
    <row r="13" spans="1:20" x14ac:dyDescent="0.2">
      <c r="B13" s="292" t="s">
        <v>11</v>
      </c>
      <c r="C13" s="105">
        <v>0</v>
      </c>
      <c r="D13" s="105">
        <v>0</v>
      </c>
      <c r="E13" s="105">
        <v>0</v>
      </c>
      <c r="F13" s="105">
        <v>0</v>
      </c>
      <c r="G13" s="105">
        <v>0</v>
      </c>
      <c r="H13" s="105">
        <v>0</v>
      </c>
      <c r="I13" s="105">
        <v>0</v>
      </c>
      <c r="J13" s="105">
        <v>0</v>
      </c>
      <c r="K13" s="105">
        <v>0</v>
      </c>
      <c r="L13" s="105">
        <v>-421</v>
      </c>
      <c r="M13" s="105">
        <v>-631</v>
      </c>
      <c r="N13" s="105">
        <v>-733</v>
      </c>
      <c r="O13" s="105">
        <v>-504</v>
      </c>
      <c r="P13" s="105">
        <v>-821</v>
      </c>
      <c r="Q13" s="105">
        <v>-183</v>
      </c>
      <c r="R13" s="105">
        <v>-578</v>
      </c>
      <c r="S13" s="105">
        <v>-626</v>
      </c>
    </row>
    <row r="14" spans="1:20" ht="6" customHeight="1" x14ac:dyDescent="0.2">
      <c r="B14" s="292"/>
      <c r="C14" s="104"/>
      <c r="D14" s="105"/>
      <c r="E14" s="105"/>
      <c r="F14" s="105"/>
      <c r="G14" s="104"/>
      <c r="H14" s="105"/>
      <c r="I14" s="105"/>
      <c r="J14" s="105"/>
      <c r="K14" s="104"/>
      <c r="L14" s="105"/>
      <c r="M14" s="105"/>
      <c r="N14" s="105"/>
      <c r="O14" s="104"/>
      <c r="P14" s="293"/>
      <c r="Q14" s="294"/>
      <c r="R14" s="105"/>
      <c r="S14" s="105"/>
    </row>
    <row r="15" spans="1:20" s="84" customFormat="1" ht="15.75" x14ac:dyDescent="0.2">
      <c r="B15" s="288" t="s">
        <v>330</v>
      </c>
      <c r="C15" s="295">
        <f t="shared" ref="C15:R15" si="1">C11+C13</f>
        <v>4712</v>
      </c>
      <c r="D15" s="289">
        <f t="shared" si="1"/>
        <v>4658</v>
      </c>
      <c r="E15" s="289">
        <f t="shared" si="1"/>
        <v>4595</v>
      </c>
      <c r="F15" s="289">
        <f t="shared" si="1"/>
        <v>5625</v>
      </c>
      <c r="G15" s="295">
        <f t="shared" si="1"/>
        <v>5572</v>
      </c>
      <c r="H15" s="289">
        <f t="shared" si="1"/>
        <v>6357</v>
      </c>
      <c r="I15" s="289">
        <f t="shared" si="1"/>
        <v>6155</v>
      </c>
      <c r="J15" s="289">
        <f t="shared" si="1"/>
        <v>6220</v>
      </c>
      <c r="K15" s="295">
        <f t="shared" si="1"/>
        <v>6775</v>
      </c>
      <c r="L15" s="289">
        <f t="shared" si="1"/>
        <v>9920</v>
      </c>
      <c r="M15" s="289">
        <f t="shared" si="1"/>
        <v>8589</v>
      </c>
      <c r="N15" s="289">
        <f t="shared" si="1"/>
        <v>8558</v>
      </c>
      <c r="O15" s="295">
        <f t="shared" si="1"/>
        <v>8049</v>
      </c>
      <c r="P15" s="289">
        <f t="shared" si="1"/>
        <v>9027</v>
      </c>
      <c r="Q15" s="289">
        <f t="shared" si="1"/>
        <v>8945</v>
      </c>
      <c r="R15" s="289">
        <f t="shared" si="1"/>
        <v>10210</v>
      </c>
      <c r="S15" s="289">
        <v>13736</v>
      </c>
    </row>
    <row r="16" spans="1:20" ht="18" x14ac:dyDescent="0.25">
      <c r="B16" s="258"/>
      <c r="C16" s="104"/>
      <c r="D16" s="105"/>
      <c r="E16" s="105"/>
      <c r="F16" s="105"/>
      <c r="G16" s="104"/>
      <c r="H16" s="105"/>
      <c r="I16" s="105"/>
      <c r="J16" s="105"/>
      <c r="K16" s="104"/>
      <c r="L16" s="105"/>
      <c r="M16" s="105"/>
      <c r="N16" s="105"/>
      <c r="O16" s="104"/>
      <c r="P16" s="105"/>
      <c r="Q16" s="296"/>
      <c r="R16" s="105"/>
      <c r="S16" s="105"/>
    </row>
    <row r="17" spans="2:19" s="84" customFormat="1" ht="15.75" x14ac:dyDescent="0.2">
      <c r="B17" s="168" t="s">
        <v>92</v>
      </c>
      <c r="C17" s="291">
        <v>483</v>
      </c>
      <c r="D17" s="291">
        <v>1105</v>
      </c>
      <c r="E17" s="291">
        <v>1352</v>
      </c>
      <c r="F17" s="291">
        <v>1500</v>
      </c>
      <c r="G17" s="291">
        <v>3057</v>
      </c>
      <c r="H17" s="291">
        <v>3849</v>
      </c>
      <c r="I17" s="291">
        <v>1885</v>
      </c>
      <c r="J17" s="291">
        <v>3909</v>
      </c>
      <c r="K17" s="291">
        <v>2362</v>
      </c>
      <c r="L17" s="291">
        <v>5997</v>
      </c>
      <c r="M17" s="291">
        <v>5307</v>
      </c>
      <c r="N17" s="291">
        <v>4476</v>
      </c>
      <c r="O17" s="291">
        <v>3358</v>
      </c>
      <c r="P17" s="291">
        <v>3893</v>
      </c>
      <c r="Q17" s="291">
        <v>2311</v>
      </c>
      <c r="R17" s="291">
        <v>2030</v>
      </c>
      <c r="S17" s="291">
        <v>3625</v>
      </c>
    </row>
    <row r="18" spans="2:19" ht="11.25" customHeight="1" x14ac:dyDescent="0.2">
      <c r="B18" s="260"/>
      <c r="C18" s="104"/>
      <c r="D18" s="105"/>
      <c r="E18" s="105"/>
      <c r="F18" s="105"/>
      <c r="G18" s="104"/>
      <c r="H18" s="105"/>
      <c r="I18" s="105"/>
      <c r="J18" s="105"/>
      <c r="K18" s="104"/>
      <c r="L18" s="105"/>
      <c r="M18" s="105"/>
      <c r="N18" s="105"/>
      <c r="O18" s="104"/>
      <c r="P18" s="105"/>
      <c r="Q18" s="296"/>
      <c r="R18" s="105"/>
      <c r="S18" s="105"/>
    </row>
    <row r="19" spans="2:19" s="84" customFormat="1" ht="15.75" x14ac:dyDescent="0.2">
      <c r="B19" s="95" t="s">
        <v>331</v>
      </c>
      <c r="C19" s="297">
        <v>3885</v>
      </c>
      <c r="D19" s="298">
        <f t="shared" ref="D19:R19" si="2">D15-D17</f>
        <v>3553</v>
      </c>
      <c r="E19" s="298">
        <f t="shared" si="2"/>
        <v>3243</v>
      </c>
      <c r="F19" s="298">
        <f t="shared" si="2"/>
        <v>4125</v>
      </c>
      <c r="G19" s="297">
        <f t="shared" si="2"/>
        <v>2515</v>
      </c>
      <c r="H19" s="298">
        <f t="shared" si="2"/>
        <v>2508</v>
      </c>
      <c r="I19" s="298">
        <f t="shared" si="2"/>
        <v>4270</v>
      </c>
      <c r="J19" s="298">
        <f t="shared" si="2"/>
        <v>2311</v>
      </c>
      <c r="K19" s="297">
        <f t="shared" si="2"/>
        <v>4413</v>
      </c>
      <c r="L19" s="298">
        <f t="shared" si="2"/>
        <v>3923</v>
      </c>
      <c r="M19" s="298">
        <f t="shared" si="2"/>
        <v>3282</v>
      </c>
      <c r="N19" s="298">
        <f t="shared" si="2"/>
        <v>4082</v>
      </c>
      <c r="O19" s="297">
        <f t="shared" si="2"/>
        <v>4691</v>
      </c>
      <c r="P19" s="298">
        <f t="shared" si="2"/>
        <v>5134</v>
      </c>
      <c r="Q19" s="298">
        <f t="shared" si="2"/>
        <v>6634</v>
      </c>
      <c r="R19" s="298">
        <f t="shared" si="2"/>
        <v>8180</v>
      </c>
      <c r="S19" s="298">
        <v>10111</v>
      </c>
    </row>
    <row r="20" spans="2:19" x14ac:dyDescent="0.2">
      <c r="C20" s="299"/>
      <c r="D20" s="105"/>
      <c r="E20" s="105"/>
      <c r="F20" s="105"/>
      <c r="G20" s="104"/>
      <c r="H20" s="105"/>
      <c r="I20" s="105"/>
      <c r="J20" s="105"/>
      <c r="K20" s="104"/>
      <c r="L20" s="105"/>
      <c r="M20" s="105"/>
      <c r="N20" s="105"/>
      <c r="O20" s="104"/>
      <c r="P20" s="105"/>
      <c r="Q20" s="296"/>
      <c r="R20" s="105"/>
      <c r="S20" s="105"/>
    </row>
    <row r="21" spans="2:19" s="84" customFormat="1" ht="15.75" x14ac:dyDescent="0.2">
      <c r="B21" s="168" t="s">
        <v>332</v>
      </c>
      <c r="C21" s="300">
        <v>3067</v>
      </c>
      <c r="D21" s="300">
        <v>3193</v>
      </c>
      <c r="E21" s="300">
        <v>3220</v>
      </c>
      <c r="F21" s="300">
        <v>2795</v>
      </c>
      <c r="G21" s="300">
        <v>2558</v>
      </c>
      <c r="H21" s="300">
        <v>2645</v>
      </c>
      <c r="I21" s="300">
        <v>2643</v>
      </c>
      <c r="J21" s="300">
        <v>2831</v>
      </c>
      <c r="K21" s="300">
        <v>3132</v>
      </c>
      <c r="L21" s="300">
        <v>2817</v>
      </c>
      <c r="M21" s="300">
        <v>3127</v>
      </c>
      <c r="N21" s="300">
        <v>3142</v>
      </c>
      <c r="O21" s="300">
        <v>3811</v>
      </c>
      <c r="P21" s="300">
        <v>4448</v>
      </c>
      <c r="Q21" s="300">
        <v>4650</v>
      </c>
      <c r="R21" s="300">
        <v>5001</v>
      </c>
      <c r="S21" s="300">
        <v>4983</v>
      </c>
    </row>
    <row r="22" spans="2:19" s="102" customFormat="1" ht="15.75" x14ac:dyDescent="0.2">
      <c r="B22" s="172" t="s">
        <v>333</v>
      </c>
      <c r="C22" s="301">
        <f t="shared" ref="C22:Q22" si="3">C19/C21</f>
        <v>1.2667101402021519</v>
      </c>
      <c r="D22" s="302">
        <f t="shared" si="3"/>
        <v>1.1127466332602569</v>
      </c>
      <c r="E22" s="302">
        <f t="shared" si="3"/>
        <v>1.0071428571428571</v>
      </c>
      <c r="F22" s="302">
        <f t="shared" si="3"/>
        <v>1.4758497316636852</v>
      </c>
      <c r="G22" s="302">
        <f>G19/G21</f>
        <v>0.98318999218139169</v>
      </c>
      <c r="H22" s="302">
        <f t="shared" si="3"/>
        <v>0.94820415879017017</v>
      </c>
      <c r="I22" s="302">
        <f t="shared" si="3"/>
        <v>1.6155883465758607</v>
      </c>
      <c r="J22" s="302">
        <f t="shared" si="3"/>
        <v>0.81631932179441891</v>
      </c>
      <c r="K22" s="302">
        <f t="shared" si="3"/>
        <v>1.4090038314176245</v>
      </c>
      <c r="L22" s="302">
        <f t="shared" si="3"/>
        <v>1.3926162584309549</v>
      </c>
      <c r="M22" s="302">
        <f t="shared" si="3"/>
        <v>1.049568276303166</v>
      </c>
      <c r="N22" s="302">
        <f t="shared" si="3"/>
        <v>1.2991725015913431</v>
      </c>
      <c r="O22" s="302">
        <f t="shared" si="3"/>
        <v>1.2309105221726582</v>
      </c>
      <c r="P22" s="302">
        <f t="shared" si="3"/>
        <v>1.1542266187050361</v>
      </c>
      <c r="Q22" s="302">
        <f t="shared" si="3"/>
        <v>1.4266666666666667</v>
      </c>
      <c r="R22" s="302">
        <f>R19/R21</f>
        <v>1.6356728654269146</v>
      </c>
      <c r="S22" s="302">
        <v>2.0290989363837046</v>
      </c>
    </row>
    <row r="23" spans="2:19" x14ac:dyDescent="0.2">
      <c r="C23" s="303"/>
      <c r="D23" s="304"/>
      <c r="E23" s="304"/>
      <c r="F23" s="304"/>
      <c r="G23" s="304"/>
      <c r="H23" s="304"/>
      <c r="I23" s="304"/>
      <c r="J23" s="304"/>
      <c r="K23" s="304"/>
      <c r="L23" s="304"/>
      <c r="M23" s="304"/>
      <c r="N23" s="304"/>
      <c r="O23" s="304"/>
      <c r="P23" s="304"/>
      <c r="Q23" s="304"/>
      <c r="R23" s="304"/>
      <c r="S23" s="304"/>
    </row>
    <row r="24" spans="2:19" s="84" customFormat="1" ht="15.75" x14ac:dyDescent="0.2">
      <c r="B24" s="491" t="s">
        <v>334</v>
      </c>
      <c r="C24" s="305">
        <v>7.8480922533594358E-2</v>
      </c>
      <c r="D24" s="306">
        <v>7.4208640771829232E-2</v>
      </c>
      <c r="E24" s="306">
        <v>7.4275326140367873E-2</v>
      </c>
      <c r="F24" s="306">
        <v>7.510529674304868E-2</v>
      </c>
      <c r="G24" s="305">
        <v>7.5434141419823714E-2</v>
      </c>
      <c r="H24" s="306">
        <v>7.5255551488945416E-2</v>
      </c>
      <c r="I24" s="306">
        <v>7.6240098028103345E-2</v>
      </c>
      <c r="J24" s="306">
        <v>7.4099584868521501E-2</v>
      </c>
      <c r="K24" s="305">
        <v>7.0198586248962608E-2</v>
      </c>
      <c r="L24" s="306">
        <v>5.4000574962860474E-2</v>
      </c>
      <c r="M24" s="306">
        <v>5.2134127381006132E-2</v>
      </c>
      <c r="N24" s="306">
        <v>4.8759418430272906E-2</v>
      </c>
      <c r="O24" s="305">
        <v>4.7767625563146017E-2</v>
      </c>
      <c r="P24" s="306">
        <v>4.4529642900769585E-2</v>
      </c>
      <c r="Q24" s="306">
        <v>4.9586548788206716E-2</v>
      </c>
      <c r="R24" s="306">
        <v>5.7988645891006892E-2</v>
      </c>
      <c r="S24" s="306">
        <v>9.0399999999999994E-2</v>
      </c>
    </row>
    <row r="25" spans="2:19" x14ac:dyDescent="0.2">
      <c r="C25" s="104"/>
      <c r="D25" s="307"/>
      <c r="E25" s="307"/>
      <c r="F25" s="307"/>
      <c r="G25" s="307"/>
      <c r="H25" s="308"/>
      <c r="I25" s="308"/>
      <c r="J25" s="308"/>
      <c r="K25" s="308"/>
      <c r="L25" s="308"/>
      <c r="M25" s="308"/>
      <c r="N25" s="308"/>
      <c r="O25" s="308"/>
      <c r="P25" s="308"/>
      <c r="Q25" s="308"/>
      <c r="R25" s="308"/>
      <c r="S25" s="308"/>
    </row>
    <row r="26" spans="2:19" s="84" customFormat="1" ht="15.75" x14ac:dyDescent="0.2">
      <c r="B26" s="265" t="s">
        <v>335</v>
      </c>
      <c r="C26" s="309">
        <v>2.8</v>
      </c>
      <c r="D26" s="310">
        <v>2.7</v>
      </c>
      <c r="E26" s="310">
        <v>2.5</v>
      </c>
      <c r="F26" s="310">
        <v>2.7</v>
      </c>
      <c r="G26" s="309">
        <v>2.5</v>
      </c>
      <c r="H26" s="310">
        <v>2.2604041499556855</v>
      </c>
      <c r="I26" s="310">
        <v>2.0096984053552207</v>
      </c>
      <c r="J26" s="310">
        <v>1.7974923052278831</v>
      </c>
      <c r="K26" s="309">
        <v>1.493916623395946</v>
      </c>
      <c r="L26" s="310">
        <v>2.0319165129420034</v>
      </c>
      <c r="M26" s="310">
        <v>2.6603642200966742</v>
      </c>
      <c r="N26" s="310">
        <v>2.3917508025507215</v>
      </c>
      <c r="O26" s="309">
        <v>2.29</v>
      </c>
      <c r="P26" s="310">
        <v>3.65</v>
      </c>
      <c r="Q26" s="310">
        <v>3.45</v>
      </c>
      <c r="R26" s="310">
        <v>3.74</v>
      </c>
      <c r="S26" s="310">
        <v>4.43</v>
      </c>
    </row>
    <row r="27" spans="2:19" x14ac:dyDescent="0.2">
      <c r="C27" s="311"/>
      <c r="D27" s="312"/>
      <c r="E27" s="312"/>
      <c r="F27" s="312"/>
      <c r="G27" s="311"/>
      <c r="H27" s="313"/>
      <c r="I27" s="313"/>
      <c r="J27" s="313"/>
      <c r="K27" s="314"/>
      <c r="L27" s="313"/>
      <c r="M27" s="313"/>
      <c r="N27" s="313"/>
      <c r="O27" s="314"/>
      <c r="P27" s="313"/>
      <c r="Q27" s="313"/>
      <c r="R27" s="313"/>
      <c r="S27" s="313"/>
    </row>
    <row r="28" spans="2:19" x14ac:dyDescent="0.2">
      <c r="B28" s="315" t="s">
        <v>12</v>
      </c>
      <c r="C28" s="316">
        <v>6.8900000000000003E-2</v>
      </c>
      <c r="D28" s="316">
        <v>6.3899999999999998E-2</v>
      </c>
      <c r="E28" s="316">
        <v>6.3899999999999998E-2</v>
      </c>
      <c r="F28" s="316">
        <v>6.3899999999999998E-2</v>
      </c>
      <c r="G28" s="316">
        <v>6.4000000000000001E-2</v>
      </c>
      <c r="H28" s="316">
        <v>6.4000000000000001E-2</v>
      </c>
      <c r="I28" s="316">
        <v>6.4000000000000001E-2</v>
      </c>
      <c r="J28" s="316">
        <v>5.4000000000000006E-2</v>
      </c>
      <c r="K28" s="316">
        <v>4.4000000000000004E-2</v>
      </c>
      <c r="L28" s="316">
        <v>3.6499999999999998E-2</v>
      </c>
      <c r="M28" s="316">
        <v>2.1499999999999998E-2</v>
      </c>
      <c r="N28" s="316">
        <v>1.9E-2</v>
      </c>
      <c r="O28" s="316">
        <v>1.9E-2</v>
      </c>
      <c r="P28" s="316">
        <v>2.6499999999999999E-2</v>
      </c>
      <c r="Q28" s="316">
        <v>4.1500000000000002E-2</v>
      </c>
      <c r="R28" s="316">
        <v>6.1500000000000006E-2</v>
      </c>
      <c r="S28" s="316">
        <v>9.1499999999999998E-2</v>
      </c>
    </row>
    <row r="29" spans="2:19" x14ac:dyDescent="0.2">
      <c r="B29" s="317" t="s">
        <v>66</v>
      </c>
      <c r="C29" s="318">
        <v>2.7999999999999997E-2</v>
      </c>
      <c r="D29" s="318">
        <v>2.8399999999999998E-2</v>
      </c>
      <c r="E29" s="318">
        <v>2.86E-2</v>
      </c>
      <c r="F29" s="318">
        <v>4.1900000000000007E-2</v>
      </c>
      <c r="G29" s="318">
        <v>4.0500000000000001E-2</v>
      </c>
      <c r="H29" s="318">
        <v>3.8900000000000004E-2</v>
      </c>
      <c r="I29" s="318">
        <v>4.6600000000000003E-2</v>
      </c>
      <c r="J29" s="318">
        <v>3.4300000000000004E-2</v>
      </c>
      <c r="K29" s="318">
        <v>3.27E-2</v>
      </c>
      <c r="L29" s="318">
        <v>4.0099999999999997E-2</v>
      </c>
      <c r="M29" s="318">
        <v>1.8799999999999997E-2</v>
      </c>
      <c r="N29" s="318">
        <v>2.4384647595665498E-2</v>
      </c>
      <c r="O29" s="318">
        <v>4.3112233257791566E-2</v>
      </c>
      <c r="P29" s="318">
        <v>5.1953786425932069E-2</v>
      </c>
      <c r="Q29" s="318">
        <v>8.0560654410588572E-2</v>
      </c>
      <c r="R29" s="318">
        <v>9.6797736240681539E-2</v>
      </c>
      <c r="S29" s="318">
        <v>0.10738499999999999</v>
      </c>
    </row>
    <row r="30" spans="2:19" x14ac:dyDescent="0.2">
      <c r="B30" s="317" t="s">
        <v>54</v>
      </c>
      <c r="C30" s="319">
        <v>3.2480333333333333</v>
      </c>
      <c r="D30" s="319">
        <v>3.2439666666666667</v>
      </c>
      <c r="E30" s="319">
        <v>3.6088333333333331</v>
      </c>
      <c r="F30" s="319">
        <v>3.956433333333333</v>
      </c>
      <c r="G30" s="319">
        <v>3.8142333333333336</v>
      </c>
      <c r="H30" s="319">
        <v>3.7681333333333336</v>
      </c>
      <c r="I30" s="319">
        <v>3.9183999999999997</v>
      </c>
      <c r="J30" s="319">
        <v>3.9797666666666665</v>
      </c>
      <c r="K30" s="319">
        <v>4.1183000000000005</v>
      </c>
      <c r="L30" s="319">
        <v>4.4665333333333335</v>
      </c>
      <c r="M30" s="319">
        <v>5.3896333333333333</v>
      </c>
      <c r="N30" s="319">
        <v>5.3844333333333338</v>
      </c>
      <c r="O30" s="319">
        <v>5.4013</v>
      </c>
      <c r="P30" s="319">
        <v>5.4738000000000007</v>
      </c>
      <c r="Q30" s="319">
        <v>5.2923</v>
      </c>
      <c r="R30" s="319">
        <v>5.2330666666666668</v>
      </c>
      <c r="S30" s="319" t="s">
        <v>571</v>
      </c>
    </row>
    <row r="31" spans="2:19" x14ac:dyDescent="0.2">
      <c r="C31" s="320"/>
      <c r="D31" s="312"/>
      <c r="E31" s="312"/>
      <c r="F31" s="312"/>
      <c r="G31" s="320"/>
      <c r="H31" s="312"/>
      <c r="I31" s="312"/>
      <c r="J31" s="312"/>
      <c r="K31" s="320"/>
      <c r="L31" s="312"/>
      <c r="M31" s="312"/>
      <c r="N31" s="312"/>
      <c r="O31" s="320"/>
      <c r="P31" s="312"/>
      <c r="Q31" s="312"/>
      <c r="R31" s="312"/>
      <c r="S31" s="312"/>
    </row>
    <row r="32" spans="2:19" s="84" customFormat="1" ht="15.75" x14ac:dyDescent="0.2">
      <c r="B32" s="321" t="s">
        <v>336</v>
      </c>
      <c r="C32" s="322"/>
      <c r="D32" s="322"/>
      <c r="E32" s="322"/>
      <c r="F32" s="322"/>
      <c r="G32" s="322"/>
      <c r="H32" s="322"/>
      <c r="I32" s="322"/>
      <c r="J32" s="322"/>
      <c r="K32" s="322"/>
      <c r="L32" s="322"/>
      <c r="M32" s="322"/>
      <c r="N32" s="322"/>
      <c r="O32" s="322"/>
      <c r="P32" s="322"/>
      <c r="Q32" s="322"/>
      <c r="R32" s="322"/>
      <c r="S32" s="322"/>
    </row>
    <row r="33" spans="2:19" x14ac:dyDescent="0.2">
      <c r="B33" s="102"/>
      <c r="C33" s="320"/>
      <c r="D33" s="320"/>
      <c r="E33" s="320"/>
      <c r="F33" s="320"/>
      <c r="G33" s="320"/>
      <c r="H33" s="320"/>
      <c r="I33" s="320"/>
      <c r="J33" s="320"/>
      <c r="K33" s="320"/>
      <c r="L33" s="320"/>
      <c r="M33" s="320"/>
      <c r="N33" s="320"/>
      <c r="O33" s="320"/>
      <c r="P33" s="320"/>
      <c r="Q33" s="320"/>
      <c r="R33" s="320"/>
      <c r="S33" s="320"/>
    </row>
    <row r="34" spans="2:19" s="84" customFormat="1" ht="15.75" x14ac:dyDescent="0.2">
      <c r="B34" s="172"/>
      <c r="C34" s="322"/>
      <c r="D34" s="322"/>
      <c r="E34" s="322"/>
      <c r="F34" s="322"/>
      <c r="G34" s="322"/>
      <c r="H34" s="322"/>
      <c r="I34" s="322"/>
      <c r="J34" s="322"/>
      <c r="K34" s="322"/>
      <c r="L34" s="322"/>
      <c r="M34" s="322"/>
      <c r="N34" s="322"/>
      <c r="O34" s="322"/>
      <c r="P34" s="322"/>
      <c r="Q34" s="322"/>
      <c r="R34" s="322"/>
      <c r="S34" s="322"/>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W22"/>
  <sheetViews>
    <sheetView showGridLines="0" zoomScale="70" zoomScaleNormal="70" workbookViewId="0">
      <pane xSplit="2" ySplit="5" topLeftCell="E6" activePane="bottomRight" state="frozen"/>
      <selection pane="topRight"/>
      <selection pane="bottomLeft"/>
      <selection pane="bottomRight"/>
    </sheetView>
  </sheetViews>
  <sheetFormatPr defaultColWidth="9.140625" defaultRowHeight="15" outlineLevelCol="1" x14ac:dyDescent="0.2"/>
  <cols>
    <col min="1" max="1" width="1.42578125" style="107" customWidth="1"/>
    <col min="2" max="2" width="55.85546875" style="84" bestFit="1" customWidth="1"/>
    <col min="3" max="3" width="10.7109375" style="107" customWidth="1" outlineLevel="1"/>
    <col min="4" max="5" width="10.7109375" style="46" customWidth="1" outlineLevel="1"/>
    <col min="6" max="6" width="10.7109375" style="47" customWidth="1" outlineLevel="1"/>
    <col min="7" max="9" width="10.7109375" style="46" customWidth="1" outlineLevel="1"/>
    <col min="10" max="10" width="10.7109375" style="47" customWidth="1" outlineLevel="1"/>
    <col min="11" max="13" width="10.7109375" style="46" customWidth="1" outlineLevel="1"/>
    <col min="14" max="14" width="10.7109375" style="47" customWidth="1" outlineLevel="1"/>
    <col min="15" max="15" width="11.5703125" style="46" customWidth="1" outlineLevel="1"/>
    <col min="16" max="17" width="10.7109375" style="46" customWidth="1" outlineLevel="1"/>
    <col min="18" max="18" width="11.5703125" style="47" customWidth="1" outlineLevel="1"/>
    <col min="19" max="19" width="10.7109375" style="46" customWidth="1"/>
    <col min="20" max="21" width="10" style="46" bestFit="1" customWidth="1"/>
    <col min="22" max="22" width="11" style="46" customWidth="1"/>
    <col min="23" max="23" width="12.85546875" style="213" customWidth="1"/>
    <col min="24" max="16384" width="9.140625" style="107"/>
  </cols>
  <sheetData>
    <row r="1" spans="1:23" ht="41.25" customHeight="1" x14ac:dyDescent="0.2">
      <c r="A1" s="234"/>
      <c r="B1" s="102"/>
      <c r="C1" s="103"/>
      <c r="D1" s="42"/>
      <c r="E1" s="42"/>
      <c r="F1" s="43"/>
      <c r="G1" s="42"/>
      <c r="H1" s="42"/>
      <c r="I1" s="42"/>
      <c r="J1" s="43"/>
      <c r="K1" s="42"/>
      <c r="L1" s="42"/>
      <c r="M1" s="42"/>
      <c r="N1" s="43"/>
      <c r="O1" s="42"/>
      <c r="P1" s="42"/>
      <c r="Q1" s="42"/>
      <c r="R1" s="43"/>
      <c r="S1" s="42"/>
      <c r="T1" s="42"/>
      <c r="U1" s="42"/>
      <c r="V1" s="42"/>
    </row>
    <row r="2" spans="1:23" ht="18" x14ac:dyDescent="0.2">
      <c r="A2" s="214"/>
      <c r="B2" s="85" t="s">
        <v>548</v>
      </c>
      <c r="C2" s="215"/>
      <c r="D2" s="44"/>
      <c r="E2" s="44"/>
      <c r="F2" s="45"/>
      <c r="G2" s="44"/>
      <c r="H2" s="44"/>
      <c r="I2" s="44"/>
      <c r="J2" s="45"/>
      <c r="K2" s="44"/>
      <c r="L2" s="44"/>
      <c r="M2" s="44"/>
      <c r="N2" s="45"/>
      <c r="O2" s="44"/>
      <c r="P2" s="44"/>
      <c r="Q2" s="44"/>
      <c r="R2" s="45"/>
      <c r="S2" s="44"/>
      <c r="T2" s="44"/>
      <c r="U2" s="44"/>
      <c r="V2" s="44"/>
    </row>
    <row r="3" spans="1:23" ht="14.25" customHeight="1" x14ac:dyDescent="0.2">
      <c r="C3" s="46"/>
      <c r="W3" s="107"/>
    </row>
    <row r="4" spans="1:23" ht="15.75" x14ac:dyDescent="0.25">
      <c r="B4" s="323"/>
      <c r="C4" s="179" t="s">
        <v>293</v>
      </c>
      <c r="D4" s="179" t="s">
        <v>294</v>
      </c>
      <c r="E4" s="179" t="s">
        <v>295</v>
      </c>
      <c r="F4" s="49" t="s">
        <v>277</v>
      </c>
      <c r="G4" s="179" t="s">
        <v>278</v>
      </c>
      <c r="H4" s="179" t="s">
        <v>279</v>
      </c>
      <c r="I4" s="179" t="s">
        <v>280</v>
      </c>
      <c r="J4" s="49" t="s">
        <v>281</v>
      </c>
      <c r="K4" s="179" t="s">
        <v>282</v>
      </c>
      <c r="L4" s="179" t="s">
        <v>283</v>
      </c>
      <c r="M4" s="179" t="s">
        <v>284</v>
      </c>
      <c r="N4" s="49" t="s">
        <v>285</v>
      </c>
      <c r="O4" s="179" t="s">
        <v>286</v>
      </c>
      <c r="P4" s="179" t="s">
        <v>287</v>
      </c>
      <c r="Q4" s="179" t="s">
        <v>288</v>
      </c>
      <c r="R4" s="49" t="s">
        <v>289</v>
      </c>
      <c r="S4" s="179" t="s">
        <v>290</v>
      </c>
      <c r="T4" s="179" t="s">
        <v>291</v>
      </c>
      <c r="U4" s="179" t="s">
        <v>292</v>
      </c>
      <c r="V4" s="179" t="s">
        <v>570</v>
      </c>
      <c r="W4" s="107"/>
    </row>
    <row r="5" spans="1:23" s="501" customFormat="1" ht="15.75" x14ac:dyDescent="0.25"/>
    <row r="6" spans="1:23" ht="7.5" customHeight="1" x14ac:dyDescent="0.2">
      <c r="C6" s="42"/>
      <c r="D6" s="42"/>
      <c r="E6" s="42"/>
      <c r="F6" s="43"/>
      <c r="G6" s="42"/>
      <c r="H6" s="42"/>
      <c r="I6" s="42"/>
      <c r="J6" s="43"/>
      <c r="K6" s="42"/>
      <c r="L6" s="42"/>
      <c r="M6" s="42"/>
      <c r="N6" s="43"/>
      <c r="O6" s="42"/>
      <c r="P6" s="42"/>
      <c r="Q6" s="42"/>
      <c r="R6" s="43"/>
      <c r="S6" s="42"/>
      <c r="T6" s="42"/>
      <c r="U6" s="42"/>
      <c r="V6" s="42"/>
      <c r="W6" s="107"/>
    </row>
    <row r="7" spans="1:23" s="84" customFormat="1" ht="15.75" x14ac:dyDescent="0.2">
      <c r="B7" s="238"/>
      <c r="C7" s="239"/>
      <c r="D7" s="239"/>
      <c r="E7" s="239"/>
      <c r="F7" s="240"/>
      <c r="G7" s="239"/>
      <c r="H7" s="239"/>
      <c r="I7" s="239"/>
      <c r="J7" s="240"/>
      <c r="K7" s="239"/>
      <c r="L7" s="239"/>
      <c r="M7" s="239"/>
      <c r="N7" s="240"/>
      <c r="O7" s="239"/>
      <c r="P7" s="239"/>
      <c r="Q7" s="239"/>
      <c r="R7" s="240"/>
      <c r="S7" s="239"/>
      <c r="T7" s="239"/>
      <c r="U7" s="239"/>
      <c r="V7" s="239"/>
    </row>
    <row r="8" spans="1:23" s="84" customFormat="1" ht="6.75" customHeight="1" x14ac:dyDescent="0.2">
      <c r="B8" s="241"/>
      <c r="C8" s="242"/>
      <c r="D8" s="242"/>
      <c r="E8" s="242"/>
      <c r="F8" s="243"/>
      <c r="G8" s="242"/>
      <c r="H8" s="242"/>
      <c r="I8" s="242"/>
      <c r="J8" s="243"/>
      <c r="K8" s="242"/>
      <c r="L8" s="242"/>
      <c r="M8" s="242"/>
      <c r="N8" s="243"/>
      <c r="O8" s="242"/>
      <c r="P8" s="242"/>
      <c r="Q8" s="242"/>
      <c r="R8" s="243"/>
      <c r="S8" s="242"/>
      <c r="T8" s="242"/>
      <c r="U8" s="242"/>
      <c r="V8" s="242"/>
    </row>
    <row r="9" spans="1:23" s="183" customFormat="1" ht="15.75" x14ac:dyDescent="0.25">
      <c r="B9" s="324" t="s">
        <v>477</v>
      </c>
      <c r="C9" s="325"/>
      <c r="D9" s="326"/>
      <c r="E9" s="326"/>
      <c r="F9" s="327"/>
      <c r="G9" s="326"/>
      <c r="H9" s="326"/>
      <c r="I9" s="326"/>
      <c r="J9" s="327"/>
      <c r="K9" s="326"/>
      <c r="L9" s="326"/>
      <c r="M9" s="326"/>
      <c r="N9" s="327"/>
      <c r="O9" s="326"/>
      <c r="P9" s="326"/>
      <c r="Q9" s="326"/>
      <c r="R9" s="327"/>
      <c r="S9" s="326"/>
      <c r="T9" s="328"/>
      <c r="U9" s="326"/>
      <c r="V9" s="326"/>
      <c r="W9" s="329"/>
    </row>
    <row r="10" spans="1:23" s="84" customFormat="1" x14ac:dyDescent="0.2">
      <c r="B10" s="241"/>
      <c r="C10" s="242"/>
      <c r="D10" s="242"/>
      <c r="E10" s="242"/>
      <c r="F10" s="243"/>
      <c r="G10" s="242"/>
      <c r="H10" s="242"/>
      <c r="I10" s="242"/>
      <c r="J10" s="243"/>
      <c r="K10" s="242"/>
      <c r="L10" s="242"/>
      <c r="M10" s="242"/>
      <c r="N10" s="243"/>
      <c r="O10" s="242"/>
      <c r="P10" s="242"/>
      <c r="Q10" s="242"/>
      <c r="R10" s="243"/>
      <c r="S10" s="242"/>
      <c r="T10" s="242"/>
      <c r="U10" s="242"/>
    </row>
    <row r="11" spans="1:23" s="251" customFormat="1" ht="18" x14ac:dyDescent="0.25">
      <c r="B11" s="330" t="s">
        <v>337</v>
      </c>
      <c r="C11" s="331">
        <v>3.0000000000000001E-3</v>
      </c>
      <c r="D11" s="332">
        <v>8.0000000000000002E-3</v>
      </c>
      <c r="E11" s="332">
        <v>1.6E-2</v>
      </c>
      <c r="F11" s="332">
        <v>2.5999999999999999E-2</v>
      </c>
      <c r="G11" s="331">
        <v>1.9E-2</v>
      </c>
      <c r="H11" s="332">
        <v>1.6E-2</v>
      </c>
      <c r="I11" s="332">
        <v>2.1000000000000001E-2</v>
      </c>
      <c r="J11" s="332">
        <v>1.6E-2</v>
      </c>
      <c r="K11" s="331">
        <v>0.01</v>
      </c>
      <c r="L11" s="332">
        <v>1.2999999999999999E-2</v>
      </c>
      <c r="M11" s="332">
        <v>1.0999999999999999E-2</v>
      </c>
      <c r="N11" s="332">
        <v>1.4E-2</v>
      </c>
      <c r="O11" s="331">
        <v>-1E-3</v>
      </c>
      <c r="P11" s="332">
        <v>-0.107</v>
      </c>
      <c r="Q11" s="333">
        <v>-3.6999999999999998E-2</v>
      </c>
      <c r="R11" s="332">
        <v>-8.9999999999999993E-3</v>
      </c>
      <c r="S11" s="334">
        <v>1.2999999999999999E-2</v>
      </c>
      <c r="T11" s="334">
        <v>0.123</v>
      </c>
      <c r="U11" s="334">
        <v>0.04</v>
      </c>
      <c r="V11" s="334">
        <v>1.6E-2</v>
      </c>
    </row>
    <row r="12" spans="1:23" s="335" customFormat="1" ht="18" x14ac:dyDescent="0.25">
      <c r="B12" s="488" t="s">
        <v>478</v>
      </c>
      <c r="C12" s="336"/>
      <c r="D12" s="336"/>
      <c r="E12" s="336"/>
      <c r="F12" s="337"/>
      <c r="G12" s="336"/>
      <c r="H12" s="336"/>
      <c r="I12" s="336"/>
      <c r="J12" s="337"/>
      <c r="K12" s="336"/>
      <c r="L12" s="336"/>
      <c r="M12" s="336"/>
      <c r="N12" s="337"/>
      <c r="O12" s="336"/>
      <c r="P12" s="336"/>
      <c r="Q12" s="336"/>
      <c r="R12" s="337"/>
      <c r="S12" s="336"/>
      <c r="T12" s="338"/>
      <c r="U12" s="336"/>
    </row>
    <row r="13" spans="1:23" s="251" customFormat="1" ht="18" x14ac:dyDescent="0.25">
      <c r="B13" s="330" t="s">
        <v>13</v>
      </c>
      <c r="C13" s="331">
        <v>4.5711051156818838E-2</v>
      </c>
      <c r="D13" s="332">
        <v>2.9985569924055655E-2</v>
      </c>
      <c r="E13" s="332">
        <v>2.5376909332922803E-2</v>
      </c>
      <c r="F13" s="332">
        <v>2.9474213204347066E-2</v>
      </c>
      <c r="G13" s="331">
        <v>2.6808027890635966E-2</v>
      </c>
      <c r="H13" s="332">
        <v>4.3911039739087387E-2</v>
      </c>
      <c r="I13" s="332">
        <v>4.5259760164416463E-2</v>
      </c>
      <c r="J13" s="332">
        <v>3.7455811701915476E-2</v>
      </c>
      <c r="K13" s="331">
        <v>4.5752835314434748E-2</v>
      </c>
      <c r="L13" s="332">
        <v>3.3662671524801624E-2</v>
      </c>
      <c r="M13" s="332">
        <v>2.8934248931768991E-2</v>
      </c>
      <c r="N13" s="332">
        <v>4.306151617159526E-2</v>
      </c>
      <c r="O13" s="331">
        <v>3.303157719890204E-2</v>
      </c>
      <c r="P13" s="332">
        <v>2.1324173853674466E-2</v>
      </c>
      <c r="Q13" s="333">
        <v>3.1353293138274951E-2</v>
      </c>
      <c r="R13" s="332">
        <v>4.517456886424509E-2</v>
      </c>
      <c r="S13" s="334">
        <v>6.0994785444116184E-2</v>
      </c>
      <c r="T13" s="334">
        <v>8.3470723655796775E-2</v>
      </c>
      <c r="U13" s="334">
        <v>0.10246394955255722</v>
      </c>
      <c r="V13" s="332">
        <v>0.10059999999999999</v>
      </c>
    </row>
    <row r="14" spans="1:23" s="183" customFormat="1" x14ac:dyDescent="0.2">
      <c r="B14" s="488" t="s">
        <v>479</v>
      </c>
      <c r="C14" s="290"/>
      <c r="D14" s="339"/>
      <c r="E14" s="339"/>
      <c r="F14" s="340"/>
      <c r="G14" s="339"/>
      <c r="H14" s="339"/>
      <c r="I14" s="339"/>
      <c r="J14" s="340"/>
      <c r="K14" s="339"/>
      <c r="L14" s="339"/>
      <c r="M14" s="339"/>
      <c r="N14" s="340"/>
      <c r="O14" s="339"/>
      <c r="P14" s="339"/>
      <c r="Q14" s="339"/>
      <c r="R14" s="340"/>
      <c r="S14" s="339"/>
      <c r="T14" s="341"/>
      <c r="U14" s="339"/>
      <c r="V14" s="58"/>
      <c r="W14" s="329"/>
    </row>
    <row r="15" spans="1:23" s="251" customFormat="1" ht="18" x14ac:dyDescent="0.25">
      <c r="B15" s="330" t="s">
        <v>67</v>
      </c>
      <c r="C15" s="331">
        <v>0.1225</v>
      </c>
      <c r="D15" s="332">
        <v>0.10249999999999999</v>
      </c>
      <c r="E15" s="332">
        <v>8.2500000000000004E-2</v>
      </c>
      <c r="F15" s="332">
        <v>7.0000000000000007E-2</v>
      </c>
      <c r="G15" s="331">
        <v>6.5000000000000002E-2</v>
      </c>
      <c r="H15" s="332">
        <v>6.5000000000000002E-2</v>
      </c>
      <c r="I15" s="332">
        <v>6.5000000000000002E-2</v>
      </c>
      <c r="J15" s="332">
        <v>6.5000000000000002E-2</v>
      </c>
      <c r="K15" s="331">
        <v>6.5000000000000002E-2</v>
      </c>
      <c r="L15" s="332">
        <v>6.5000000000000002E-2</v>
      </c>
      <c r="M15" s="332">
        <v>5.5E-2</v>
      </c>
      <c r="N15" s="332">
        <v>4.4999999999999998E-2</v>
      </c>
      <c r="O15" s="331">
        <v>3.7499999999999999E-2</v>
      </c>
      <c r="P15" s="332">
        <v>2.2499999999999999E-2</v>
      </c>
      <c r="Q15" s="333">
        <v>0.02</v>
      </c>
      <c r="R15" s="332">
        <v>0.02</v>
      </c>
      <c r="S15" s="334">
        <v>2.75E-2</v>
      </c>
      <c r="T15" s="334">
        <v>4.2500000000000003E-2</v>
      </c>
      <c r="U15" s="334">
        <v>6.25E-2</v>
      </c>
      <c r="V15" s="332">
        <v>9.1499999999999998E-2</v>
      </c>
    </row>
    <row r="16" spans="1:23" s="183" customFormat="1" x14ac:dyDescent="0.2">
      <c r="B16" s="488" t="s">
        <v>479</v>
      </c>
      <c r="C16" s="290"/>
      <c r="D16" s="339"/>
      <c r="E16" s="339"/>
      <c r="F16" s="340"/>
      <c r="G16" s="339"/>
      <c r="H16" s="339"/>
      <c r="I16" s="339"/>
      <c r="J16" s="340"/>
      <c r="K16" s="339"/>
      <c r="L16" s="339"/>
      <c r="M16" s="339"/>
      <c r="N16" s="340"/>
      <c r="O16" s="339"/>
      <c r="P16" s="339"/>
      <c r="Q16" s="339"/>
      <c r="R16" s="340"/>
      <c r="S16" s="339"/>
      <c r="T16" s="341"/>
      <c r="U16" s="339"/>
      <c r="V16" s="58"/>
      <c r="W16" s="329"/>
    </row>
    <row r="17" spans="1:23" s="251" customFormat="1" ht="18" x14ac:dyDescent="0.25">
      <c r="B17" s="330" t="s">
        <v>54</v>
      </c>
      <c r="C17" s="342">
        <v>3.1418999999999997</v>
      </c>
      <c r="D17" s="343">
        <v>3.2140333333333331</v>
      </c>
      <c r="E17" s="343">
        <v>3.1630666666666669</v>
      </c>
      <c r="F17" s="343">
        <v>3.2480333333333333</v>
      </c>
      <c r="G17" s="342">
        <v>3.2439666666666667</v>
      </c>
      <c r="H17" s="343">
        <v>3.6088333333333331</v>
      </c>
      <c r="I17" s="343">
        <v>3.956433333333333</v>
      </c>
      <c r="J17" s="343">
        <v>3.8142333333333336</v>
      </c>
      <c r="K17" s="342">
        <v>3.7681333333333336</v>
      </c>
      <c r="L17" s="343">
        <v>3.9183999999999997</v>
      </c>
      <c r="M17" s="343">
        <v>3.9797666666666665</v>
      </c>
      <c r="N17" s="343">
        <v>4.1183000000000005</v>
      </c>
      <c r="O17" s="342">
        <v>4.4665333333333335</v>
      </c>
      <c r="P17" s="343">
        <v>5.3896333333333333</v>
      </c>
      <c r="Q17" s="344">
        <v>5.3844333333333338</v>
      </c>
      <c r="R17" s="343">
        <v>5.4013</v>
      </c>
      <c r="S17" s="345">
        <v>5.4738000000000007</v>
      </c>
      <c r="T17" s="345">
        <v>5.2923</v>
      </c>
      <c r="U17" s="345">
        <v>5.2330666666666668</v>
      </c>
      <c r="V17" s="343" t="s">
        <v>571</v>
      </c>
    </row>
    <row r="18" spans="1:23" s="46" customFormat="1" x14ac:dyDescent="0.2">
      <c r="A18" s="107"/>
      <c r="B18" s="488" t="s">
        <v>479</v>
      </c>
      <c r="C18" s="84"/>
      <c r="D18" s="57"/>
      <c r="E18" s="57"/>
      <c r="F18" s="58"/>
      <c r="G18" s="57"/>
      <c r="H18" s="57"/>
      <c r="I18" s="57"/>
      <c r="J18" s="58"/>
      <c r="K18" s="57"/>
      <c r="L18" s="57"/>
      <c r="M18" s="57"/>
      <c r="N18" s="58"/>
      <c r="O18" s="57"/>
      <c r="P18" s="57"/>
      <c r="Q18" s="57"/>
      <c r="R18" s="58"/>
      <c r="S18" s="57"/>
      <c r="T18" s="100"/>
      <c r="U18" s="57"/>
      <c r="V18" s="58"/>
      <c r="W18" s="213"/>
    </row>
    <row r="19" spans="1:23" s="251" customFormat="1" ht="18" x14ac:dyDescent="0.25">
      <c r="B19" s="330" t="s">
        <v>475</v>
      </c>
      <c r="C19" s="331">
        <v>7.4999999999999997E-2</v>
      </c>
      <c r="D19" s="332">
        <v>7.0000000000000007E-2</v>
      </c>
      <c r="E19" s="332">
        <v>7.0000000000000007E-2</v>
      </c>
      <c r="F19" s="332">
        <v>7.0000000000000007E-2</v>
      </c>
      <c r="G19" s="331">
        <v>6.7500000000000004E-2</v>
      </c>
      <c r="H19" s="332">
        <v>6.6000000000000003E-2</v>
      </c>
      <c r="I19" s="332">
        <v>6.5599999999999992E-2</v>
      </c>
      <c r="J19" s="332">
        <v>6.9800000000000001E-2</v>
      </c>
      <c r="K19" s="331">
        <v>7.0300000000000001E-2</v>
      </c>
      <c r="L19" s="332">
        <v>6.2600000000000003E-2</v>
      </c>
      <c r="M19" s="332">
        <v>5.9500000000000004E-2</v>
      </c>
      <c r="N19" s="332">
        <v>5.57E-2</v>
      </c>
      <c r="O19" s="331">
        <v>5.0900000000000001E-2</v>
      </c>
      <c r="P19" s="332">
        <v>4.9400000000000006E-2</v>
      </c>
      <c r="Q19" s="333">
        <v>4.9100000000000005E-2</v>
      </c>
      <c r="R19" s="332">
        <v>4.5499999999999999E-2</v>
      </c>
      <c r="S19" s="334">
        <v>4.3899999999999995E-2</v>
      </c>
      <c r="T19" s="334">
        <v>4.6100000000000002E-2</v>
      </c>
      <c r="U19" s="334">
        <v>4.8799999999999996E-2</v>
      </c>
      <c r="V19" s="332">
        <v>5.3199999999999997E-2</v>
      </c>
    </row>
    <row r="20" spans="1:23" s="46" customFormat="1" x14ac:dyDescent="0.2">
      <c r="A20" s="107"/>
      <c r="B20" s="290"/>
      <c r="C20" s="290"/>
      <c r="D20" s="339"/>
      <c r="E20" s="339"/>
      <c r="F20" s="340"/>
      <c r="G20" s="339"/>
      <c r="H20" s="339"/>
      <c r="I20" s="339"/>
      <c r="J20" s="340"/>
      <c r="K20" s="339"/>
      <c r="L20" s="339"/>
      <c r="M20" s="339"/>
      <c r="N20" s="340"/>
      <c r="O20" s="339"/>
      <c r="P20" s="339"/>
      <c r="Q20" s="339"/>
      <c r="R20" s="340"/>
      <c r="S20" s="339"/>
      <c r="T20" s="346"/>
      <c r="U20" s="339"/>
      <c r="W20" s="213"/>
    </row>
    <row r="21" spans="1:23" x14ac:dyDescent="0.2">
      <c r="B21" s="498" t="s">
        <v>474</v>
      </c>
    </row>
    <row r="22" spans="1:23" x14ac:dyDescent="0.2">
      <c r="B22" s="347" t="s">
        <v>476</v>
      </c>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K260"/>
  <sheetViews>
    <sheetView showGridLines="0" zoomScale="70" zoomScaleNormal="70" workbookViewId="0">
      <pane xSplit="2" ySplit="4" topLeftCell="C5" activePane="bottomRight" state="frozen"/>
      <selection pane="topRight"/>
      <selection pane="bottomLeft"/>
      <selection pane="bottomRight"/>
    </sheetView>
  </sheetViews>
  <sheetFormatPr defaultColWidth="9.140625" defaultRowHeight="15" outlineLevelRow="1" x14ac:dyDescent="0.2"/>
  <cols>
    <col min="1" max="1" width="1.42578125" style="107" customWidth="1"/>
    <col min="2" max="2" width="124.42578125" style="84" customWidth="1"/>
    <col min="3" max="3" width="35.7109375" style="84" customWidth="1"/>
    <col min="4" max="4" width="35.7109375" style="107" customWidth="1"/>
    <col min="5" max="5" width="35.7109375" style="375" customWidth="1"/>
    <col min="6" max="6" width="35.7109375" style="46" customWidth="1"/>
    <col min="7" max="7" width="7.85546875" style="46" customWidth="1"/>
    <col min="8" max="8" width="11.7109375" style="46" customWidth="1"/>
    <col min="9" max="9" width="87" style="213" customWidth="1"/>
    <col min="10" max="10" width="20.28515625" style="107" bestFit="1" customWidth="1"/>
    <col min="11" max="11" width="165.7109375" style="107" customWidth="1"/>
    <col min="12" max="16384" width="9.140625" style="107"/>
  </cols>
  <sheetData>
    <row r="1" spans="1:9" ht="41.25" customHeight="1" x14ac:dyDescent="0.25">
      <c r="A1" s="234"/>
      <c r="B1" s="102"/>
      <c r="C1" s="348"/>
      <c r="D1" s="103"/>
      <c r="E1" s="349"/>
      <c r="F1" s="42"/>
      <c r="G1" s="42"/>
      <c r="H1" s="42"/>
    </row>
    <row r="2" spans="1:9" ht="18" x14ac:dyDescent="0.2">
      <c r="A2" s="214"/>
      <c r="B2" s="85" t="s">
        <v>549</v>
      </c>
      <c r="C2" s="85"/>
      <c r="D2" s="215"/>
      <c r="E2" s="215"/>
      <c r="F2" s="215"/>
      <c r="G2" s="177"/>
      <c r="H2" s="177"/>
    </row>
    <row r="3" spans="1:9" ht="14.25" customHeight="1" x14ac:dyDescent="0.2">
      <c r="D3" s="46"/>
      <c r="E3" s="47"/>
      <c r="G3" s="107"/>
      <c r="H3" s="107"/>
      <c r="I3" s="107"/>
    </row>
    <row r="4" spans="1:9" ht="15.75" x14ac:dyDescent="0.25">
      <c r="B4" s="350"/>
      <c r="C4" s="351">
        <v>2017</v>
      </c>
      <c r="D4" s="351">
        <v>2018</v>
      </c>
      <c r="E4" s="351">
        <v>2019</v>
      </c>
      <c r="F4" s="351">
        <v>2020</v>
      </c>
      <c r="G4" s="107"/>
      <c r="H4" s="107"/>
      <c r="I4" s="352"/>
    </row>
    <row r="5" spans="1:9" ht="7.5" customHeight="1" x14ac:dyDescent="0.2">
      <c r="D5" s="43"/>
      <c r="E5" s="353"/>
      <c r="F5" s="42"/>
      <c r="G5" s="107"/>
      <c r="H5" s="107"/>
      <c r="I5" s="107"/>
    </row>
    <row r="6" spans="1:9" s="84" customFormat="1" ht="15.75" x14ac:dyDescent="0.2">
      <c r="B6" s="238" t="s">
        <v>4</v>
      </c>
      <c r="C6" s="238"/>
      <c r="D6" s="240"/>
      <c r="E6" s="354"/>
      <c r="F6" s="239"/>
    </row>
    <row r="7" spans="1:9" s="84" customFormat="1" ht="14.25" customHeight="1" x14ac:dyDescent="0.2">
      <c r="B7" s="241"/>
      <c r="C7" s="241"/>
      <c r="D7" s="243"/>
      <c r="E7" s="355"/>
      <c r="F7" s="242"/>
    </row>
    <row r="8" spans="1:9" s="183" customFormat="1" ht="18" x14ac:dyDescent="0.25">
      <c r="A8" s="356"/>
      <c r="B8" s="357" t="s">
        <v>396</v>
      </c>
      <c r="C8" s="358"/>
      <c r="D8" s="359"/>
      <c r="E8" s="359"/>
      <c r="F8" s="360"/>
      <c r="G8" s="178"/>
      <c r="H8" s="178"/>
      <c r="I8" s="329"/>
    </row>
    <row r="9" spans="1:9" s="183" customFormat="1" ht="7.5" customHeight="1" x14ac:dyDescent="0.25">
      <c r="A9" s="214"/>
      <c r="B9" s="361"/>
      <c r="C9" s="362"/>
      <c r="D9" s="363"/>
      <c r="E9" s="363"/>
      <c r="F9" s="364"/>
      <c r="G9" s="178"/>
      <c r="H9" s="178"/>
      <c r="I9" s="329"/>
    </row>
    <row r="10" spans="1:9" s="183" customFormat="1" ht="15.75" hidden="1" outlineLevel="1" x14ac:dyDescent="0.2">
      <c r="A10" s="365"/>
      <c r="B10" s="366" t="s">
        <v>23</v>
      </c>
      <c r="C10" s="366"/>
      <c r="D10" s="366"/>
      <c r="E10" s="367"/>
      <c r="F10" s="367"/>
      <c r="G10" s="178"/>
      <c r="H10" s="178"/>
      <c r="I10" s="329"/>
    </row>
    <row r="11" spans="1:9" s="183" customFormat="1" ht="10.5" hidden="1" customHeight="1" outlineLevel="1" x14ac:dyDescent="0.25">
      <c r="B11" s="368"/>
      <c r="C11" s="368"/>
      <c r="D11" s="363"/>
      <c r="E11" s="363"/>
      <c r="F11" s="364"/>
      <c r="G11" s="178"/>
      <c r="H11" s="178"/>
      <c r="I11" s="329"/>
    </row>
    <row r="12" spans="1:9" s="183" customFormat="1" ht="15.75" hidden="1" outlineLevel="1" x14ac:dyDescent="0.2">
      <c r="B12" s="369" t="s">
        <v>341</v>
      </c>
      <c r="C12" s="369"/>
      <c r="D12" s="370"/>
      <c r="E12" s="371"/>
      <c r="F12" s="371"/>
      <c r="G12" s="178"/>
      <c r="H12" s="178"/>
      <c r="I12" s="329"/>
    </row>
    <row r="13" spans="1:9" s="46" customFormat="1" ht="15.75" hidden="1" outlineLevel="1" x14ac:dyDescent="0.25">
      <c r="A13" s="107"/>
      <c r="B13" s="372" t="s">
        <v>339</v>
      </c>
      <c r="C13" s="372"/>
      <c r="D13" s="290"/>
      <c r="E13" s="355">
        <v>3262</v>
      </c>
      <c r="F13" s="242">
        <v>2459</v>
      </c>
      <c r="I13" s="213"/>
    </row>
    <row r="14" spans="1:9" s="46" customFormat="1" ht="15.75" hidden="1" outlineLevel="1" x14ac:dyDescent="0.25">
      <c r="A14" s="107"/>
      <c r="B14" s="372" t="s">
        <v>340</v>
      </c>
      <c r="C14" s="372"/>
      <c r="D14" s="290"/>
      <c r="E14" s="355">
        <v>1218</v>
      </c>
      <c r="F14" s="242">
        <v>911</v>
      </c>
      <c r="I14" s="213"/>
    </row>
    <row r="15" spans="1:9" ht="8.25" hidden="1" customHeight="1" outlineLevel="1" x14ac:dyDescent="0.2">
      <c r="B15" s="260"/>
      <c r="C15" s="260"/>
      <c r="D15" s="373"/>
      <c r="E15" s="374"/>
      <c r="F15" s="57"/>
    </row>
    <row r="16" spans="1:9" s="183" customFormat="1" ht="15.75" hidden="1" outlineLevel="1" x14ac:dyDescent="0.2">
      <c r="B16" s="369" t="s">
        <v>342</v>
      </c>
      <c r="C16" s="369"/>
      <c r="D16" s="370"/>
      <c r="E16" s="371"/>
      <c r="F16" s="371"/>
      <c r="G16" s="178"/>
      <c r="H16" s="178"/>
      <c r="I16" s="329"/>
    </row>
    <row r="17" spans="1:9" s="46" customFormat="1" ht="15.75" hidden="1" outlineLevel="1" x14ac:dyDescent="0.25">
      <c r="A17" s="107"/>
      <c r="B17" s="372" t="s">
        <v>343</v>
      </c>
      <c r="C17" s="372"/>
      <c r="D17" s="290"/>
      <c r="E17" s="355">
        <v>474</v>
      </c>
      <c r="F17" s="242">
        <v>224</v>
      </c>
      <c r="I17" s="213"/>
    </row>
    <row r="18" spans="1:9" s="46" customFormat="1" ht="15.75" hidden="1" outlineLevel="1" x14ac:dyDescent="0.25">
      <c r="A18" s="107"/>
      <c r="B18" s="372" t="s">
        <v>344</v>
      </c>
      <c r="C18" s="372"/>
      <c r="D18" s="290"/>
      <c r="E18" s="355">
        <v>461</v>
      </c>
      <c r="F18" s="242">
        <v>498</v>
      </c>
      <c r="I18" s="213"/>
    </row>
    <row r="19" spans="1:9" s="46" customFormat="1" ht="15.75" hidden="1" outlineLevel="1" x14ac:dyDescent="0.25">
      <c r="A19" s="107"/>
      <c r="B19" s="372" t="s">
        <v>345</v>
      </c>
      <c r="C19" s="372"/>
      <c r="D19" s="84"/>
      <c r="E19" s="355">
        <v>297</v>
      </c>
      <c r="F19" s="242">
        <v>222</v>
      </c>
      <c r="I19" s="213"/>
    </row>
    <row r="20" spans="1:9" ht="15.75" hidden="1" outlineLevel="1" x14ac:dyDescent="0.25">
      <c r="B20" s="372" t="s">
        <v>346</v>
      </c>
      <c r="C20" s="372"/>
      <c r="E20" s="355">
        <v>2913</v>
      </c>
      <c r="F20" s="242">
        <v>2219</v>
      </c>
    </row>
    <row r="21" spans="1:9" ht="15.75" hidden="1" outlineLevel="1" x14ac:dyDescent="0.25">
      <c r="B21" s="372" t="s">
        <v>347</v>
      </c>
      <c r="C21" s="372"/>
      <c r="E21" s="355">
        <v>335</v>
      </c>
      <c r="F21" s="242">
        <v>207</v>
      </c>
    </row>
    <row r="22" spans="1:9" ht="9.75" hidden="1" customHeight="1" outlineLevel="1" x14ac:dyDescent="0.2"/>
    <row r="23" spans="1:9" s="183" customFormat="1" ht="15.75" hidden="1" outlineLevel="1" x14ac:dyDescent="0.2">
      <c r="B23" s="369" t="s">
        <v>348</v>
      </c>
      <c r="C23" s="369"/>
      <c r="D23" s="370"/>
      <c r="E23" s="371"/>
      <c r="F23" s="371"/>
      <c r="G23" s="178"/>
      <c r="H23" s="178"/>
      <c r="I23" s="329"/>
    </row>
    <row r="24" spans="1:9" ht="15.75" hidden="1" outlineLevel="1" x14ac:dyDescent="0.25">
      <c r="B24" s="372" t="s">
        <v>349</v>
      </c>
      <c r="C24" s="372"/>
      <c r="E24" s="355">
        <v>5</v>
      </c>
      <c r="F24" s="242">
        <v>9</v>
      </c>
    </row>
    <row r="25" spans="1:9" ht="15.75" hidden="1" outlineLevel="1" x14ac:dyDescent="0.25">
      <c r="B25" s="372" t="s">
        <v>350</v>
      </c>
      <c r="C25" s="372"/>
      <c r="E25" s="355">
        <v>250</v>
      </c>
      <c r="F25" s="242">
        <v>132</v>
      </c>
    </row>
    <row r="26" spans="1:9" ht="15.75" hidden="1" outlineLevel="1" x14ac:dyDescent="0.25">
      <c r="B26" s="372" t="s">
        <v>351</v>
      </c>
      <c r="C26" s="372"/>
      <c r="E26" s="355">
        <v>46</v>
      </c>
      <c r="F26" s="242">
        <v>89</v>
      </c>
    </row>
    <row r="27" spans="1:9" ht="15.75" hidden="1" outlineLevel="1" x14ac:dyDescent="0.25">
      <c r="B27" s="372" t="s">
        <v>352</v>
      </c>
      <c r="C27" s="372"/>
      <c r="E27" s="355">
        <v>37</v>
      </c>
      <c r="F27" s="242"/>
    </row>
    <row r="28" spans="1:9" ht="15.75" hidden="1" outlineLevel="1" x14ac:dyDescent="0.25">
      <c r="B28" s="372" t="s">
        <v>353</v>
      </c>
      <c r="C28" s="372"/>
      <c r="E28" s="355">
        <v>4142</v>
      </c>
      <c r="F28" s="242" t="s">
        <v>24</v>
      </c>
      <c r="G28" s="376" t="s">
        <v>500</v>
      </c>
      <c r="H28" s="377"/>
    </row>
    <row r="29" spans="1:9" ht="7.5" hidden="1" customHeight="1" outlineLevel="1" x14ac:dyDescent="0.25">
      <c r="B29" s="372"/>
      <c r="C29" s="372"/>
      <c r="E29" s="355"/>
      <c r="F29" s="242"/>
    </row>
    <row r="30" spans="1:9" s="183" customFormat="1" ht="15.75" hidden="1" outlineLevel="1" x14ac:dyDescent="0.2">
      <c r="B30" s="369" t="s">
        <v>354</v>
      </c>
      <c r="C30" s="369"/>
      <c r="D30" s="370"/>
      <c r="E30" s="371"/>
      <c r="F30" s="371"/>
      <c r="G30" s="178"/>
      <c r="H30" s="178"/>
      <c r="I30" s="329"/>
    </row>
    <row r="31" spans="1:9" ht="15.75" hidden="1" outlineLevel="1" x14ac:dyDescent="0.25">
      <c r="B31" s="372" t="s">
        <v>355</v>
      </c>
      <c r="C31" s="372"/>
      <c r="E31" s="355">
        <v>599</v>
      </c>
      <c r="F31" s="242">
        <v>963</v>
      </c>
    </row>
    <row r="32" spans="1:9" ht="15.75" hidden="1" outlineLevel="1" x14ac:dyDescent="0.25">
      <c r="B32" s="372" t="s">
        <v>356</v>
      </c>
      <c r="C32" s="372"/>
      <c r="E32" s="355">
        <v>3237</v>
      </c>
      <c r="F32" s="242">
        <v>4876</v>
      </c>
    </row>
    <row r="33" spans="1:9" ht="15.75" hidden="1" outlineLevel="1" x14ac:dyDescent="0.25">
      <c r="B33" s="372" t="s">
        <v>357</v>
      </c>
      <c r="C33" s="372"/>
      <c r="E33" s="355">
        <v>644</v>
      </c>
      <c r="F33" s="242">
        <v>921</v>
      </c>
    </row>
    <row r="34" spans="1:9" ht="15.75" hidden="1" outlineLevel="1" x14ac:dyDescent="0.25">
      <c r="B34" s="372"/>
      <c r="C34" s="372"/>
    </row>
    <row r="35" spans="1:9" s="183" customFormat="1" ht="15.75" hidden="1" outlineLevel="1" x14ac:dyDescent="0.2">
      <c r="B35" s="369" t="s">
        <v>358</v>
      </c>
      <c r="C35" s="369"/>
      <c r="D35" s="370"/>
      <c r="E35" s="371"/>
      <c r="F35" s="371"/>
      <c r="G35" s="178"/>
      <c r="H35" s="178"/>
      <c r="I35" s="329"/>
    </row>
    <row r="36" spans="1:9" ht="15.75" hidden="1" outlineLevel="1" x14ac:dyDescent="0.25">
      <c r="B36" s="496" t="s">
        <v>359</v>
      </c>
      <c r="C36" s="372"/>
      <c r="E36" s="355">
        <v>14</v>
      </c>
      <c r="F36" s="242">
        <v>15</v>
      </c>
    </row>
    <row r="37" spans="1:9" ht="7.5" hidden="1" customHeight="1" outlineLevel="1" x14ac:dyDescent="0.2"/>
    <row r="38" spans="1:9" s="183" customFormat="1" ht="15.75" hidden="1" outlineLevel="1" x14ac:dyDescent="0.2">
      <c r="A38" s="378"/>
      <c r="B38" s="366" t="s">
        <v>25</v>
      </c>
      <c r="C38" s="366"/>
      <c r="D38" s="366"/>
      <c r="E38" s="367"/>
      <c r="F38" s="367"/>
      <c r="G38" s="178"/>
      <c r="H38" s="178"/>
      <c r="I38" s="329"/>
    </row>
    <row r="39" spans="1:9" ht="8.25" hidden="1" customHeight="1" outlineLevel="1" x14ac:dyDescent="0.2"/>
    <row r="40" spans="1:9" s="183" customFormat="1" ht="15.75" hidden="1" outlineLevel="1" x14ac:dyDescent="0.2">
      <c r="B40" s="379" t="s">
        <v>360</v>
      </c>
      <c r="C40" s="379"/>
      <c r="D40" s="370"/>
      <c r="E40" s="371"/>
      <c r="F40" s="371"/>
      <c r="G40" s="178"/>
      <c r="H40" s="178"/>
      <c r="I40" s="329"/>
    </row>
    <row r="41" spans="1:9" hidden="1" outlineLevel="1" x14ac:dyDescent="0.2">
      <c r="B41" s="84" t="s">
        <v>361</v>
      </c>
      <c r="D41" s="355">
        <v>1334413.56</v>
      </c>
      <c r="E41" s="242">
        <v>1213103.52</v>
      </c>
      <c r="F41" s="355">
        <v>2490000</v>
      </c>
      <c r="G41" s="107"/>
      <c r="H41" s="107"/>
      <c r="I41" s="107"/>
    </row>
    <row r="42" spans="1:9" hidden="1" outlineLevel="1" x14ac:dyDescent="0.2">
      <c r="B42" s="84" t="s">
        <v>362</v>
      </c>
      <c r="D42" s="355">
        <v>186142.28</v>
      </c>
      <c r="E42" s="242">
        <v>182393.48</v>
      </c>
      <c r="F42" s="355">
        <v>155040.12</v>
      </c>
      <c r="G42" s="107"/>
      <c r="H42" s="107"/>
      <c r="I42" s="107"/>
    </row>
    <row r="43" spans="1:9" ht="15.75" hidden="1" outlineLevel="1" x14ac:dyDescent="0.2">
      <c r="B43" s="380" t="s">
        <v>368</v>
      </c>
      <c r="C43" s="380"/>
      <c r="D43" s="381">
        <f>D42/D41</f>
        <v>0.1394936963919941</v>
      </c>
      <c r="E43" s="381">
        <f>E42/E41</f>
        <v>0.15035277451012591</v>
      </c>
      <c r="F43" s="381">
        <f>F42/F41</f>
        <v>6.2265108433734936E-2</v>
      </c>
      <c r="G43" s="107"/>
      <c r="H43" s="107"/>
      <c r="I43" s="107"/>
    </row>
    <row r="44" spans="1:9" ht="30" hidden="1" outlineLevel="1" x14ac:dyDescent="0.2">
      <c r="B44" s="382" t="s">
        <v>363</v>
      </c>
      <c r="C44" s="383"/>
      <c r="D44" s="46"/>
      <c r="E44" s="213"/>
      <c r="F44" s="107"/>
      <c r="G44" s="107"/>
      <c r="H44" s="107"/>
      <c r="I44" s="107"/>
    </row>
    <row r="45" spans="1:9" hidden="1" outlineLevel="1" x14ac:dyDescent="0.2"/>
    <row r="46" spans="1:9" s="183" customFormat="1" ht="15.75" hidden="1" outlineLevel="1" x14ac:dyDescent="0.2">
      <c r="A46" s="378"/>
      <c r="B46" s="366" t="s">
        <v>26</v>
      </c>
      <c r="C46" s="366"/>
      <c r="D46" s="366"/>
      <c r="E46" s="367"/>
      <c r="F46" s="367"/>
      <c r="G46" s="178"/>
      <c r="H46" s="178"/>
      <c r="I46" s="329"/>
    </row>
    <row r="47" spans="1:9" ht="5.25" hidden="1" customHeight="1" outlineLevel="1" x14ac:dyDescent="0.2"/>
    <row r="48" spans="1:9" s="183" customFormat="1" ht="31.5" hidden="1" outlineLevel="1" x14ac:dyDescent="0.2">
      <c r="B48" s="379" t="s">
        <v>364</v>
      </c>
      <c r="C48" s="379"/>
      <c r="D48" s="370"/>
      <c r="E48" s="371"/>
      <c r="F48" s="371"/>
      <c r="G48" s="178"/>
      <c r="H48" s="178"/>
      <c r="I48" s="329"/>
    </row>
    <row r="49" spans="1:9" hidden="1" outlineLevel="1" x14ac:dyDescent="0.2">
      <c r="B49" s="84" t="s">
        <v>365</v>
      </c>
      <c r="C49" s="384">
        <v>1327000.2</v>
      </c>
      <c r="D49" s="385">
        <v>1334413.56</v>
      </c>
      <c r="E49" s="385">
        <v>1213103.52</v>
      </c>
      <c r="F49" s="385">
        <v>2490000</v>
      </c>
    </row>
    <row r="50" spans="1:9" hidden="1" outlineLevel="1" x14ac:dyDescent="0.2">
      <c r="B50" s="386" t="s">
        <v>367</v>
      </c>
      <c r="C50" s="387"/>
      <c r="D50" s="388">
        <f>(D49/C49)-1</f>
        <v>5.5865552996903212E-3</v>
      </c>
      <c r="E50" s="388">
        <f>(E49/D49)-1</f>
        <v>-9.0908878354023948E-2</v>
      </c>
      <c r="F50" s="388">
        <f>(F49/E49)-1</f>
        <v>1.052586575628764</v>
      </c>
    </row>
    <row r="51" spans="1:9" ht="18.75" hidden="1" customHeight="1" outlineLevel="1" x14ac:dyDescent="0.2">
      <c r="B51" s="84" t="s">
        <v>366</v>
      </c>
      <c r="C51" s="384">
        <v>185087.04</v>
      </c>
      <c r="D51" s="385">
        <v>186142.28</v>
      </c>
      <c r="E51" s="385">
        <v>182393.48</v>
      </c>
      <c r="F51" s="385">
        <v>155040.12</v>
      </c>
    </row>
    <row r="52" spans="1:9" s="389" customFormat="1" hidden="1" outlineLevel="1" x14ac:dyDescent="0.2">
      <c r="B52" s="386" t="s">
        <v>367</v>
      </c>
      <c r="C52" s="387"/>
      <c r="D52" s="388">
        <f>(D51/C51)-1</f>
        <v>5.7013176071105676E-3</v>
      </c>
      <c r="E52" s="388">
        <f>(E51/D51)-1</f>
        <v>-2.0139433126101114E-2</v>
      </c>
      <c r="F52" s="388">
        <f>(F51/E51)-1</f>
        <v>-0.1499689572236903</v>
      </c>
      <c r="G52" s="390"/>
      <c r="H52" s="390"/>
      <c r="I52" s="391"/>
    </row>
    <row r="53" spans="1:9" ht="15.75" hidden="1" outlineLevel="1" x14ac:dyDescent="0.25">
      <c r="B53" s="380" t="s">
        <v>368</v>
      </c>
      <c r="C53" s="380"/>
      <c r="D53" s="392">
        <v>0.98</v>
      </c>
      <c r="E53" s="393">
        <v>4.51</v>
      </c>
      <c r="F53" s="394">
        <v>-7.02</v>
      </c>
    </row>
    <row r="54" spans="1:9" hidden="1" outlineLevel="1" x14ac:dyDescent="0.2"/>
    <row r="55" spans="1:9" s="183" customFormat="1" ht="15.75" hidden="1" outlineLevel="1" x14ac:dyDescent="0.2">
      <c r="A55" s="378"/>
      <c r="B55" s="366" t="s">
        <v>27</v>
      </c>
      <c r="C55" s="366"/>
      <c r="D55" s="366"/>
      <c r="E55" s="367"/>
      <c r="F55" s="367"/>
      <c r="G55" s="178"/>
      <c r="H55" s="178"/>
      <c r="I55" s="329"/>
    </row>
    <row r="56" spans="1:9" ht="5.25" hidden="1" customHeight="1" outlineLevel="1" x14ac:dyDescent="0.2"/>
    <row r="57" spans="1:9" s="183" customFormat="1" ht="15.75" hidden="1" outlineLevel="1" x14ac:dyDescent="0.2">
      <c r="B57" s="379" t="s">
        <v>369</v>
      </c>
      <c r="C57" s="379"/>
      <c r="D57" s="370"/>
      <c r="E57" s="371"/>
      <c r="F57" s="371"/>
      <c r="G57" s="178"/>
      <c r="H57" s="178"/>
      <c r="I57" s="329"/>
    </row>
    <row r="58" spans="1:9" ht="15.75" hidden="1" outlineLevel="1" x14ac:dyDescent="0.25">
      <c r="B58" s="217" t="s">
        <v>349</v>
      </c>
    </row>
    <row r="59" spans="1:9" hidden="1" outlineLevel="1" x14ac:dyDescent="0.2">
      <c r="B59" s="395" t="s">
        <v>339</v>
      </c>
      <c r="F59" s="46">
        <v>1.36</v>
      </c>
    </row>
    <row r="60" spans="1:9" ht="18" hidden="1" customHeight="1" outlineLevel="1" x14ac:dyDescent="0.2">
      <c r="B60" s="395" t="s">
        <v>340</v>
      </c>
      <c r="F60" s="46">
        <v>1.96</v>
      </c>
    </row>
    <row r="61" spans="1:9" ht="15.75" hidden="1" outlineLevel="1" x14ac:dyDescent="0.25">
      <c r="B61" s="217" t="s">
        <v>350</v>
      </c>
    </row>
    <row r="62" spans="1:9" ht="18" hidden="1" customHeight="1" outlineLevel="1" x14ac:dyDescent="0.2">
      <c r="B62" s="395" t="s">
        <v>339</v>
      </c>
      <c r="F62" s="46">
        <v>2.0099999999999998</v>
      </c>
    </row>
    <row r="63" spans="1:9" hidden="1" outlineLevel="1" x14ac:dyDescent="0.2">
      <c r="B63" s="395" t="s">
        <v>340</v>
      </c>
      <c r="F63" s="46">
        <v>2.16</v>
      </c>
    </row>
    <row r="64" spans="1:9" ht="18" hidden="1" customHeight="1" outlineLevel="1" x14ac:dyDescent="0.25">
      <c r="B64" s="217" t="s">
        <v>370</v>
      </c>
    </row>
    <row r="65" spans="1:9" hidden="1" outlineLevel="1" x14ac:dyDescent="0.2">
      <c r="B65" s="395" t="s">
        <v>339</v>
      </c>
      <c r="F65" s="46">
        <v>2.0299999999999998</v>
      </c>
    </row>
    <row r="66" spans="1:9" ht="18" hidden="1" customHeight="1" outlineLevel="1" x14ac:dyDescent="0.2">
      <c r="B66" s="395" t="s">
        <v>340</v>
      </c>
      <c r="F66" s="46">
        <v>2.12</v>
      </c>
    </row>
    <row r="67" spans="1:9" ht="15.75" hidden="1" outlineLevel="1" x14ac:dyDescent="0.25">
      <c r="B67" s="217" t="s">
        <v>371</v>
      </c>
    </row>
    <row r="68" spans="1:9" ht="18" hidden="1" customHeight="1" outlineLevel="1" x14ac:dyDescent="0.2">
      <c r="B68" s="395" t="s">
        <v>339</v>
      </c>
      <c r="F68" s="46">
        <v>1</v>
      </c>
    </row>
    <row r="69" spans="1:9" hidden="1" outlineLevel="1" x14ac:dyDescent="0.2">
      <c r="B69" s="395" t="s">
        <v>340</v>
      </c>
      <c r="F69" s="46" t="s">
        <v>28</v>
      </c>
    </row>
    <row r="70" spans="1:9" ht="18.75" hidden="1" customHeight="1" outlineLevel="1" x14ac:dyDescent="0.25">
      <c r="B70" s="217" t="s">
        <v>353</v>
      </c>
    </row>
    <row r="71" spans="1:9" hidden="1" outlineLevel="1" x14ac:dyDescent="0.2">
      <c r="B71" s="395" t="s">
        <v>339</v>
      </c>
      <c r="F71" s="46">
        <v>1.41</v>
      </c>
    </row>
    <row r="72" spans="1:9" hidden="1" outlineLevel="1" x14ac:dyDescent="0.2">
      <c r="B72" s="395" t="s">
        <v>340</v>
      </c>
      <c r="F72" s="46">
        <v>1.43</v>
      </c>
    </row>
    <row r="73" spans="1:9" hidden="1" outlineLevel="1" x14ac:dyDescent="0.2">
      <c r="B73" s="396" t="s">
        <v>372</v>
      </c>
    </row>
    <row r="74" spans="1:9" hidden="1" outlineLevel="1" x14ac:dyDescent="0.2"/>
    <row r="75" spans="1:9" s="183" customFormat="1" ht="15.75" hidden="1" outlineLevel="1" x14ac:dyDescent="0.2">
      <c r="A75" s="378"/>
      <c r="B75" s="366" t="s">
        <v>29</v>
      </c>
      <c r="C75" s="366"/>
      <c r="D75" s="366"/>
      <c r="E75" s="367"/>
      <c r="F75" s="367"/>
      <c r="G75" s="178"/>
      <c r="H75" s="178"/>
      <c r="I75" s="329"/>
    </row>
    <row r="76" spans="1:9" ht="5.25" hidden="1" customHeight="1" outlineLevel="1" x14ac:dyDescent="0.2"/>
    <row r="77" spans="1:9" s="183" customFormat="1" ht="15.75" hidden="1" outlineLevel="1" x14ac:dyDescent="0.2">
      <c r="B77" s="379" t="s">
        <v>373</v>
      </c>
      <c r="C77" s="379"/>
      <c r="D77" s="370"/>
      <c r="E77" s="371"/>
      <c r="F77" s="371"/>
      <c r="G77" s="178"/>
      <c r="H77" s="178"/>
      <c r="I77" s="329"/>
    </row>
    <row r="78" spans="1:9" hidden="1" outlineLevel="1" x14ac:dyDescent="0.2">
      <c r="B78" s="84" t="s">
        <v>374</v>
      </c>
      <c r="D78" s="84">
        <v>0</v>
      </c>
      <c r="E78" s="373">
        <v>0</v>
      </c>
      <c r="F78" s="57">
        <v>0</v>
      </c>
    </row>
    <row r="79" spans="1:9" hidden="1" outlineLevel="1" x14ac:dyDescent="0.2">
      <c r="B79" s="84" t="s">
        <v>375</v>
      </c>
      <c r="D79" s="84">
        <v>0</v>
      </c>
      <c r="E79" s="373">
        <v>0</v>
      </c>
      <c r="F79" s="57">
        <v>0</v>
      </c>
    </row>
    <row r="80" spans="1:9" hidden="1" outlineLevel="1" x14ac:dyDescent="0.2">
      <c r="B80" s="84" t="s">
        <v>376</v>
      </c>
      <c r="D80" s="84">
        <v>2</v>
      </c>
      <c r="E80" s="373">
        <v>1</v>
      </c>
      <c r="F80" s="57">
        <v>0</v>
      </c>
    </row>
    <row r="81" spans="1:9" hidden="1" outlineLevel="1" x14ac:dyDescent="0.2">
      <c r="B81" s="84" t="s">
        <v>377</v>
      </c>
      <c r="D81" s="84">
        <v>0.31</v>
      </c>
      <c r="E81" s="373">
        <v>0.16</v>
      </c>
      <c r="F81" s="57">
        <v>0</v>
      </c>
    </row>
    <row r="82" spans="1:9" hidden="1" outlineLevel="1" x14ac:dyDescent="0.2">
      <c r="B82" s="84" t="s">
        <v>378</v>
      </c>
      <c r="D82" s="84">
        <v>5</v>
      </c>
      <c r="E82" s="373">
        <v>4</v>
      </c>
      <c r="F82" s="57">
        <v>3</v>
      </c>
    </row>
    <row r="83" spans="1:9" hidden="1" outlineLevel="1" x14ac:dyDescent="0.2">
      <c r="B83" s="84" t="s">
        <v>379</v>
      </c>
      <c r="D83" s="84">
        <v>0.77</v>
      </c>
      <c r="E83" s="373">
        <v>0.64</v>
      </c>
      <c r="F83" s="57">
        <v>0.56999999999999995</v>
      </c>
    </row>
    <row r="84" spans="1:9" ht="6" hidden="1" customHeight="1" outlineLevel="1" x14ac:dyDescent="0.2"/>
    <row r="85" spans="1:9" ht="60" hidden="1" outlineLevel="1" x14ac:dyDescent="0.2">
      <c r="B85" s="398" t="s">
        <v>380</v>
      </c>
    </row>
    <row r="86" spans="1:9" hidden="1" outlineLevel="1" x14ac:dyDescent="0.2">
      <c r="E86" s="106"/>
    </row>
    <row r="87" spans="1:9" s="183" customFormat="1" ht="15.75" hidden="1" outlineLevel="1" x14ac:dyDescent="0.2">
      <c r="B87" s="379" t="s">
        <v>381</v>
      </c>
      <c r="C87" s="379"/>
      <c r="D87" s="370"/>
      <c r="E87" s="371"/>
      <c r="F87" s="371"/>
      <c r="G87" s="178"/>
      <c r="H87" s="178"/>
      <c r="I87" s="329"/>
    </row>
    <row r="88" spans="1:9" hidden="1" outlineLevel="1" x14ac:dyDescent="0.2">
      <c r="B88" s="84" t="s">
        <v>382</v>
      </c>
      <c r="E88" s="373">
        <v>1.8</v>
      </c>
      <c r="F88" s="57">
        <v>8.39</v>
      </c>
    </row>
    <row r="89" spans="1:9" hidden="1" outlineLevel="1" x14ac:dyDescent="0.2">
      <c r="B89" s="84" t="s">
        <v>383</v>
      </c>
      <c r="E89" s="373">
        <v>0.38</v>
      </c>
      <c r="F89" s="57">
        <v>0.49</v>
      </c>
    </row>
    <row r="90" spans="1:9" hidden="1" outlineLevel="1" x14ac:dyDescent="0.2">
      <c r="B90" s="84" t="s">
        <v>384</v>
      </c>
      <c r="E90" s="373">
        <v>1.92</v>
      </c>
      <c r="F90" s="57">
        <v>1.19</v>
      </c>
    </row>
    <row r="91" spans="1:9" ht="6" hidden="1" customHeight="1" outlineLevel="1" x14ac:dyDescent="0.2">
      <c r="B91" s="107"/>
      <c r="E91" s="373"/>
      <c r="F91" s="57"/>
    </row>
    <row r="92" spans="1:9" hidden="1" outlineLevel="1" x14ac:dyDescent="0.2">
      <c r="B92" s="396" t="s">
        <v>385</v>
      </c>
    </row>
    <row r="93" spans="1:9" collapsed="1" x14ac:dyDescent="0.2"/>
    <row r="94" spans="1:9" s="183" customFormat="1" ht="18" x14ac:dyDescent="0.25">
      <c r="A94" s="356"/>
      <c r="B94" s="357" t="s">
        <v>395</v>
      </c>
      <c r="C94" s="358"/>
      <c r="D94" s="359"/>
      <c r="E94" s="359"/>
      <c r="F94" s="360"/>
      <c r="G94" s="178"/>
      <c r="H94" s="178"/>
      <c r="I94" s="329"/>
    </row>
    <row r="95" spans="1:9" s="183" customFormat="1" ht="9.75" hidden="1" customHeight="1" outlineLevel="1" x14ac:dyDescent="0.25">
      <c r="B95" s="362"/>
      <c r="C95" s="362"/>
      <c r="D95" s="363"/>
      <c r="E95" s="363"/>
      <c r="F95" s="364"/>
      <c r="G95" s="178"/>
      <c r="H95" s="178"/>
      <c r="I95" s="329"/>
    </row>
    <row r="96" spans="1:9" s="183" customFormat="1" ht="15.75" hidden="1" outlineLevel="1" x14ac:dyDescent="0.2">
      <c r="A96" s="378"/>
      <c r="B96" s="366" t="s">
        <v>30</v>
      </c>
      <c r="C96" s="366"/>
      <c r="D96" s="366"/>
      <c r="E96" s="367"/>
      <c r="F96" s="367"/>
      <c r="G96" s="178"/>
      <c r="H96" s="178"/>
      <c r="I96" s="329"/>
    </row>
    <row r="97" spans="1:9" ht="5.25" hidden="1" customHeight="1" outlineLevel="1" x14ac:dyDescent="0.2"/>
    <row r="98" spans="1:9" s="183" customFormat="1" ht="31.5" hidden="1" outlineLevel="1" x14ac:dyDescent="0.2">
      <c r="B98" s="379" t="s">
        <v>501</v>
      </c>
      <c r="C98" s="379"/>
      <c r="D98" s="370"/>
      <c r="E98" s="371"/>
      <c r="F98" s="371"/>
      <c r="G98" s="178"/>
      <c r="H98" s="178"/>
      <c r="I98" s="329"/>
    </row>
    <row r="99" spans="1:9" ht="15.75" hidden="1" outlineLevel="1" x14ac:dyDescent="0.25">
      <c r="B99" s="217" t="s">
        <v>502</v>
      </c>
    </row>
    <row r="100" spans="1:9" hidden="1" outlineLevel="1" x14ac:dyDescent="0.2">
      <c r="B100" s="395" t="s">
        <v>503</v>
      </c>
      <c r="F100" s="57">
        <v>18</v>
      </c>
    </row>
    <row r="101" spans="1:9" hidden="1" outlineLevel="1" x14ac:dyDescent="0.2">
      <c r="B101" s="395" t="s">
        <v>504</v>
      </c>
      <c r="F101" s="57">
        <v>18</v>
      </c>
    </row>
    <row r="102" spans="1:9" hidden="1" outlineLevel="1" x14ac:dyDescent="0.2">
      <c r="B102" s="395" t="s">
        <v>505</v>
      </c>
      <c r="F102" s="57">
        <v>100</v>
      </c>
    </row>
    <row r="103" spans="1:9" ht="8.25" hidden="1" customHeight="1" outlineLevel="1" x14ac:dyDescent="0.2"/>
    <row r="104" spans="1:9" s="183" customFormat="1" ht="31.5" hidden="1" outlineLevel="1" x14ac:dyDescent="0.2">
      <c r="B104" s="379" t="s">
        <v>506</v>
      </c>
      <c r="C104" s="379"/>
      <c r="D104" s="370"/>
      <c r="E104" s="371"/>
      <c r="F104" s="371"/>
      <c r="G104" s="178"/>
      <c r="H104" s="178"/>
      <c r="I104" s="329"/>
    </row>
    <row r="105" spans="1:9" hidden="1" outlineLevel="1" x14ac:dyDescent="0.2">
      <c r="B105" s="84" t="s">
        <v>507</v>
      </c>
      <c r="F105" s="46">
        <v>2441</v>
      </c>
    </row>
    <row r="106" spans="1:9" hidden="1" outlineLevel="1" x14ac:dyDescent="0.2">
      <c r="B106" s="84" t="s">
        <v>508</v>
      </c>
      <c r="F106" s="397">
        <v>0.72370000000000001</v>
      </c>
    </row>
    <row r="107" spans="1:9" ht="5.25" hidden="1" customHeight="1" outlineLevel="1" x14ac:dyDescent="0.2"/>
    <row r="108" spans="1:9" ht="30" hidden="1" outlineLevel="1" x14ac:dyDescent="0.2">
      <c r="B108" s="398" t="s">
        <v>509</v>
      </c>
    </row>
    <row r="109" spans="1:9" ht="10.5" hidden="1" customHeight="1" outlineLevel="1" x14ac:dyDescent="0.2">
      <c r="E109" s="106"/>
    </row>
    <row r="110" spans="1:9" s="183" customFormat="1" ht="15.75" hidden="1" outlineLevel="1" x14ac:dyDescent="0.2">
      <c r="A110" s="378"/>
      <c r="B110" s="366" t="s">
        <v>31</v>
      </c>
      <c r="C110" s="366"/>
      <c r="D110" s="366"/>
      <c r="E110" s="367"/>
      <c r="F110" s="367"/>
      <c r="G110" s="178"/>
      <c r="H110" s="178"/>
      <c r="I110" s="329"/>
    </row>
    <row r="111" spans="1:9" ht="5.25" hidden="1" customHeight="1" outlineLevel="1" x14ac:dyDescent="0.2"/>
    <row r="112" spans="1:9" s="183" customFormat="1" ht="15.75" hidden="1" outlineLevel="1" x14ac:dyDescent="0.2">
      <c r="B112" s="379" t="s">
        <v>386</v>
      </c>
      <c r="C112" s="379"/>
      <c r="D112" s="370"/>
      <c r="E112" s="371"/>
      <c r="F112" s="371"/>
      <c r="G112" s="178"/>
      <c r="H112" s="178"/>
      <c r="I112" s="329"/>
    </row>
    <row r="113" spans="1:11" hidden="1" outlineLevel="1" x14ac:dyDescent="0.2">
      <c r="B113" s="84" t="s">
        <v>387</v>
      </c>
      <c r="D113" s="84">
        <v>11</v>
      </c>
      <c r="E113" s="373">
        <v>31</v>
      </c>
      <c r="F113" s="57">
        <v>4</v>
      </c>
    </row>
    <row r="114" spans="1:11" hidden="1" outlineLevel="1" x14ac:dyDescent="0.2"/>
    <row r="115" spans="1:11" hidden="1" outlineLevel="1" x14ac:dyDescent="0.2">
      <c r="B115" s="399" t="s">
        <v>389</v>
      </c>
      <c r="C115" s="100"/>
      <c r="D115" s="100">
        <v>4</v>
      </c>
      <c r="E115" s="400">
        <v>5</v>
      </c>
      <c r="F115" s="57">
        <v>2</v>
      </c>
    </row>
    <row r="116" spans="1:11" ht="42.75" hidden="1" customHeight="1" outlineLevel="1" x14ac:dyDescent="0.2">
      <c r="B116" s="401" t="s">
        <v>390</v>
      </c>
      <c r="D116" s="100">
        <v>0</v>
      </c>
      <c r="E116" s="400">
        <v>0</v>
      </c>
      <c r="F116" s="57">
        <v>0</v>
      </c>
    </row>
    <row r="117" spans="1:11" ht="57" hidden="1" outlineLevel="1" x14ac:dyDescent="0.2">
      <c r="B117" s="241" t="s">
        <v>388</v>
      </c>
      <c r="D117" s="402" t="s">
        <v>391</v>
      </c>
      <c r="E117" s="403" t="s">
        <v>392</v>
      </c>
      <c r="F117" s="402" t="s">
        <v>393</v>
      </c>
    </row>
    <row r="118" spans="1:11" ht="75" hidden="1" outlineLevel="1" x14ac:dyDescent="0.2">
      <c r="B118" s="404" t="s">
        <v>394</v>
      </c>
    </row>
    <row r="119" spans="1:11" collapsed="1" x14ac:dyDescent="0.2"/>
    <row r="120" spans="1:11" s="183" customFormat="1" ht="18" x14ac:dyDescent="0.25">
      <c r="A120" s="356"/>
      <c r="B120" s="357" t="s">
        <v>397</v>
      </c>
      <c r="C120" s="358"/>
      <c r="D120" s="359"/>
      <c r="E120" s="359"/>
      <c r="F120" s="360"/>
      <c r="G120" s="178"/>
      <c r="H120" s="178"/>
      <c r="I120" s="329"/>
    </row>
    <row r="121" spans="1:11" s="183" customFormat="1" ht="9.75" hidden="1" customHeight="1" outlineLevel="1" x14ac:dyDescent="0.25">
      <c r="B121" s="362"/>
      <c r="C121" s="362"/>
      <c r="D121" s="363"/>
      <c r="E121" s="363"/>
      <c r="F121" s="364"/>
      <c r="G121" s="178"/>
      <c r="H121" s="178"/>
      <c r="I121" s="329"/>
    </row>
    <row r="122" spans="1:11" s="183" customFormat="1" ht="15.75" hidden="1" outlineLevel="1" x14ac:dyDescent="0.2">
      <c r="A122" s="378"/>
      <c r="B122" s="366" t="s">
        <v>32</v>
      </c>
      <c r="C122" s="366"/>
      <c r="D122" s="366"/>
      <c r="E122" s="367"/>
      <c r="F122" s="367"/>
      <c r="G122" s="178"/>
      <c r="H122" s="178"/>
      <c r="I122" s="405" t="s">
        <v>35</v>
      </c>
      <c r="J122" s="405"/>
      <c r="K122" s="405"/>
    </row>
    <row r="123" spans="1:11" ht="8.25" hidden="1" customHeight="1" outlineLevel="1" x14ac:dyDescent="0.2">
      <c r="I123" s="84"/>
      <c r="J123" s="84"/>
    </row>
    <row r="124" spans="1:11" s="183" customFormat="1" ht="31.5" hidden="1" outlineLevel="1" x14ac:dyDescent="0.2">
      <c r="B124" s="379" t="s">
        <v>399</v>
      </c>
      <c r="C124" s="379"/>
      <c r="D124" s="370"/>
      <c r="E124" s="371"/>
      <c r="F124" s="371"/>
      <c r="G124" s="178"/>
      <c r="H124" s="178"/>
      <c r="I124" s="379" t="s">
        <v>33</v>
      </c>
      <c r="J124" s="370" t="s">
        <v>36</v>
      </c>
      <c r="K124" s="370"/>
    </row>
    <row r="125" spans="1:11" ht="7.5" hidden="1" customHeight="1" outlineLevel="1" x14ac:dyDescent="0.2">
      <c r="H125" s="541" t="s">
        <v>48</v>
      </c>
      <c r="J125" s="84"/>
    </row>
    <row r="126" spans="1:11" ht="30" hidden="1" outlineLevel="1" x14ac:dyDescent="0.2">
      <c r="B126" s="497" t="s">
        <v>400</v>
      </c>
      <c r="D126" s="406">
        <v>58</v>
      </c>
      <c r="E126" s="407" t="s">
        <v>28</v>
      </c>
      <c r="F126" s="57">
        <v>50</v>
      </c>
      <c r="H126" s="542"/>
      <c r="I126" s="538" t="s">
        <v>45</v>
      </c>
      <c r="J126" s="408" t="s">
        <v>37</v>
      </c>
      <c r="K126" s="409" t="s">
        <v>38</v>
      </c>
    </row>
    <row r="127" spans="1:11" hidden="1" outlineLevel="1" x14ac:dyDescent="0.2">
      <c r="B127" s="410" t="s">
        <v>34</v>
      </c>
      <c r="C127" s="410"/>
      <c r="D127" s="411">
        <v>0.84060000000000001</v>
      </c>
      <c r="E127" s="412" t="s">
        <v>28</v>
      </c>
      <c r="F127" s="413">
        <v>0.89290000000000003</v>
      </c>
      <c r="H127" s="542"/>
      <c r="I127" s="539"/>
      <c r="J127" s="414" t="s">
        <v>39</v>
      </c>
      <c r="K127" s="415" t="s">
        <v>40</v>
      </c>
    </row>
    <row r="128" spans="1:11" hidden="1" outlineLevel="1" x14ac:dyDescent="0.2">
      <c r="B128" s="84" t="s">
        <v>401</v>
      </c>
      <c r="D128" s="406">
        <v>46</v>
      </c>
      <c r="E128" s="407">
        <v>53</v>
      </c>
      <c r="F128" s="57">
        <v>66</v>
      </c>
      <c r="H128" s="542"/>
      <c r="I128" s="540" t="s">
        <v>46</v>
      </c>
      <c r="J128" s="416" t="s">
        <v>37</v>
      </c>
      <c r="K128" s="417" t="s">
        <v>41</v>
      </c>
    </row>
    <row r="129" spans="1:11" hidden="1" outlineLevel="1" x14ac:dyDescent="0.2">
      <c r="B129" s="410" t="s">
        <v>34</v>
      </c>
      <c r="C129" s="410"/>
      <c r="D129" s="411">
        <v>0.66669999999999996</v>
      </c>
      <c r="E129" s="412">
        <v>0.7681</v>
      </c>
      <c r="F129" s="413">
        <v>0.97060000000000002</v>
      </c>
      <c r="G129" s="418"/>
      <c r="H129" s="542"/>
      <c r="I129" s="539"/>
      <c r="J129" s="414" t="s">
        <v>39</v>
      </c>
      <c r="K129" s="415" t="s">
        <v>42</v>
      </c>
    </row>
    <row r="130" spans="1:11" hidden="1" outlineLevel="1" x14ac:dyDescent="0.2">
      <c r="B130" s="84" t="s">
        <v>402</v>
      </c>
      <c r="D130" s="406" t="s">
        <v>28</v>
      </c>
      <c r="E130" s="406" t="s">
        <v>28</v>
      </c>
      <c r="F130" s="406" t="s">
        <v>28</v>
      </c>
      <c r="H130" s="542"/>
      <c r="I130" s="540" t="s">
        <v>47</v>
      </c>
      <c r="J130" s="416" t="s">
        <v>37</v>
      </c>
      <c r="K130" s="417" t="s">
        <v>28</v>
      </c>
    </row>
    <row r="131" spans="1:11" hidden="1" outlineLevel="1" x14ac:dyDescent="0.2">
      <c r="B131" s="410" t="s">
        <v>34</v>
      </c>
      <c r="C131" s="410"/>
      <c r="D131" s="419" t="s">
        <v>28</v>
      </c>
      <c r="E131" s="419" t="s">
        <v>28</v>
      </c>
      <c r="F131" s="419" t="s">
        <v>28</v>
      </c>
      <c r="H131" s="543"/>
      <c r="I131" s="539"/>
      <c r="J131" s="414" t="s">
        <v>39</v>
      </c>
      <c r="K131" s="415" t="s">
        <v>43</v>
      </c>
    </row>
    <row r="132" spans="1:11" hidden="1" outlineLevel="1" x14ac:dyDescent="0.2">
      <c r="B132" s="84" t="s">
        <v>403</v>
      </c>
      <c r="D132" s="406" t="s">
        <v>28</v>
      </c>
      <c r="E132" s="407">
        <v>1</v>
      </c>
      <c r="F132" s="57">
        <v>1</v>
      </c>
      <c r="I132" s="84"/>
      <c r="J132" s="84"/>
    </row>
    <row r="133" spans="1:11" hidden="1" outlineLevel="1" x14ac:dyDescent="0.2">
      <c r="B133" s="410" t="s">
        <v>34</v>
      </c>
      <c r="C133" s="410"/>
      <c r="D133" s="419" t="s">
        <v>28</v>
      </c>
      <c r="E133" s="412">
        <v>1.4500000000000001E-2</v>
      </c>
      <c r="F133" s="413">
        <v>1.47E-2</v>
      </c>
      <c r="I133" s="84" t="s">
        <v>44</v>
      </c>
      <c r="J133" s="84"/>
    </row>
    <row r="134" spans="1:11" hidden="1" outlineLevel="1" x14ac:dyDescent="0.2">
      <c r="B134" s="401" t="s">
        <v>404</v>
      </c>
      <c r="D134" s="406">
        <v>8</v>
      </c>
      <c r="E134" s="407">
        <v>2</v>
      </c>
      <c r="F134" s="57">
        <v>2</v>
      </c>
    </row>
    <row r="135" spans="1:11" hidden="1" outlineLevel="1" x14ac:dyDescent="0.2">
      <c r="B135" s="410" t="s">
        <v>34</v>
      </c>
      <c r="C135" s="410"/>
      <c r="D135" s="411">
        <v>0.1159</v>
      </c>
      <c r="E135" s="412">
        <v>2.9000000000000001E-2</v>
      </c>
      <c r="F135" s="413">
        <v>2.9399999999999999E-2</v>
      </c>
    </row>
    <row r="136" spans="1:11" ht="30" hidden="1" outlineLevel="1" x14ac:dyDescent="0.2">
      <c r="B136" s="401" t="s">
        <v>405</v>
      </c>
      <c r="D136" s="406">
        <v>2</v>
      </c>
      <c r="E136" s="407">
        <v>2</v>
      </c>
      <c r="F136" s="57">
        <v>2</v>
      </c>
    </row>
    <row r="137" spans="1:11" hidden="1" outlineLevel="1" x14ac:dyDescent="0.2">
      <c r="B137" s="410" t="s">
        <v>34</v>
      </c>
      <c r="C137" s="410"/>
      <c r="D137" s="411">
        <v>2.9000000000000001E-2</v>
      </c>
      <c r="E137" s="412">
        <v>2.9000000000000001E-2</v>
      </c>
      <c r="F137" s="413">
        <v>2.9399999999999999E-2</v>
      </c>
    </row>
    <row r="138" spans="1:11" hidden="1" outlineLevel="1" x14ac:dyDescent="0.2">
      <c r="D138" s="406"/>
      <c r="E138" s="407"/>
      <c r="F138" s="57"/>
    </row>
    <row r="139" spans="1:11" ht="60.75" hidden="1" outlineLevel="1" x14ac:dyDescent="0.25">
      <c r="B139" s="404" t="s">
        <v>406</v>
      </c>
      <c r="I139" s="217"/>
    </row>
    <row r="140" spans="1:11" collapsed="1" x14ac:dyDescent="0.2"/>
    <row r="141" spans="1:11" s="183" customFormat="1" ht="18" x14ac:dyDescent="0.25">
      <c r="A141" s="356"/>
      <c r="B141" s="357" t="s">
        <v>398</v>
      </c>
      <c r="C141" s="358"/>
      <c r="D141" s="359"/>
      <c r="E141" s="359"/>
      <c r="F141" s="360"/>
      <c r="G141" s="178"/>
      <c r="H141" s="178"/>
      <c r="I141" s="329"/>
    </row>
    <row r="142" spans="1:11" ht="8.25" hidden="1" customHeight="1" outlineLevel="1" x14ac:dyDescent="0.2">
      <c r="E142" s="106"/>
      <c r="F142" s="182"/>
    </row>
    <row r="143" spans="1:11" s="183" customFormat="1" ht="15.75" hidden="1" outlineLevel="1" x14ac:dyDescent="0.2">
      <c r="A143" s="378"/>
      <c r="B143" s="366" t="s">
        <v>49</v>
      </c>
      <c r="C143" s="366"/>
      <c r="D143" s="366"/>
      <c r="E143" s="367"/>
      <c r="F143" s="367"/>
      <c r="G143" s="178"/>
      <c r="H143" s="178"/>
      <c r="I143" s="329"/>
    </row>
    <row r="144" spans="1:11" ht="5.25" hidden="1" customHeight="1" outlineLevel="1" x14ac:dyDescent="0.2"/>
    <row r="145" spans="1:9" s="183" customFormat="1" ht="15.75" hidden="1" outlineLevel="1" x14ac:dyDescent="0.2">
      <c r="B145" s="379" t="s">
        <v>407</v>
      </c>
      <c r="C145" s="379"/>
      <c r="D145" s="370"/>
      <c r="E145" s="371"/>
      <c r="F145" s="371"/>
      <c r="G145" s="178"/>
      <c r="H145" s="178"/>
      <c r="I145" s="329"/>
    </row>
    <row r="146" spans="1:9" ht="5.25" hidden="1" customHeight="1" outlineLevel="1" x14ac:dyDescent="0.2">
      <c r="E146" s="106"/>
      <c r="F146" s="182"/>
    </row>
    <row r="147" spans="1:9" ht="30" hidden="1" outlineLevel="1" x14ac:dyDescent="0.2">
      <c r="B147" s="420" t="s">
        <v>408</v>
      </c>
      <c r="C147" s="421"/>
      <c r="D147" s="422">
        <v>38385</v>
      </c>
      <c r="E147" s="422">
        <v>41915</v>
      </c>
      <c r="F147" s="423">
        <v>38487</v>
      </c>
    </row>
    <row r="148" spans="1:9" ht="30" hidden="1" outlineLevel="1" x14ac:dyDescent="0.2">
      <c r="B148" s="424" t="s">
        <v>409</v>
      </c>
      <c r="C148" s="425"/>
      <c r="D148" s="426">
        <v>115051</v>
      </c>
      <c r="E148" s="426">
        <v>103844</v>
      </c>
      <c r="F148" s="427">
        <v>88870</v>
      </c>
    </row>
    <row r="149" spans="1:9" ht="45" hidden="1" outlineLevel="1" x14ac:dyDescent="0.2">
      <c r="B149" s="424" t="s">
        <v>410</v>
      </c>
      <c r="C149" s="425"/>
      <c r="D149" s="426">
        <v>82</v>
      </c>
      <c r="E149" s="428">
        <v>82</v>
      </c>
      <c r="F149" s="429">
        <v>935</v>
      </c>
    </row>
    <row r="150" spans="1:9" ht="8.25" hidden="1" customHeight="1" outlineLevel="1" x14ac:dyDescent="0.2">
      <c r="B150" s="430"/>
      <c r="C150" s="102"/>
      <c r="D150" s="431"/>
      <c r="E150" s="431"/>
      <c r="F150" s="432"/>
    </row>
    <row r="151" spans="1:9" s="183" customFormat="1" ht="15.75" hidden="1" outlineLevel="1" x14ac:dyDescent="0.2">
      <c r="A151" s="378"/>
      <c r="B151" s="366" t="s">
        <v>57</v>
      </c>
      <c r="C151" s="366"/>
      <c r="D151" s="366"/>
      <c r="E151" s="367"/>
      <c r="F151" s="367"/>
      <c r="G151" s="178"/>
      <c r="H151" s="178"/>
      <c r="I151" s="329"/>
    </row>
    <row r="152" spans="1:9" ht="5.25" hidden="1" customHeight="1" outlineLevel="1" x14ac:dyDescent="0.2"/>
    <row r="153" spans="1:9" s="183" customFormat="1" ht="15.75" hidden="1" outlineLevel="1" x14ac:dyDescent="0.2">
      <c r="B153" s="379" t="s">
        <v>411</v>
      </c>
      <c r="C153" s="379"/>
      <c r="D153" s="370"/>
      <c r="E153" s="371"/>
      <c r="F153" s="371"/>
      <c r="G153" s="178"/>
      <c r="H153" s="178"/>
      <c r="I153" s="329"/>
    </row>
    <row r="154" spans="1:9" ht="5.25" hidden="1" customHeight="1" outlineLevel="1" x14ac:dyDescent="0.2">
      <c r="E154" s="106"/>
      <c r="F154" s="182"/>
    </row>
    <row r="155" spans="1:9" hidden="1" outlineLevel="1" x14ac:dyDescent="0.2">
      <c r="B155" s="420" t="s">
        <v>412</v>
      </c>
      <c r="C155" s="421"/>
      <c r="D155" s="422">
        <v>170365</v>
      </c>
      <c r="E155" s="422">
        <v>163196</v>
      </c>
      <c r="F155" s="423">
        <v>146019</v>
      </c>
    </row>
    <row r="156" spans="1:9" hidden="1" outlineLevel="1" x14ac:dyDescent="0.2">
      <c r="B156" s="424" t="s">
        <v>411</v>
      </c>
      <c r="C156" s="425"/>
      <c r="D156" s="426">
        <v>4.33</v>
      </c>
      <c r="E156" s="426">
        <v>4.09</v>
      </c>
      <c r="F156" s="427">
        <v>4</v>
      </c>
    </row>
    <row r="157" spans="1:9" hidden="1" outlineLevel="1" x14ac:dyDescent="0.2">
      <c r="B157" s="430"/>
      <c r="C157" s="102"/>
      <c r="D157" s="431"/>
      <c r="E157" s="431"/>
      <c r="F157" s="432"/>
    </row>
    <row r="158" spans="1:9" ht="28.5" hidden="1" outlineLevel="1" x14ac:dyDescent="0.2">
      <c r="B158" s="433" t="s">
        <v>413</v>
      </c>
      <c r="C158" s="102"/>
      <c r="D158" s="431"/>
      <c r="E158" s="431"/>
      <c r="F158" s="432"/>
    </row>
    <row r="159" spans="1:9" ht="9" hidden="1" customHeight="1" outlineLevel="1" x14ac:dyDescent="0.2">
      <c r="B159" s="430"/>
      <c r="C159" s="102"/>
      <c r="D159" s="431"/>
      <c r="E159" s="431"/>
      <c r="F159" s="432"/>
    </row>
    <row r="160" spans="1:9" s="183" customFormat="1" ht="15.75" hidden="1" outlineLevel="1" x14ac:dyDescent="0.2">
      <c r="A160" s="378"/>
      <c r="B160" s="366" t="s">
        <v>58</v>
      </c>
      <c r="C160" s="366"/>
      <c r="D160" s="366"/>
      <c r="E160" s="367"/>
      <c r="F160" s="367"/>
      <c r="G160" s="178"/>
      <c r="H160" s="178"/>
      <c r="I160" s="329"/>
    </row>
    <row r="161" spans="1:9" ht="5.25" hidden="1" customHeight="1" outlineLevel="1" x14ac:dyDescent="0.2"/>
    <row r="162" spans="1:9" s="183" customFormat="1" ht="15.75" hidden="1" outlineLevel="1" x14ac:dyDescent="0.2">
      <c r="B162" s="379" t="s">
        <v>414</v>
      </c>
      <c r="C162" s="379"/>
      <c r="D162" s="370"/>
      <c r="E162" s="371"/>
      <c r="F162" s="371"/>
      <c r="G162" s="178"/>
      <c r="H162" s="178"/>
      <c r="I162" s="329"/>
    </row>
    <row r="163" spans="1:9" ht="6.75" hidden="1" customHeight="1" outlineLevel="1" x14ac:dyDescent="0.2">
      <c r="E163" s="106"/>
      <c r="F163" s="434"/>
    </row>
    <row r="164" spans="1:9" hidden="1" outlineLevel="1" x14ac:dyDescent="0.2">
      <c r="B164" s="420" t="s">
        <v>415</v>
      </c>
      <c r="C164" s="421"/>
      <c r="D164" s="422">
        <v>1.6</v>
      </c>
      <c r="E164" s="423">
        <v>3.1</v>
      </c>
      <c r="F164" s="423">
        <v>0.5</v>
      </c>
      <c r="G164" s="213"/>
      <c r="H164" s="107"/>
      <c r="I164" s="107"/>
    </row>
    <row r="165" spans="1:9" hidden="1" outlineLevel="1" x14ac:dyDescent="0.2">
      <c r="B165" s="424" t="s">
        <v>416</v>
      </c>
      <c r="C165" s="425"/>
      <c r="D165" s="426">
        <v>364.9</v>
      </c>
      <c r="E165" s="427">
        <v>383.2</v>
      </c>
      <c r="F165" s="429">
        <v>336.5</v>
      </c>
      <c r="G165" s="213"/>
      <c r="H165" s="107"/>
      <c r="I165" s="107"/>
    </row>
    <row r="166" spans="1:9" ht="17.25" hidden="1" customHeight="1" outlineLevel="1" x14ac:dyDescent="0.2">
      <c r="B166" s="424" t="s">
        <v>417</v>
      </c>
      <c r="C166" s="425"/>
      <c r="D166" s="435">
        <v>4.4000000000000003E-3</v>
      </c>
      <c r="E166" s="436">
        <v>8.0999999999999996E-3</v>
      </c>
      <c r="F166" s="435">
        <v>1.5E-3</v>
      </c>
      <c r="G166" s="213"/>
      <c r="H166" s="107"/>
      <c r="I166" s="107"/>
    </row>
    <row r="167" spans="1:9" ht="9" hidden="1" customHeight="1" outlineLevel="1" x14ac:dyDescent="0.2">
      <c r="B167" s="430"/>
      <c r="C167" s="102"/>
      <c r="D167" s="431"/>
      <c r="E167" s="431"/>
      <c r="F167" s="432"/>
    </row>
    <row r="168" spans="1:9" s="183" customFormat="1" ht="15.75" hidden="1" outlineLevel="1" x14ac:dyDescent="0.2">
      <c r="A168" s="378"/>
      <c r="B168" s="366" t="s">
        <v>59</v>
      </c>
      <c r="C168" s="366"/>
      <c r="D168" s="366"/>
      <c r="E168" s="367"/>
      <c r="F168" s="367"/>
      <c r="G168" s="178"/>
      <c r="H168" s="178"/>
      <c r="I168" s="329"/>
    </row>
    <row r="169" spans="1:9" ht="5.25" hidden="1" customHeight="1" outlineLevel="1" x14ac:dyDescent="0.2"/>
    <row r="170" spans="1:9" s="183" customFormat="1" ht="15.75" hidden="1" outlineLevel="1" x14ac:dyDescent="0.2">
      <c r="B170" s="379" t="s">
        <v>418</v>
      </c>
      <c r="C170" s="379"/>
      <c r="D170" s="370"/>
      <c r="E170" s="371"/>
      <c r="F170" s="371"/>
      <c r="G170" s="178"/>
      <c r="H170" s="178"/>
      <c r="I170" s="329"/>
    </row>
    <row r="171" spans="1:9" ht="6.75" hidden="1" customHeight="1" outlineLevel="1" x14ac:dyDescent="0.2">
      <c r="E171" s="106"/>
      <c r="F171" s="434"/>
    </row>
    <row r="172" spans="1:9" hidden="1" outlineLevel="1" x14ac:dyDescent="0.2">
      <c r="B172" s="420" t="s">
        <v>1</v>
      </c>
      <c r="C172" s="421"/>
      <c r="D172" s="422">
        <v>2066623.28</v>
      </c>
      <c r="E172" s="423">
        <v>2048526.56</v>
      </c>
      <c r="F172" s="423">
        <v>1669349.33</v>
      </c>
      <c r="G172" s="213"/>
      <c r="H172" s="107"/>
      <c r="I172" s="107"/>
    </row>
    <row r="173" spans="1:9" hidden="1" outlineLevel="1" x14ac:dyDescent="0.2">
      <c r="B173" s="420" t="s">
        <v>419</v>
      </c>
      <c r="C173" s="421"/>
      <c r="D173" s="422">
        <v>26166.54</v>
      </c>
      <c r="E173" s="423">
        <v>6467.63</v>
      </c>
      <c r="F173" s="423" t="s">
        <v>28</v>
      </c>
      <c r="G173" s="213"/>
      <c r="H173" s="107"/>
      <c r="I173" s="107"/>
    </row>
    <row r="174" spans="1:9" hidden="1" outlineLevel="1" x14ac:dyDescent="0.2">
      <c r="B174" s="420" t="s">
        <v>420</v>
      </c>
      <c r="C174" s="421"/>
      <c r="D174" s="422">
        <v>9830.18</v>
      </c>
      <c r="E174" s="423">
        <v>5148.1499999999996</v>
      </c>
      <c r="F174" s="423">
        <v>4010.4</v>
      </c>
      <c r="G174" s="213"/>
      <c r="H174" s="107"/>
      <c r="I174" s="107"/>
    </row>
    <row r="175" spans="1:9" hidden="1" outlineLevel="1" x14ac:dyDescent="0.2">
      <c r="B175" s="420" t="s">
        <v>421</v>
      </c>
      <c r="C175" s="421"/>
      <c r="D175" s="422">
        <v>6453.26</v>
      </c>
      <c r="E175" s="423">
        <v>25083.67</v>
      </c>
      <c r="F175" s="423">
        <v>5254.92</v>
      </c>
      <c r="G175" s="213"/>
      <c r="H175" s="107"/>
      <c r="I175" s="107"/>
    </row>
    <row r="176" spans="1:9" hidden="1" outlineLevel="1" x14ac:dyDescent="0.2">
      <c r="B176" s="420" t="s">
        <v>422</v>
      </c>
      <c r="C176" s="421"/>
      <c r="D176" s="422">
        <v>39528.53</v>
      </c>
      <c r="E176" s="423">
        <v>72845.039999999994</v>
      </c>
      <c r="F176" s="423">
        <v>15530.4</v>
      </c>
      <c r="G176" s="213"/>
      <c r="H176" s="107"/>
      <c r="I176" s="107"/>
    </row>
    <row r="177" spans="2:9" ht="17.25" hidden="1" customHeight="1" outlineLevel="1" x14ac:dyDescent="0.2">
      <c r="B177" s="420" t="s">
        <v>265</v>
      </c>
      <c r="C177" s="421"/>
      <c r="D177" s="422">
        <v>19938.080000000002</v>
      </c>
      <c r="E177" s="423">
        <v>11075.42</v>
      </c>
      <c r="F177" s="423">
        <v>9989.48</v>
      </c>
      <c r="G177" s="213"/>
      <c r="H177" s="107"/>
      <c r="I177" s="107"/>
    </row>
    <row r="178" spans="2:9" ht="9" hidden="1" customHeight="1" outlineLevel="1" x14ac:dyDescent="0.2">
      <c r="B178" s="430"/>
      <c r="C178" s="102"/>
      <c r="D178" s="431"/>
      <c r="E178" s="431"/>
      <c r="F178" s="432"/>
    </row>
    <row r="179" spans="2:9" s="183" customFormat="1" ht="15.75" hidden="1" outlineLevel="1" x14ac:dyDescent="0.2">
      <c r="B179" s="379" t="s">
        <v>423</v>
      </c>
      <c r="C179" s="379"/>
      <c r="D179" s="370"/>
      <c r="E179" s="371"/>
      <c r="F179" s="371"/>
      <c r="G179" s="178"/>
      <c r="H179" s="178"/>
      <c r="I179" s="329"/>
    </row>
    <row r="180" spans="2:9" ht="6.75" hidden="1" customHeight="1" outlineLevel="1" x14ac:dyDescent="0.2">
      <c r="E180" s="106"/>
      <c r="F180" s="434"/>
    </row>
    <row r="181" spans="2:9" hidden="1" outlineLevel="1" x14ac:dyDescent="0.2">
      <c r="B181" s="420" t="s">
        <v>60</v>
      </c>
      <c r="C181" s="421"/>
      <c r="D181" s="422">
        <v>255425.35</v>
      </c>
      <c r="E181" s="423">
        <v>230145.92000000001</v>
      </c>
      <c r="F181" s="423">
        <v>194182.83</v>
      </c>
      <c r="G181" s="213"/>
      <c r="H181" s="107"/>
      <c r="I181" s="107"/>
    </row>
    <row r="182" spans="2:9" hidden="1" outlineLevel="1" x14ac:dyDescent="0.2">
      <c r="B182" s="420" t="s">
        <v>424</v>
      </c>
      <c r="C182" s="421"/>
      <c r="D182" s="422">
        <v>6896.48</v>
      </c>
      <c r="E182" s="423">
        <v>3830.93</v>
      </c>
      <c r="F182" s="423">
        <v>2560.75</v>
      </c>
      <c r="G182" s="213"/>
      <c r="H182" s="107"/>
      <c r="I182" s="107"/>
    </row>
    <row r="183" spans="2:9" ht="17.25" hidden="1" customHeight="1" outlineLevel="1" x14ac:dyDescent="0.2">
      <c r="B183" s="430"/>
      <c r="C183" s="102"/>
      <c r="D183" s="431"/>
      <c r="E183" s="431"/>
      <c r="F183" s="432"/>
    </row>
    <row r="184" spans="2:9" ht="28.5" hidden="1" outlineLevel="1" x14ac:dyDescent="0.2">
      <c r="B184" s="437" t="s">
        <v>425</v>
      </c>
      <c r="C184" s="102"/>
      <c r="D184" s="431"/>
      <c r="E184" s="431"/>
      <c r="F184" s="432"/>
    </row>
    <row r="185" spans="2:9" ht="9" hidden="1" customHeight="1" outlineLevel="1" x14ac:dyDescent="0.2">
      <c r="B185" s="430"/>
      <c r="C185" s="102"/>
      <c r="D185" s="431"/>
      <c r="E185" s="431"/>
      <c r="F185" s="432"/>
    </row>
    <row r="186" spans="2:9" s="183" customFormat="1" ht="15.75" hidden="1" outlineLevel="1" x14ac:dyDescent="0.2">
      <c r="B186" s="379" t="s">
        <v>426</v>
      </c>
      <c r="C186" s="379"/>
      <c r="D186" s="370"/>
      <c r="E186" s="371"/>
      <c r="F186" s="371"/>
      <c r="G186" s="178"/>
      <c r="H186" s="178"/>
      <c r="I186" s="329"/>
    </row>
    <row r="187" spans="2:9" ht="6.75" hidden="1" customHeight="1" outlineLevel="1" x14ac:dyDescent="0.2">
      <c r="E187" s="106"/>
      <c r="F187" s="434"/>
    </row>
    <row r="188" spans="2:9" hidden="1" outlineLevel="1" x14ac:dyDescent="0.2">
      <c r="B188" s="420" t="s">
        <v>427</v>
      </c>
      <c r="C188" s="421"/>
      <c r="D188" s="422">
        <v>143447.44</v>
      </c>
      <c r="E188" s="423">
        <v>141904.59</v>
      </c>
      <c r="F188" s="423">
        <v>136021.01999999999</v>
      </c>
      <c r="G188" s="213"/>
      <c r="H188" s="107"/>
      <c r="I188" s="107"/>
    </row>
    <row r="189" spans="2:9" hidden="1" outlineLevel="1" x14ac:dyDescent="0.2">
      <c r="B189" s="420" t="s">
        <v>428</v>
      </c>
      <c r="C189" s="421"/>
      <c r="D189" s="422">
        <v>119697.83</v>
      </c>
      <c r="E189" s="423">
        <v>185636.97</v>
      </c>
      <c r="F189" s="423">
        <v>256071</v>
      </c>
      <c r="G189" s="213"/>
      <c r="H189" s="107"/>
      <c r="I189" s="107"/>
    </row>
    <row r="190" spans="2:9" hidden="1" outlineLevel="1" x14ac:dyDescent="0.2">
      <c r="B190" s="420" t="s">
        <v>429</v>
      </c>
      <c r="C190" s="421"/>
      <c r="D190" s="422">
        <v>103.18</v>
      </c>
      <c r="E190" s="423">
        <v>398.3</v>
      </c>
      <c r="F190" s="423">
        <v>382.39</v>
      </c>
      <c r="G190" s="213"/>
      <c r="H190" s="107"/>
      <c r="I190" s="107"/>
    </row>
    <row r="191" spans="2:9" hidden="1" outlineLevel="1" x14ac:dyDescent="0.2">
      <c r="B191" s="438"/>
      <c r="C191" s="102"/>
      <c r="D191" s="431"/>
      <c r="E191" s="431"/>
      <c r="F191" s="432"/>
    </row>
    <row r="192" spans="2:9" ht="28.5" hidden="1" outlineLevel="1" x14ac:dyDescent="0.2">
      <c r="B192" s="437" t="s">
        <v>430</v>
      </c>
      <c r="C192" s="102"/>
      <c r="D192" s="431"/>
      <c r="E192" s="431"/>
      <c r="F192" s="432"/>
    </row>
    <row r="193" spans="1:9" ht="9" hidden="1" customHeight="1" outlineLevel="1" x14ac:dyDescent="0.2">
      <c r="B193" s="430"/>
      <c r="C193" s="102"/>
      <c r="D193" s="431"/>
      <c r="E193" s="431"/>
      <c r="F193" s="432"/>
    </row>
    <row r="194" spans="1:9" s="183" customFormat="1" ht="15.75" hidden="1" outlineLevel="1" x14ac:dyDescent="0.2">
      <c r="B194" s="379" t="s">
        <v>431</v>
      </c>
      <c r="C194" s="379"/>
      <c r="D194" s="370"/>
      <c r="E194" s="371"/>
      <c r="F194" s="371"/>
      <c r="G194" s="178"/>
      <c r="H194" s="178"/>
      <c r="I194" s="329"/>
    </row>
    <row r="195" spans="1:9" ht="6.75" hidden="1" customHeight="1" outlineLevel="1" x14ac:dyDescent="0.2">
      <c r="E195" s="106"/>
      <c r="F195" s="434"/>
    </row>
    <row r="196" spans="1:9" hidden="1" outlineLevel="1" x14ac:dyDescent="0.2">
      <c r="B196" s="420" t="s">
        <v>432</v>
      </c>
      <c r="C196" s="421"/>
      <c r="D196" s="422">
        <v>2168539.87</v>
      </c>
      <c r="E196" s="423">
        <v>2169146.4700000002</v>
      </c>
      <c r="F196" s="423">
        <v>1704134.54</v>
      </c>
      <c r="G196" s="213"/>
      <c r="H196" s="107"/>
      <c r="I196" s="107"/>
    </row>
    <row r="197" spans="1:9" hidden="1" outlineLevel="1" x14ac:dyDescent="0.2">
      <c r="B197" s="420" t="s">
        <v>433</v>
      </c>
      <c r="C197" s="421"/>
      <c r="D197" s="422">
        <v>262321.83</v>
      </c>
      <c r="E197" s="423">
        <v>233976.85</v>
      </c>
      <c r="F197" s="423">
        <v>196743.59</v>
      </c>
      <c r="G197" s="213"/>
      <c r="H197" s="107"/>
      <c r="I197" s="107"/>
    </row>
    <row r="198" spans="1:9" hidden="1" outlineLevel="1" x14ac:dyDescent="0.2">
      <c r="B198" s="420" t="s">
        <v>434</v>
      </c>
      <c r="C198" s="421"/>
      <c r="D198" s="422">
        <v>263248.45</v>
      </c>
      <c r="E198" s="423">
        <v>327939.86</v>
      </c>
      <c r="F198" s="423">
        <v>392474.41</v>
      </c>
      <c r="G198" s="213"/>
      <c r="H198" s="107"/>
      <c r="I198" s="107"/>
    </row>
    <row r="199" spans="1:9" ht="9" hidden="1" customHeight="1" outlineLevel="1" x14ac:dyDescent="0.2">
      <c r="B199" s="430"/>
      <c r="C199" s="102"/>
      <c r="D199" s="431"/>
      <c r="E199" s="431"/>
      <c r="F199" s="432"/>
    </row>
    <row r="200" spans="1:9" s="183" customFormat="1" ht="15.75" hidden="1" outlineLevel="1" x14ac:dyDescent="0.2">
      <c r="A200" s="378"/>
      <c r="B200" s="366" t="s">
        <v>61</v>
      </c>
      <c r="C200" s="366"/>
      <c r="D200" s="366"/>
      <c r="E200" s="367"/>
      <c r="F200" s="367"/>
      <c r="G200" s="178"/>
      <c r="H200" s="178"/>
      <c r="I200" s="329"/>
    </row>
    <row r="201" spans="1:9" ht="5.25" hidden="1" customHeight="1" outlineLevel="1" x14ac:dyDescent="0.2"/>
    <row r="202" spans="1:9" s="183" customFormat="1" ht="15.75" hidden="1" outlineLevel="1" x14ac:dyDescent="0.2">
      <c r="B202" s="379" t="s">
        <v>435</v>
      </c>
      <c r="C202" s="379"/>
      <c r="D202" s="370"/>
      <c r="E202" s="371"/>
      <c r="F202" s="371"/>
      <c r="G202" s="178"/>
      <c r="H202" s="178"/>
      <c r="I202" s="329"/>
    </row>
    <row r="203" spans="1:9" ht="6.75" hidden="1" customHeight="1" outlineLevel="1" x14ac:dyDescent="0.2">
      <c r="E203" s="106"/>
      <c r="F203" s="434"/>
    </row>
    <row r="204" spans="1:9" hidden="1" outlineLevel="1" x14ac:dyDescent="0.2">
      <c r="B204" s="420" t="s">
        <v>436</v>
      </c>
      <c r="C204" s="421"/>
      <c r="D204" s="422">
        <v>2694110.15</v>
      </c>
      <c r="E204" s="423">
        <v>2731063.18</v>
      </c>
      <c r="F204" s="423">
        <v>2293352.5299999998</v>
      </c>
      <c r="G204" s="213"/>
      <c r="H204" s="107"/>
      <c r="I204" s="107"/>
    </row>
    <row r="205" spans="1:9" hidden="1" outlineLevel="1" x14ac:dyDescent="0.2">
      <c r="B205" s="420" t="s">
        <v>437</v>
      </c>
      <c r="C205" s="421"/>
      <c r="D205" s="422">
        <v>68.53</v>
      </c>
      <c r="E205" s="423">
        <v>68.489999999999995</v>
      </c>
      <c r="F205" s="423">
        <v>62.8</v>
      </c>
      <c r="G205" s="213"/>
      <c r="H205" s="107"/>
      <c r="I205" s="107"/>
    </row>
    <row r="206" spans="1:9" hidden="1" outlineLevel="1" x14ac:dyDescent="0.2">
      <c r="B206" s="420" t="s">
        <v>438</v>
      </c>
      <c r="C206" s="421"/>
      <c r="D206" s="422">
        <v>2762919.24</v>
      </c>
      <c r="E206" s="423">
        <v>2959932.99</v>
      </c>
      <c r="F206" s="423">
        <v>2895415.55</v>
      </c>
      <c r="G206" s="213"/>
      <c r="H206" s="107"/>
      <c r="I206" s="107"/>
    </row>
    <row r="207" spans="1:9" hidden="1" outlineLevel="1" x14ac:dyDescent="0.2">
      <c r="B207" s="420" t="s">
        <v>439</v>
      </c>
      <c r="C207" s="421"/>
      <c r="D207" s="422">
        <v>70.28</v>
      </c>
      <c r="E207" s="423">
        <v>74.23</v>
      </c>
      <c r="F207" s="423">
        <v>79.290000000000006</v>
      </c>
      <c r="G207" s="213"/>
      <c r="H207" s="107"/>
      <c r="I207" s="107"/>
    </row>
    <row r="208" spans="1:9" hidden="1" outlineLevel="1" x14ac:dyDescent="0.2">
      <c r="B208" s="424" t="s">
        <v>440</v>
      </c>
      <c r="C208" s="425"/>
      <c r="D208" s="426">
        <v>5457029.3899999997</v>
      </c>
      <c r="E208" s="427">
        <v>5690996.1699999999</v>
      </c>
      <c r="F208" s="427">
        <v>5188768.09</v>
      </c>
      <c r="G208" s="213"/>
      <c r="H208" s="107"/>
      <c r="I208" s="107"/>
    </row>
    <row r="209" spans="1:9" hidden="1" outlineLevel="1" x14ac:dyDescent="0.2">
      <c r="B209" s="430" t="s">
        <v>441</v>
      </c>
      <c r="C209" s="102"/>
      <c r="D209" s="431">
        <v>138.81</v>
      </c>
      <c r="E209" s="434">
        <v>142.72</v>
      </c>
      <c r="F209" s="434">
        <v>142.09</v>
      </c>
      <c r="G209" s="213"/>
      <c r="H209" s="107"/>
      <c r="I209" s="107"/>
    </row>
    <row r="210" spans="1:9" ht="9" hidden="1" customHeight="1" outlineLevel="1" x14ac:dyDescent="0.2">
      <c r="B210" s="430"/>
      <c r="C210" s="102"/>
      <c r="D210" s="431"/>
      <c r="E210" s="431"/>
      <c r="F210" s="432"/>
    </row>
    <row r="211" spans="1:9" s="183" customFormat="1" ht="15.75" hidden="1" outlineLevel="1" x14ac:dyDescent="0.2">
      <c r="A211" s="378"/>
      <c r="B211" s="366" t="s">
        <v>62</v>
      </c>
      <c r="C211" s="366"/>
      <c r="D211" s="366"/>
      <c r="E211" s="367"/>
      <c r="F211" s="367"/>
      <c r="G211" s="178"/>
      <c r="H211" s="178"/>
      <c r="I211" s="329"/>
    </row>
    <row r="212" spans="1:9" ht="5.25" hidden="1" customHeight="1" outlineLevel="1" x14ac:dyDescent="0.2"/>
    <row r="213" spans="1:9" s="183" customFormat="1" ht="31.5" hidden="1" outlineLevel="1" x14ac:dyDescent="0.2">
      <c r="B213" s="379" t="s">
        <v>442</v>
      </c>
      <c r="C213" s="379"/>
      <c r="D213" s="370"/>
      <c r="E213" s="371"/>
      <c r="F213" s="371"/>
      <c r="G213" s="178"/>
      <c r="H213" s="178"/>
      <c r="I213" s="329"/>
    </row>
    <row r="214" spans="1:9" ht="6.75" hidden="1" customHeight="1" outlineLevel="1" x14ac:dyDescent="0.2">
      <c r="E214" s="106"/>
      <c r="F214" s="434"/>
    </row>
    <row r="215" spans="1:9" hidden="1" outlineLevel="1" x14ac:dyDescent="0.2">
      <c r="B215" s="420" t="s">
        <v>443</v>
      </c>
      <c r="C215" s="421"/>
      <c r="D215" s="422">
        <v>2168539.87</v>
      </c>
      <c r="E215" s="423">
        <v>2169146.4700000002</v>
      </c>
      <c r="F215" s="423">
        <v>1704134.54</v>
      </c>
      <c r="G215" s="213"/>
      <c r="H215" s="107"/>
      <c r="I215" s="107"/>
    </row>
    <row r="216" spans="1:9" hidden="1" outlineLevel="1" x14ac:dyDescent="0.2">
      <c r="B216" s="420" t="s">
        <v>444</v>
      </c>
      <c r="C216" s="421"/>
      <c r="D216" s="422">
        <v>143447.44</v>
      </c>
      <c r="E216" s="423">
        <v>141904.59</v>
      </c>
      <c r="F216" s="423">
        <v>136021.01999999999</v>
      </c>
      <c r="G216" s="213"/>
      <c r="H216" s="107"/>
      <c r="I216" s="107"/>
    </row>
    <row r="217" spans="1:9" ht="9.75" hidden="1" customHeight="1" outlineLevel="1" x14ac:dyDescent="0.2">
      <c r="B217" s="439"/>
      <c r="D217" s="440"/>
      <c r="E217" s="431"/>
      <c r="F217" s="441"/>
    </row>
    <row r="218" spans="1:9" s="183" customFormat="1" ht="15.75" hidden="1" outlineLevel="1" x14ac:dyDescent="0.2">
      <c r="A218" s="378"/>
      <c r="B218" s="366" t="s">
        <v>50</v>
      </c>
      <c r="C218" s="366"/>
      <c r="D218" s="366"/>
      <c r="E218" s="367"/>
      <c r="F218" s="367"/>
      <c r="G218" s="178"/>
      <c r="H218" s="178"/>
      <c r="I218" s="329"/>
    </row>
    <row r="219" spans="1:9" ht="5.25" hidden="1" customHeight="1" outlineLevel="1" x14ac:dyDescent="0.2"/>
    <row r="220" spans="1:9" s="183" customFormat="1" ht="15.75" hidden="1" outlineLevel="1" x14ac:dyDescent="0.2">
      <c r="B220" s="379" t="s">
        <v>445</v>
      </c>
      <c r="C220" s="379"/>
      <c r="D220" s="370"/>
      <c r="E220" s="371"/>
      <c r="F220" s="371"/>
      <c r="G220" s="178"/>
      <c r="H220" s="178"/>
      <c r="I220" s="329"/>
    </row>
    <row r="221" spans="1:9" s="183" customFormat="1" ht="5.25" hidden="1" customHeight="1" outlineLevel="1" x14ac:dyDescent="0.2">
      <c r="B221" s="442"/>
      <c r="C221" s="442"/>
      <c r="D221" s="172"/>
      <c r="E221" s="443"/>
      <c r="F221" s="443"/>
      <c r="G221" s="178"/>
      <c r="H221" s="178"/>
      <c r="I221" s="329"/>
    </row>
    <row r="222" spans="1:9" ht="60" hidden="1" outlineLevel="1" x14ac:dyDescent="0.2">
      <c r="B222" s="444" t="s">
        <v>446</v>
      </c>
      <c r="C222" s="421"/>
      <c r="D222" s="422">
        <v>12764861</v>
      </c>
      <c r="E222" s="422">
        <v>13421047</v>
      </c>
      <c r="F222" s="423">
        <v>12683660</v>
      </c>
    </row>
    <row r="223" spans="1:9" ht="8.25" hidden="1" customHeight="1" outlineLevel="1" x14ac:dyDescent="0.2">
      <c r="B223" s="445"/>
      <c r="C223" s="102"/>
      <c r="D223" s="431"/>
      <c r="E223" s="431"/>
      <c r="F223" s="434"/>
    </row>
    <row r="224" spans="1:9" s="183" customFormat="1" ht="15.75" hidden="1" outlineLevel="1" x14ac:dyDescent="0.2">
      <c r="A224" s="378"/>
      <c r="B224" s="366" t="s">
        <v>55</v>
      </c>
      <c r="C224" s="366"/>
      <c r="D224" s="366"/>
      <c r="E224" s="367"/>
      <c r="F224" s="367"/>
      <c r="G224" s="178"/>
      <c r="H224" s="178"/>
      <c r="I224" s="329"/>
    </row>
    <row r="225" spans="1:9" ht="5.25" hidden="1" customHeight="1" outlineLevel="1" x14ac:dyDescent="0.2"/>
    <row r="226" spans="1:9" s="183" customFormat="1" ht="15.75" hidden="1" outlineLevel="1" x14ac:dyDescent="0.2">
      <c r="B226" s="379" t="s">
        <v>447</v>
      </c>
      <c r="C226" s="379"/>
      <c r="D226" s="370"/>
      <c r="E226" s="371"/>
      <c r="F226" s="371"/>
      <c r="G226" s="178"/>
      <c r="H226" s="178"/>
      <c r="I226" s="329"/>
    </row>
    <row r="227" spans="1:9" s="352" customFormat="1" ht="19.5" hidden="1" customHeight="1" outlineLevel="1" x14ac:dyDescent="0.2">
      <c r="B227" s="446" t="s">
        <v>448</v>
      </c>
      <c r="D227" s="447">
        <v>4.4000000000000004</v>
      </c>
      <c r="E227" s="447">
        <v>4.9000000000000004</v>
      </c>
      <c r="F227" s="447">
        <v>4.04</v>
      </c>
    </row>
    <row r="228" spans="1:9" s="352" customFormat="1" hidden="1" outlineLevel="1" x14ac:dyDescent="0.2">
      <c r="B228" s="446" t="s">
        <v>449</v>
      </c>
      <c r="D228" s="447">
        <v>74.5</v>
      </c>
      <c r="E228" s="447">
        <v>74.5</v>
      </c>
      <c r="F228" s="447">
        <v>67.180000000000007</v>
      </c>
    </row>
    <row r="229" spans="1:9" hidden="1" outlineLevel="1" x14ac:dyDescent="0.2">
      <c r="B229" s="446" t="s">
        <v>450</v>
      </c>
      <c r="D229" s="447">
        <v>1.6</v>
      </c>
      <c r="E229" s="448">
        <v>2.5499999999999998</v>
      </c>
      <c r="F229" s="449">
        <v>2E-3</v>
      </c>
    </row>
    <row r="230" spans="1:9" hidden="1" outlineLevel="1" x14ac:dyDescent="0.2">
      <c r="B230" s="446" t="s">
        <v>451</v>
      </c>
      <c r="D230" s="447">
        <v>284.39999999999998</v>
      </c>
      <c r="E230" s="448">
        <v>300.7</v>
      </c>
      <c r="F230" s="449">
        <v>88.96</v>
      </c>
    </row>
    <row r="231" spans="1:9" hidden="1" outlineLevel="1" x14ac:dyDescent="0.2">
      <c r="B231" s="446" t="s">
        <v>452</v>
      </c>
      <c r="D231" s="447">
        <v>0</v>
      </c>
      <c r="E231" s="448">
        <v>0.55000000000000004</v>
      </c>
      <c r="F231" s="449">
        <v>0.5</v>
      </c>
    </row>
    <row r="232" spans="1:9" hidden="1" outlineLevel="1" x14ac:dyDescent="0.2">
      <c r="B232" s="446" t="s">
        <v>453</v>
      </c>
      <c r="D232" s="447">
        <v>0</v>
      </c>
      <c r="E232" s="448">
        <v>0</v>
      </c>
      <c r="F232" s="449">
        <v>175.81</v>
      </c>
    </row>
    <row r="233" spans="1:9" ht="8.25" hidden="1" customHeight="1" outlineLevel="1" x14ac:dyDescent="0.2">
      <c r="B233" s="445"/>
      <c r="C233" s="102"/>
      <c r="D233" s="431"/>
      <c r="E233" s="431"/>
      <c r="F233" s="434"/>
    </row>
    <row r="234" spans="1:9" s="183" customFormat="1" ht="15.75" hidden="1" outlineLevel="1" x14ac:dyDescent="0.2">
      <c r="A234" s="378"/>
      <c r="B234" s="366" t="s">
        <v>56</v>
      </c>
      <c r="C234" s="366"/>
      <c r="D234" s="366"/>
      <c r="E234" s="367"/>
      <c r="F234" s="367"/>
      <c r="G234" s="178"/>
      <c r="H234" s="178"/>
      <c r="I234" s="329"/>
    </row>
    <row r="235" spans="1:9" ht="5.25" hidden="1" customHeight="1" outlineLevel="1" x14ac:dyDescent="0.2"/>
    <row r="236" spans="1:9" s="183" customFormat="1" ht="15.75" hidden="1" outlineLevel="1" x14ac:dyDescent="0.2">
      <c r="B236" s="379" t="s">
        <v>454</v>
      </c>
      <c r="C236" s="379"/>
      <c r="D236" s="370"/>
      <c r="E236" s="371"/>
      <c r="F236" s="371"/>
      <c r="G236" s="178"/>
      <c r="H236" s="178"/>
      <c r="I236" s="329"/>
    </row>
    <row r="237" spans="1:9" s="352" customFormat="1" ht="19.5" hidden="1" customHeight="1" outlineLevel="1" x14ac:dyDescent="0.2">
      <c r="B237" s="450" t="s">
        <v>455</v>
      </c>
      <c r="C237" s="451"/>
      <c r="D237" s="452"/>
      <c r="E237" s="452"/>
      <c r="F237" s="453">
        <v>2775.12</v>
      </c>
    </row>
    <row r="238" spans="1:9" s="352" customFormat="1" hidden="1" outlineLevel="1" x14ac:dyDescent="0.2">
      <c r="B238" s="454" t="s">
        <v>456</v>
      </c>
      <c r="C238" s="455"/>
      <c r="D238" s="456"/>
      <c r="E238" s="456"/>
      <c r="F238" s="457">
        <v>2065.2600000000002</v>
      </c>
    </row>
    <row r="239" spans="1:9" s="352" customFormat="1" hidden="1" outlineLevel="1" x14ac:dyDescent="0.2">
      <c r="B239" s="454" t="s">
        <v>457</v>
      </c>
      <c r="C239" s="455"/>
      <c r="D239" s="456"/>
      <c r="E239" s="456"/>
      <c r="F239" s="457">
        <v>982.5</v>
      </c>
    </row>
    <row r="240" spans="1:9" s="352" customFormat="1" hidden="1" outlineLevel="1" x14ac:dyDescent="0.2">
      <c r="B240" s="454" t="s">
        <v>458</v>
      </c>
      <c r="C240" s="455"/>
      <c r="D240" s="456"/>
      <c r="E240" s="456"/>
      <c r="F240" s="457">
        <v>439.82</v>
      </c>
    </row>
    <row r="241" spans="1:9" s="352" customFormat="1" hidden="1" outlineLevel="1" x14ac:dyDescent="0.2">
      <c r="B241" s="454" t="s">
        <v>459</v>
      </c>
      <c r="C241" s="455"/>
      <c r="D241" s="456"/>
      <c r="E241" s="456"/>
      <c r="F241" s="457">
        <v>395.15</v>
      </c>
    </row>
    <row r="242" spans="1:9" s="352" customFormat="1" hidden="1" outlineLevel="1" x14ac:dyDescent="0.2">
      <c r="B242" s="454" t="s">
        <v>460</v>
      </c>
      <c r="C242" s="455"/>
      <c r="D242" s="456"/>
      <c r="E242" s="456"/>
      <c r="F242" s="457">
        <v>321.37</v>
      </c>
    </row>
    <row r="243" spans="1:9" s="352" customFormat="1" hidden="1" outlineLevel="1" x14ac:dyDescent="0.2">
      <c r="B243" s="454" t="s">
        <v>461</v>
      </c>
      <c r="C243" s="455"/>
      <c r="D243" s="456"/>
      <c r="E243" s="456"/>
      <c r="F243" s="457">
        <v>279.14999999999998</v>
      </c>
    </row>
    <row r="244" spans="1:9" s="352" customFormat="1" hidden="1" outlineLevel="1" x14ac:dyDescent="0.2">
      <c r="B244" s="454" t="s">
        <v>462</v>
      </c>
      <c r="C244" s="455"/>
      <c r="D244" s="456"/>
      <c r="E244" s="456"/>
      <c r="F244" s="457">
        <v>223.98</v>
      </c>
    </row>
    <row r="245" spans="1:9" s="352" customFormat="1" hidden="1" outlineLevel="1" x14ac:dyDescent="0.2">
      <c r="B245" s="454" t="s">
        <v>463</v>
      </c>
      <c r="C245" s="455"/>
      <c r="D245" s="456"/>
      <c r="E245" s="456"/>
      <c r="F245" s="457">
        <v>162.16</v>
      </c>
    </row>
    <row r="246" spans="1:9" s="352" customFormat="1" hidden="1" outlineLevel="1" x14ac:dyDescent="0.2">
      <c r="B246" s="454" t="s">
        <v>464</v>
      </c>
      <c r="C246" s="455"/>
      <c r="D246" s="456"/>
      <c r="E246" s="456"/>
      <c r="F246" s="457">
        <v>142.56</v>
      </c>
    </row>
    <row r="247" spans="1:9" s="352" customFormat="1" hidden="1" outlineLevel="1" x14ac:dyDescent="0.2">
      <c r="B247" s="454" t="s">
        <v>465</v>
      </c>
      <c r="C247" s="455"/>
      <c r="D247" s="456"/>
      <c r="E247" s="456"/>
      <c r="F247" s="457">
        <v>6.15</v>
      </c>
    </row>
    <row r="248" spans="1:9" s="352" customFormat="1" hidden="1" outlineLevel="1" x14ac:dyDescent="0.2">
      <c r="B248" s="454" t="s">
        <v>466</v>
      </c>
      <c r="C248" s="455"/>
      <c r="D248" s="456"/>
      <c r="E248" s="456"/>
      <c r="F248" s="457">
        <v>1.52</v>
      </c>
    </row>
    <row r="249" spans="1:9" s="352" customFormat="1" hidden="1" outlineLevel="1" x14ac:dyDescent="0.2">
      <c r="B249" s="454" t="s">
        <v>467</v>
      </c>
      <c r="C249" s="455"/>
      <c r="D249" s="456"/>
      <c r="E249" s="456"/>
      <c r="F249" s="457">
        <v>1.47</v>
      </c>
    </row>
    <row r="250" spans="1:9" s="352" customFormat="1" hidden="1" outlineLevel="1" x14ac:dyDescent="0.2">
      <c r="B250" s="454" t="s">
        <v>468</v>
      </c>
      <c r="C250" s="455"/>
      <c r="D250" s="456"/>
      <c r="E250" s="456"/>
      <c r="F250" s="457">
        <v>0.1</v>
      </c>
    </row>
    <row r="251" spans="1:9" ht="8.25" hidden="1" customHeight="1" outlineLevel="1" x14ac:dyDescent="0.2">
      <c r="B251" s="445"/>
      <c r="C251" s="102"/>
      <c r="D251" s="431"/>
      <c r="E251" s="431"/>
      <c r="F251" s="434"/>
    </row>
    <row r="252" spans="1:9" s="183" customFormat="1" ht="15.75" hidden="1" outlineLevel="1" x14ac:dyDescent="0.2">
      <c r="A252" s="378"/>
      <c r="B252" s="366" t="s">
        <v>469</v>
      </c>
      <c r="C252" s="366"/>
      <c r="D252" s="366"/>
      <c r="E252" s="367"/>
      <c r="F252" s="367"/>
      <c r="G252" s="178"/>
      <c r="H252" s="178"/>
      <c r="I252" s="329"/>
    </row>
    <row r="253" spans="1:9" ht="5.25" hidden="1" customHeight="1" outlineLevel="1" x14ac:dyDescent="0.2"/>
    <row r="254" spans="1:9" s="183" customFormat="1" ht="15.75" hidden="1" outlineLevel="1" x14ac:dyDescent="0.2">
      <c r="B254" s="379" t="s">
        <v>470</v>
      </c>
      <c r="C254" s="379"/>
      <c r="D254" s="370"/>
      <c r="E254" s="371"/>
      <c r="F254" s="371"/>
      <c r="G254" s="178"/>
      <c r="H254" s="178"/>
      <c r="I254" s="329"/>
    </row>
    <row r="255" spans="1:9" s="352" customFormat="1" ht="19.5" hidden="1" customHeight="1" outlineLevel="1" x14ac:dyDescent="0.2">
      <c r="B255" s="458" t="s">
        <v>472</v>
      </c>
      <c r="C255" s="451"/>
      <c r="D255" s="453">
        <v>4</v>
      </c>
      <c r="E255" s="453">
        <v>1</v>
      </c>
      <c r="F255" s="453">
        <v>6</v>
      </c>
    </row>
    <row r="256" spans="1:9" s="352" customFormat="1" hidden="1" outlineLevel="1" x14ac:dyDescent="0.2">
      <c r="B256" s="459" t="s">
        <v>471</v>
      </c>
      <c r="C256" s="455"/>
      <c r="D256" s="457">
        <v>10.8</v>
      </c>
      <c r="E256" s="457">
        <v>1.8</v>
      </c>
      <c r="F256" s="457">
        <v>8.39</v>
      </c>
    </row>
    <row r="257" spans="2:6" ht="35.25" hidden="1" customHeight="1" outlineLevel="1" x14ac:dyDescent="0.2">
      <c r="B257" s="437" t="s">
        <v>473</v>
      </c>
      <c r="D257" s="447"/>
      <c r="E257" s="448"/>
      <c r="F257" s="449"/>
    </row>
    <row r="258" spans="2:6" ht="24.75" customHeight="1" collapsed="1" x14ac:dyDescent="0.2">
      <c r="B258" s="437"/>
      <c r="D258" s="447"/>
      <c r="E258" s="448"/>
      <c r="F258" s="449"/>
    </row>
    <row r="259" spans="2:6" x14ac:dyDescent="0.2">
      <c r="B259" s="446"/>
      <c r="D259" s="447"/>
      <c r="E259" s="448"/>
      <c r="F259" s="449"/>
    </row>
    <row r="260" spans="2:6" x14ac:dyDescent="0.2">
      <c r="B260" s="446"/>
      <c r="D260" s="447"/>
      <c r="E260" s="448"/>
      <c r="F260" s="449"/>
    </row>
  </sheetData>
  <mergeCells count="4">
    <mergeCell ref="I126:I127"/>
    <mergeCell ref="I128:I129"/>
    <mergeCell ref="I130:I131"/>
    <mergeCell ref="H125:H131"/>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0CD1-A5C0-4785-8D2D-D127CB41E2E4}">
  <sheetPr>
    <tabColor rgb="FFFFC000"/>
  </sheetPr>
  <dimension ref="B1:R25"/>
  <sheetViews>
    <sheetView showGridLines="0" zoomScale="80" zoomScaleNormal="80" workbookViewId="0"/>
  </sheetViews>
  <sheetFormatPr defaultColWidth="28.28515625" defaultRowHeight="14.25" x14ac:dyDescent="0.2"/>
  <cols>
    <col min="1" max="1" width="2.85546875" style="107" customWidth="1"/>
    <col min="2" max="2" width="8.42578125" style="107" customWidth="1"/>
    <col min="3" max="3" width="17.7109375" style="107" customWidth="1"/>
    <col min="4" max="4" width="66.7109375" style="107" customWidth="1"/>
    <col min="5" max="6" width="21.42578125" style="107" customWidth="1"/>
    <col min="7" max="7" width="32.7109375" style="107" customWidth="1"/>
    <col min="8" max="8" width="21" style="107" customWidth="1"/>
    <col min="9" max="9" width="27.28515625" style="107" customWidth="1"/>
    <col min="10" max="16384" width="28.28515625" style="107"/>
  </cols>
  <sheetData>
    <row r="1" spans="2:18" x14ac:dyDescent="0.2">
      <c r="G1" s="460"/>
    </row>
    <row r="2" spans="2:18" x14ac:dyDescent="0.2">
      <c r="G2" s="460"/>
    </row>
    <row r="3" spans="2:18" ht="18" customHeight="1" x14ac:dyDescent="0.2">
      <c r="G3" s="460"/>
    </row>
    <row r="4" spans="2:18" ht="38.25" customHeight="1" x14ac:dyDescent="0.2">
      <c r="G4" s="460"/>
    </row>
    <row r="5" spans="2:18" ht="28.5" customHeight="1" x14ac:dyDescent="0.2">
      <c r="G5" s="460"/>
    </row>
    <row r="6" spans="2:18" x14ac:dyDescent="0.2">
      <c r="G6" s="460"/>
    </row>
    <row r="7" spans="2:18" x14ac:dyDescent="0.2">
      <c r="B7" s="25" t="s">
        <v>51</v>
      </c>
      <c r="C7" s="25" t="s">
        <v>480</v>
      </c>
      <c r="D7" s="25" t="s">
        <v>496</v>
      </c>
      <c r="E7" s="25" t="s">
        <v>497</v>
      </c>
      <c r="F7" s="25" t="s">
        <v>481</v>
      </c>
      <c r="G7" s="26" t="s">
        <v>498</v>
      </c>
      <c r="H7" s="25" t="s">
        <v>482</v>
      </c>
      <c r="I7" s="41" t="s">
        <v>483</v>
      </c>
    </row>
    <row r="8" spans="2:18" ht="36" customHeight="1" thickBot="1" x14ac:dyDescent="0.25">
      <c r="B8" s="27"/>
      <c r="C8" s="28">
        <v>2017</v>
      </c>
      <c r="D8" s="29" t="s">
        <v>484</v>
      </c>
      <c r="E8" s="499">
        <v>41670</v>
      </c>
      <c r="F8" s="499">
        <v>41838</v>
      </c>
      <c r="G8" s="30">
        <f t="shared" ref="G8:G14" si="0">H8/1165000000</f>
        <v>0.56527346761373387</v>
      </c>
      <c r="H8" s="31">
        <v>658543589.76999998</v>
      </c>
      <c r="I8" s="545">
        <f>SUM(H8,H9)</f>
        <v>1092160222.76</v>
      </c>
      <c r="P8" s="486">
        <v>2017</v>
      </c>
      <c r="Q8" s="487">
        <f>I8</f>
        <v>1092160222.76</v>
      </c>
      <c r="R8" s="486"/>
    </row>
    <row r="9" spans="2:18" ht="36" customHeight="1" thickBot="1" x14ac:dyDescent="0.25">
      <c r="B9" s="27"/>
      <c r="C9" s="28">
        <v>2017</v>
      </c>
      <c r="D9" s="29" t="s">
        <v>338</v>
      </c>
      <c r="E9" s="499">
        <v>41753</v>
      </c>
      <c r="F9" s="499">
        <v>41885</v>
      </c>
      <c r="G9" s="30">
        <f t="shared" si="0"/>
        <v>0.37220311844635195</v>
      </c>
      <c r="H9" s="31">
        <v>433616632.99000001</v>
      </c>
      <c r="I9" s="546"/>
      <c r="P9" s="486">
        <v>2018</v>
      </c>
      <c r="Q9" s="487">
        <f>I10</f>
        <v>3145747899.0500002</v>
      </c>
      <c r="R9" s="486"/>
    </row>
    <row r="10" spans="2:18" ht="36" customHeight="1" thickBot="1" x14ac:dyDescent="0.25">
      <c r="B10" s="27"/>
      <c r="C10" s="28">
        <v>2018</v>
      </c>
      <c r="D10" s="29" t="s">
        <v>484</v>
      </c>
      <c r="E10" s="499">
        <v>41983</v>
      </c>
      <c r="F10" s="499">
        <v>42305</v>
      </c>
      <c r="G10" s="30">
        <f t="shared" si="0"/>
        <v>0.49381274351072968</v>
      </c>
      <c r="H10" s="31">
        <v>575291846.19000006</v>
      </c>
      <c r="I10" s="547">
        <f>SUM(H10,H11,H12)</f>
        <v>3145747899.0500002</v>
      </c>
      <c r="P10" s="486">
        <v>2019</v>
      </c>
      <c r="Q10" s="487">
        <f>I13</f>
        <v>1148849830.8499999</v>
      </c>
      <c r="R10" s="486"/>
    </row>
    <row r="11" spans="2:18" ht="36" customHeight="1" thickBot="1" x14ac:dyDescent="0.25">
      <c r="B11" s="27"/>
      <c r="C11" s="28">
        <v>2018</v>
      </c>
      <c r="D11" s="29" t="s">
        <v>338</v>
      </c>
      <c r="E11" s="499">
        <v>42117</v>
      </c>
      <c r="F11" s="499">
        <v>42154</v>
      </c>
      <c r="G11" s="30">
        <f t="shared" si="0"/>
        <v>0.880628485416309</v>
      </c>
      <c r="H11" s="31">
        <v>1025932185.51</v>
      </c>
      <c r="I11" s="547"/>
      <c r="P11" s="486">
        <v>2020</v>
      </c>
      <c r="Q11" s="487">
        <f>I16</f>
        <v>2327304908.9700003</v>
      </c>
      <c r="R11" s="486"/>
    </row>
    <row r="12" spans="2:18" ht="36" customHeight="1" thickBot="1" x14ac:dyDescent="0.25">
      <c r="B12" s="27"/>
      <c r="C12" s="28">
        <v>2018</v>
      </c>
      <c r="D12" s="29" t="s">
        <v>338</v>
      </c>
      <c r="E12" s="499">
        <v>42117</v>
      </c>
      <c r="F12" s="499">
        <v>42305</v>
      </c>
      <c r="G12" s="30">
        <f t="shared" si="0"/>
        <v>1.3257715599570814</v>
      </c>
      <c r="H12" s="31">
        <v>1544523867.3499999</v>
      </c>
      <c r="I12" s="546"/>
      <c r="P12" s="486">
        <v>2021</v>
      </c>
      <c r="Q12" s="487">
        <f>H19</f>
        <v>383277611</v>
      </c>
      <c r="R12" s="487">
        <f>Q12-H21</f>
        <v>251427782.05000001</v>
      </c>
    </row>
    <row r="13" spans="2:18" ht="36" customHeight="1" thickBot="1" x14ac:dyDescent="0.25">
      <c r="B13" s="27"/>
      <c r="C13" s="28">
        <v>2019</v>
      </c>
      <c r="D13" s="29" t="s">
        <v>484</v>
      </c>
      <c r="E13" s="499">
        <v>42341</v>
      </c>
      <c r="F13" s="499">
        <v>42613</v>
      </c>
      <c r="G13" s="30">
        <f t="shared" si="0"/>
        <v>0.47363778575965665</v>
      </c>
      <c r="H13" s="31">
        <v>551788020.40999997</v>
      </c>
      <c r="I13" s="547">
        <f>SUM(H13,H14,H15)</f>
        <v>1148849830.8499999</v>
      </c>
      <c r="K13" s="486"/>
      <c r="L13" s="486"/>
      <c r="M13" s="486"/>
    </row>
    <row r="14" spans="2:18" ht="36" customHeight="1" thickBot="1" x14ac:dyDescent="0.25">
      <c r="B14" s="27"/>
      <c r="C14" s="28">
        <v>2019</v>
      </c>
      <c r="D14" s="29" t="s">
        <v>338</v>
      </c>
      <c r="E14" s="499" t="s">
        <v>499</v>
      </c>
      <c r="F14" s="499">
        <v>42613</v>
      </c>
      <c r="G14" s="30">
        <f t="shared" si="0"/>
        <v>4.2800374111587984E-2</v>
      </c>
      <c r="H14" s="31">
        <v>49862435.840000004</v>
      </c>
      <c r="I14" s="547"/>
    </row>
    <row r="15" spans="2:18" ht="36" customHeight="1" thickBot="1" x14ac:dyDescent="0.25">
      <c r="B15" s="27"/>
      <c r="C15" s="28">
        <v>2019</v>
      </c>
      <c r="D15" s="29" t="s">
        <v>338</v>
      </c>
      <c r="E15" s="499" t="s">
        <v>499</v>
      </c>
      <c r="F15" s="499">
        <v>42642</v>
      </c>
      <c r="G15" s="30">
        <f>H15/1165000000</f>
        <v>0.46969903399141633</v>
      </c>
      <c r="H15" s="31">
        <v>547199374.60000002</v>
      </c>
      <c r="I15" s="546"/>
    </row>
    <row r="16" spans="2:18" ht="36" customHeight="1" thickBot="1" x14ac:dyDescent="0.25">
      <c r="B16" s="27"/>
      <c r="C16" s="28">
        <v>2020</v>
      </c>
      <c r="D16" s="29" t="s">
        <v>484</v>
      </c>
      <c r="E16" s="499">
        <v>42725</v>
      </c>
      <c r="F16" s="499">
        <v>42746</v>
      </c>
      <c r="G16" s="30">
        <v>0.42780043963999997</v>
      </c>
      <c r="H16" s="31">
        <v>498387512.18000001</v>
      </c>
      <c r="I16" s="547">
        <f>SUM(H16:H18)</f>
        <v>2327304908.9700003</v>
      </c>
    </row>
    <row r="17" spans="2:11" ht="36" customHeight="1" thickBot="1" x14ac:dyDescent="0.25">
      <c r="B17" s="27"/>
      <c r="C17" s="28">
        <v>2020</v>
      </c>
      <c r="D17" s="29" t="s">
        <v>493</v>
      </c>
      <c r="E17" s="499">
        <v>42840</v>
      </c>
      <c r="F17" s="499">
        <v>42977</v>
      </c>
      <c r="G17" s="32">
        <v>0.95037041535</v>
      </c>
      <c r="H17" s="31">
        <v>1107181533.8800001</v>
      </c>
      <c r="I17" s="547"/>
      <c r="J17" s="461"/>
      <c r="K17" s="461"/>
    </row>
    <row r="18" spans="2:11" ht="36" customHeight="1" thickBot="1" x14ac:dyDescent="0.25">
      <c r="B18" s="27"/>
      <c r="C18" s="28">
        <v>2020</v>
      </c>
      <c r="D18" s="29" t="s">
        <v>494</v>
      </c>
      <c r="E18" s="499">
        <v>42840</v>
      </c>
      <c r="F18" s="499">
        <v>42854</v>
      </c>
      <c r="G18" s="32">
        <v>0.61951576215000004</v>
      </c>
      <c r="H18" s="31">
        <v>721735862.90999997</v>
      </c>
      <c r="I18" s="546"/>
    </row>
    <row r="19" spans="2:11" ht="36" customHeight="1" thickBot="1" x14ac:dyDescent="0.25">
      <c r="B19" s="27"/>
      <c r="C19" s="28">
        <v>2021</v>
      </c>
      <c r="D19" s="29" t="s">
        <v>495</v>
      </c>
      <c r="E19" s="499">
        <v>42991</v>
      </c>
      <c r="F19" s="499">
        <v>43006</v>
      </c>
      <c r="G19" s="32">
        <v>0.33367209398999997</v>
      </c>
      <c r="H19" s="31">
        <v>383277611</v>
      </c>
      <c r="I19" s="548">
        <f>SUM(H19:H21)</f>
        <v>663674975.38999999</v>
      </c>
    </row>
    <row r="20" spans="2:11" ht="36" customHeight="1" thickBot="1" x14ac:dyDescent="0.25">
      <c r="B20" s="27"/>
      <c r="C20" s="28">
        <v>2021</v>
      </c>
      <c r="D20" s="29" t="s">
        <v>572</v>
      </c>
      <c r="E20" s="499" t="s">
        <v>574</v>
      </c>
      <c r="F20" s="499" t="s">
        <v>575</v>
      </c>
      <c r="G20" s="32">
        <v>0.131482454</v>
      </c>
      <c r="H20" s="31">
        <v>148547535.44</v>
      </c>
      <c r="I20" s="545"/>
    </row>
    <row r="21" spans="2:11" ht="36" customHeight="1" thickBot="1" x14ac:dyDescent="0.25">
      <c r="B21" s="27"/>
      <c r="C21" s="33">
        <v>2021</v>
      </c>
      <c r="D21" s="34" t="s">
        <v>573</v>
      </c>
      <c r="E21" s="34"/>
      <c r="F21" s="500">
        <v>43434</v>
      </c>
      <c r="G21" s="35">
        <v>0.11710709900000001</v>
      </c>
      <c r="H21" s="36">
        <v>131849828.95</v>
      </c>
      <c r="I21" s="546"/>
    </row>
    <row r="22" spans="2:11" x14ac:dyDescent="0.2">
      <c r="B22" s="37" t="s">
        <v>52</v>
      </c>
      <c r="C22" s="462"/>
      <c r="D22" s="37"/>
      <c r="E22" s="37"/>
      <c r="F22" s="38"/>
      <c r="G22" s="537">
        <f>SUM(G8:G21)</f>
        <v>7.2037748329368672</v>
      </c>
      <c r="H22" s="544">
        <f>SUM(H8:H21)</f>
        <v>8377737837.0200005</v>
      </c>
      <c r="I22" s="544"/>
    </row>
    <row r="25" spans="2:11" ht="15" x14ac:dyDescent="0.25">
      <c r="D25" s="463"/>
      <c r="E25" s="463"/>
    </row>
  </sheetData>
  <mergeCells count="6">
    <mergeCell ref="H22:I22"/>
    <mergeCell ref="I8:I9"/>
    <mergeCell ref="I10:I12"/>
    <mergeCell ref="I13:I15"/>
    <mergeCell ref="I16:I18"/>
    <mergeCell ref="I19:I21"/>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F22"/>
  <sheetViews>
    <sheetView showGridLines="0" zoomScale="70" zoomScaleNormal="70" workbookViewId="0">
      <pane xSplit="2" ySplit="5" topLeftCell="C6" activePane="bottomRight" state="frozen"/>
      <selection pane="topRight"/>
      <selection pane="bottomLeft"/>
      <selection pane="bottomRight"/>
    </sheetView>
  </sheetViews>
  <sheetFormatPr defaultColWidth="9.140625" defaultRowHeight="15" x14ac:dyDescent="0.2"/>
  <cols>
    <col min="1" max="1" width="1.42578125" style="107" customWidth="1"/>
    <col min="2" max="2" width="61.5703125" style="84" customWidth="1"/>
    <col min="3" max="3" width="27" style="107" customWidth="1"/>
    <col min="4" max="4" width="25.85546875" style="46" customWidth="1"/>
    <col min="5" max="5" width="7.85546875" style="46" customWidth="1"/>
    <col min="6" max="6" width="17.28515625" style="213" bestFit="1" customWidth="1"/>
    <col min="7" max="16384" width="9.140625" style="107"/>
  </cols>
  <sheetData>
    <row r="1" spans="1:6" ht="41.25" customHeight="1" x14ac:dyDescent="0.2">
      <c r="A1" s="234"/>
      <c r="B1" s="102"/>
      <c r="C1" s="103"/>
      <c r="D1" s="42"/>
      <c r="E1" s="42"/>
    </row>
    <row r="2" spans="1:6" ht="18" x14ac:dyDescent="0.2">
      <c r="A2" s="214"/>
      <c r="B2" s="85" t="s">
        <v>550</v>
      </c>
      <c r="C2" s="215"/>
      <c r="D2" s="44"/>
      <c r="E2" s="177"/>
    </row>
    <row r="3" spans="1:6" ht="14.25" customHeight="1" x14ac:dyDescent="0.2">
      <c r="C3" s="46"/>
      <c r="E3" s="107"/>
      <c r="F3" s="107"/>
    </row>
    <row r="4" spans="1:6" ht="18" x14ac:dyDescent="0.25">
      <c r="B4" s="323"/>
      <c r="C4" s="549" t="s">
        <v>570</v>
      </c>
      <c r="D4" s="549"/>
      <c r="E4" s="107"/>
      <c r="F4" s="464" t="s">
        <v>18</v>
      </c>
    </row>
    <row r="5" spans="1:6" ht="15.75" x14ac:dyDescent="0.25">
      <c r="B5" s="350"/>
      <c r="C5" s="465" t="s">
        <v>491</v>
      </c>
      <c r="D5" s="466" t="s">
        <v>17</v>
      </c>
      <c r="E5" s="107"/>
      <c r="F5" s="352" t="s">
        <v>490</v>
      </c>
    </row>
    <row r="6" spans="1:6" ht="7.5" customHeight="1" x14ac:dyDescent="0.2">
      <c r="C6" s="43"/>
      <c r="D6" s="42"/>
      <c r="E6" s="107"/>
      <c r="F6" s="107"/>
    </row>
    <row r="7" spans="1:6" s="84" customFormat="1" ht="15.75" x14ac:dyDescent="0.2">
      <c r="B7" s="238" t="s">
        <v>15</v>
      </c>
      <c r="C7" s="240"/>
      <c r="D7" s="239"/>
    </row>
    <row r="8" spans="1:6" s="84" customFormat="1" ht="14.25" customHeight="1" x14ac:dyDescent="0.2">
      <c r="B8" s="241"/>
      <c r="C8" s="243"/>
      <c r="D8" s="242"/>
    </row>
    <row r="9" spans="1:6" s="183" customFormat="1" ht="18" x14ac:dyDescent="0.25">
      <c r="B9" s="467" t="s">
        <v>485</v>
      </c>
      <c r="C9" s="468">
        <v>39992</v>
      </c>
      <c r="D9" s="469">
        <v>39271</v>
      </c>
      <c r="E9" s="178"/>
      <c r="F9" s="470">
        <f>D9-C9</f>
        <v>-721</v>
      </c>
    </row>
    <row r="10" spans="1:6" s="84" customFormat="1" x14ac:dyDescent="0.2">
      <c r="B10" s="241"/>
      <c r="C10" s="243"/>
      <c r="D10" s="242"/>
      <c r="F10" s="471"/>
    </row>
    <row r="11" spans="1:6" s="251" customFormat="1" ht="18" x14ac:dyDescent="0.25">
      <c r="B11" s="472" t="s">
        <v>486</v>
      </c>
      <c r="C11" s="468">
        <v>1455</v>
      </c>
      <c r="D11" s="469">
        <v>1598</v>
      </c>
      <c r="F11" s="470">
        <f>D11-C11</f>
        <v>143</v>
      </c>
    </row>
    <row r="12" spans="1:6" s="251" customFormat="1" ht="18" x14ac:dyDescent="0.25">
      <c r="B12" s="252"/>
      <c r="C12" s="254"/>
      <c r="D12" s="253"/>
      <c r="F12" s="473"/>
    </row>
    <row r="13" spans="1:6" ht="18" x14ac:dyDescent="0.25">
      <c r="B13" s="472" t="s">
        <v>16</v>
      </c>
      <c r="C13" s="474">
        <v>145</v>
      </c>
      <c r="D13" s="475">
        <v>160</v>
      </c>
      <c r="F13" s="470">
        <f>D13-C13</f>
        <v>15</v>
      </c>
    </row>
    <row r="14" spans="1:6" x14ac:dyDescent="0.2">
      <c r="B14" s="476"/>
      <c r="C14" s="373"/>
      <c r="D14" s="57"/>
      <c r="F14" s="477"/>
    </row>
    <row r="15" spans="1:6" ht="18" x14ac:dyDescent="0.25">
      <c r="B15" s="237" t="s">
        <v>487</v>
      </c>
      <c r="C15" s="474">
        <v>693</v>
      </c>
      <c r="D15" s="475">
        <v>1025</v>
      </c>
      <c r="F15" s="470">
        <f>D15-C15</f>
        <v>332</v>
      </c>
    </row>
    <row r="16" spans="1:6" s="183" customFormat="1" ht="18" x14ac:dyDescent="0.25">
      <c r="B16" s="478"/>
      <c r="C16" s="479"/>
      <c r="D16" s="339"/>
      <c r="E16" s="178"/>
      <c r="F16" s="480"/>
    </row>
    <row r="17" spans="1:6" s="183" customFormat="1" ht="18" x14ac:dyDescent="0.25">
      <c r="B17" s="481" t="s">
        <v>488</v>
      </c>
      <c r="C17" s="482">
        <v>32</v>
      </c>
      <c r="D17" s="483"/>
      <c r="E17" s="178"/>
      <c r="F17" s="480"/>
    </row>
    <row r="18" spans="1:6" x14ac:dyDescent="0.2">
      <c r="B18" s="260"/>
      <c r="D18" s="484"/>
    </row>
    <row r="19" spans="1:6" s="46" customFormat="1" ht="18" x14ac:dyDescent="0.25">
      <c r="A19" s="107"/>
      <c r="B19" s="478"/>
      <c r="C19" s="290"/>
      <c r="D19" s="339"/>
      <c r="F19" s="213"/>
    </row>
    <row r="20" spans="1:6" s="46" customFormat="1" x14ac:dyDescent="0.2">
      <c r="A20" s="107"/>
      <c r="B20" s="485" t="s">
        <v>489</v>
      </c>
      <c r="C20" s="290"/>
      <c r="D20" s="339"/>
      <c r="F20" s="213"/>
    </row>
    <row r="21" spans="1:6" s="46" customFormat="1" ht="18" x14ac:dyDescent="0.25">
      <c r="A21" s="107"/>
      <c r="B21" s="478"/>
      <c r="C21" s="290"/>
      <c r="D21" s="339"/>
      <c r="F21" s="213"/>
    </row>
    <row r="22" spans="1:6" s="46" customFormat="1" x14ac:dyDescent="0.2">
      <c r="A22" s="107"/>
      <c r="B22" s="84"/>
      <c r="C22" s="84"/>
      <c r="D22" s="57"/>
      <c r="F22" s="213"/>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O19"/>
  <sheetViews>
    <sheetView showGridLines="0" zoomScale="80" zoomScaleNormal="80" workbookViewId="0"/>
  </sheetViews>
  <sheetFormatPr defaultRowHeight="15" x14ac:dyDescent="0.25"/>
  <sheetData>
    <row r="1" spans="1:15" ht="26.25" x14ac:dyDescent="0.35">
      <c r="A1" s="2"/>
      <c r="B1" s="6"/>
      <c r="C1" s="11"/>
    </row>
    <row r="4" spans="1:15" ht="15" customHeight="1" x14ac:dyDescent="0.25">
      <c r="C4" s="550" t="s">
        <v>492</v>
      </c>
      <c r="D4" s="551"/>
      <c r="E4" s="551"/>
      <c r="F4" s="551"/>
      <c r="G4" s="551"/>
      <c r="H4" s="551"/>
      <c r="I4" s="551"/>
      <c r="J4" s="551"/>
      <c r="K4" s="551"/>
      <c r="L4" s="551"/>
      <c r="M4" s="551"/>
      <c r="N4" s="552"/>
      <c r="O4" s="40"/>
    </row>
    <row r="5" spans="1:15" x14ac:dyDescent="0.25">
      <c r="C5" s="553"/>
      <c r="D5" s="554"/>
      <c r="E5" s="554"/>
      <c r="F5" s="554"/>
      <c r="G5" s="554"/>
      <c r="H5" s="554"/>
      <c r="I5" s="554"/>
      <c r="J5" s="554"/>
      <c r="K5" s="554"/>
      <c r="L5" s="554"/>
      <c r="M5" s="554"/>
      <c r="N5" s="555"/>
      <c r="O5" s="40"/>
    </row>
    <row r="6" spans="1:15" x14ac:dyDescent="0.25">
      <c r="C6" s="553"/>
      <c r="D6" s="554"/>
      <c r="E6" s="554"/>
      <c r="F6" s="554"/>
      <c r="G6" s="554"/>
      <c r="H6" s="554"/>
      <c r="I6" s="554"/>
      <c r="J6" s="554"/>
      <c r="K6" s="554"/>
      <c r="L6" s="554"/>
      <c r="M6" s="554"/>
      <c r="N6" s="555"/>
      <c r="O6" s="40"/>
    </row>
    <row r="7" spans="1:15" x14ac:dyDescent="0.25">
      <c r="C7" s="553"/>
      <c r="D7" s="554"/>
      <c r="E7" s="554"/>
      <c r="F7" s="554"/>
      <c r="G7" s="554"/>
      <c r="H7" s="554"/>
      <c r="I7" s="554"/>
      <c r="J7" s="554"/>
      <c r="K7" s="554"/>
      <c r="L7" s="554"/>
      <c r="M7" s="554"/>
      <c r="N7" s="555"/>
      <c r="O7" s="40"/>
    </row>
    <row r="8" spans="1:15" x14ac:dyDescent="0.25">
      <c r="C8" s="553"/>
      <c r="D8" s="554"/>
      <c r="E8" s="554"/>
      <c r="F8" s="554"/>
      <c r="G8" s="554"/>
      <c r="H8" s="554"/>
      <c r="I8" s="554"/>
      <c r="J8" s="554"/>
      <c r="K8" s="554"/>
      <c r="L8" s="554"/>
      <c r="M8" s="554"/>
      <c r="N8" s="555"/>
      <c r="O8" s="40"/>
    </row>
    <row r="9" spans="1:15" x14ac:dyDescent="0.25">
      <c r="C9" s="553"/>
      <c r="D9" s="554"/>
      <c r="E9" s="554"/>
      <c r="F9" s="554"/>
      <c r="G9" s="554"/>
      <c r="H9" s="554"/>
      <c r="I9" s="554"/>
      <c r="J9" s="554"/>
      <c r="K9" s="554"/>
      <c r="L9" s="554"/>
      <c r="M9" s="554"/>
      <c r="N9" s="555"/>
      <c r="O9" s="40"/>
    </row>
    <row r="10" spans="1:15" x14ac:dyDescent="0.25">
      <c r="C10" s="553"/>
      <c r="D10" s="554"/>
      <c r="E10" s="554"/>
      <c r="F10" s="554"/>
      <c r="G10" s="554"/>
      <c r="H10" s="554"/>
      <c r="I10" s="554"/>
      <c r="J10" s="554"/>
      <c r="K10" s="554"/>
      <c r="L10" s="554"/>
      <c r="M10" s="554"/>
      <c r="N10" s="555"/>
      <c r="O10" s="40"/>
    </row>
    <row r="11" spans="1:15" x14ac:dyDescent="0.25">
      <c r="C11" s="553"/>
      <c r="D11" s="554"/>
      <c r="E11" s="554"/>
      <c r="F11" s="554"/>
      <c r="G11" s="554"/>
      <c r="H11" s="554"/>
      <c r="I11" s="554"/>
      <c r="J11" s="554"/>
      <c r="K11" s="554"/>
      <c r="L11" s="554"/>
      <c r="M11" s="554"/>
      <c r="N11" s="555"/>
      <c r="O11" s="40"/>
    </row>
    <row r="12" spans="1:15" x14ac:dyDescent="0.25">
      <c r="C12" s="553"/>
      <c r="D12" s="554"/>
      <c r="E12" s="554"/>
      <c r="F12" s="554"/>
      <c r="G12" s="554"/>
      <c r="H12" s="554"/>
      <c r="I12" s="554"/>
      <c r="J12" s="554"/>
      <c r="K12" s="554"/>
      <c r="L12" s="554"/>
      <c r="M12" s="554"/>
      <c r="N12" s="555"/>
      <c r="O12" s="40"/>
    </row>
    <row r="13" spans="1:15" x14ac:dyDescent="0.25">
      <c r="C13" s="553"/>
      <c r="D13" s="554"/>
      <c r="E13" s="554"/>
      <c r="F13" s="554"/>
      <c r="G13" s="554"/>
      <c r="H13" s="554"/>
      <c r="I13" s="554"/>
      <c r="J13" s="554"/>
      <c r="K13" s="554"/>
      <c r="L13" s="554"/>
      <c r="M13" s="554"/>
      <c r="N13" s="555"/>
      <c r="O13" s="40"/>
    </row>
    <row r="14" spans="1:15" x14ac:dyDescent="0.25">
      <c r="C14" s="553"/>
      <c r="D14" s="554"/>
      <c r="E14" s="554"/>
      <c r="F14" s="554"/>
      <c r="G14" s="554"/>
      <c r="H14" s="554"/>
      <c r="I14" s="554"/>
      <c r="J14" s="554"/>
      <c r="K14" s="554"/>
      <c r="L14" s="554"/>
      <c r="M14" s="554"/>
      <c r="N14" s="555"/>
      <c r="O14" s="40"/>
    </row>
    <row r="15" spans="1:15" x14ac:dyDescent="0.25">
      <c r="C15" s="553"/>
      <c r="D15" s="554"/>
      <c r="E15" s="554"/>
      <c r="F15" s="554"/>
      <c r="G15" s="554"/>
      <c r="H15" s="554"/>
      <c r="I15" s="554"/>
      <c r="J15" s="554"/>
      <c r="K15" s="554"/>
      <c r="L15" s="554"/>
      <c r="M15" s="554"/>
      <c r="N15" s="555"/>
      <c r="O15" s="40"/>
    </row>
    <row r="16" spans="1:15" x14ac:dyDescent="0.25">
      <c r="C16" s="553"/>
      <c r="D16" s="554"/>
      <c r="E16" s="554"/>
      <c r="F16" s="554"/>
      <c r="G16" s="554"/>
      <c r="H16" s="554"/>
      <c r="I16" s="554"/>
      <c r="J16" s="554"/>
      <c r="K16" s="554"/>
      <c r="L16" s="554"/>
      <c r="M16" s="554"/>
      <c r="N16" s="555"/>
      <c r="O16" s="40"/>
    </row>
    <row r="17" spans="3:15" x14ac:dyDescent="0.25">
      <c r="C17" s="553"/>
      <c r="D17" s="554"/>
      <c r="E17" s="554"/>
      <c r="F17" s="554"/>
      <c r="G17" s="554"/>
      <c r="H17" s="554"/>
      <c r="I17" s="554"/>
      <c r="J17" s="554"/>
      <c r="K17" s="554"/>
      <c r="L17" s="554"/>
      <c r="M17" s="554"/>
      <c r="N17" s="555"/>
      <c r="O17" s="40"/>
    </row>
    <row r="18" spans="3:15" x14ac:dyDescent="0.25">
      <c r="C18" s="553"/>
      <c r="D18" s="554"/>
      <c r="E18" s="554"/>
      <c r="F18" s="554"/>
      <c r="G18" s="554"/>
      <c r="H18" s="554"/>
      <c r="I18" s="554"/>
      <c r="J18" s="554"/>
      <c r="K18" s="554"/>
      <c r="L18" s="554"/>
      <c r="M18" s="554"/>
      <c r="N18" s="555"/>
      <c r="O18" s="40"/>
    </row>
    <row r="19" spans="3:15" x14ac:dyDescent="0.25">
      <c r="C19" s="556"/>
      <c r="D19" s="557"/>
      <c r="E19" s="557"/>
      <c r="F19" s="557"/>
      <c r="G19" s="557"/>
      <c r="H19" s="557"/>
      <c r="I19" s="557"/>
      <c r="J19" s="557"/>
      <c r="K19" s="557"/>
      <c r="L19" s="557"/>
      <c r="M19" s="557"/>
      <c r="N19" s="558"/>
      <c r="O19" s="40"/>
    </row>
  </sheetData>
  <mergeCells count="1">
    <mergeCell ref="C4:N19"/>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W39"/>
  <sheetViews>
    <sheetView showGridLines="0" zoomScale="70" zoomScaleNormal="70" workbookViewId="0">
      <pane xSplit="2" ySplit="5" topLeftCell="F24" activePane="bottomRight" state="frozen"/>
      <selection pane="topRight"/>
      <selection pane="bottomLeft"/>
      <selection pane="bottomRight" activeCell="T14" sqref="T14"/>
    </sheetView>
  </sheetViews>
  <sheetFormatPr defaultColWidth="9.140625" defaultRowHeight="15.75" outlineLevelRow="1" outlineLevelCol="1" x14ac:dyDescent="0.25"/>
  <cols>
    <col min="1" max="1" width="2" customWidth="1"/>
    <col min="2" max="2" width="66.85546875" style="84" customWidth="1"/>
    <col min="3" max="5" width="10.7109375" style="63" customWidth="1" outlineLevel="1"/>
    <col min="6" max="6" width="10.7109375" style="64" customWidth="1" outlineLevel="1"/>
    <col min="7" max="9" width="10.7109375" style="63" customWidth="1" outlineLevel="1"/>
    <col min="10" max="10" width="10.7109375" style="64" customWidth="1" outlineLevel="1"/>
    <col min="11" max="13" width="10.7109375" style="63" customWidth="1" outlineLevel="1"/>
    <col min="14" max="14" width="10.7109375" style="64" customWidth="1" outlineLevel="1"/>
    <col min="15" max="17" width="10.7109375" style="63" customWidth="1" outlineLevel="1"/>
    <col min="18" max="18" width="10.7109375" style="64" customWidth="1" outlineLevel="1"/>
    <col min="19" max="22" width="10.7109375" style="63" customWidth="1"/>
    <col min="23" max="23" width="12.85546875" style="1" customWidth="1"/>
  </cols>
  <sheetData>
    <row r="1" spans="1:23" ht="41.25" customHeight="1" x14ac:dyDescent="0.25">
      <c r="A1" s="2"/>
      <c r="C1" s="59"/>
      <c r="D1" s="59"/>
      <c r="E1" s="59"/>
      <c r="F1" s="60"/>
      <c r="G1" s="59"/>
      <c r="H1" s="59"/>
      <c r="I1" s="59"/>
      <c r="J1" s="60"/>
      <c r="K1" s="59"/>
      <c r="L1" s="59"/>
      <c r="M1" s="59"/>
      <c r="N1" s="60"/>
      <c r="O1" s="59"/>
      <c r="P1" s="59"/>
      <c r="Q1" s="59"/>
      <c r="R1" s="60"/>
      <c r="S1" s="59"/>
      <c r="T1" s="59"/>
      <c r="U1" s="59"/>
      <c r="V1" s="59"/>
    </row>
    <row r="2" spans="1:23" ht="18" x14ac:dyDescent="0.25">
      <c r="A2" s="13"/>
      <c r="B2" s="85" t="s">
        <v>0</v>
      </c>
      <c r="C2" s="61"/>
      <c r="D2" s="61"/>
      <c r="E2" s="61"/>
      <c r="F2" s="62"/>
      <c r="G2" s="61"/>
      <c r="H2" s="61"/>
      <c r="I2" s="61"/>
      <c r="J2" s="62"/>
      <c r="K2" s="61"/>
      <c r="L2" s="61"/>
      <c r="M2" s="61"/>
      <c r="N2" s="62"/>
      <c r="O2" s="61"/>
      <c r="P2" s="61"/>
      <c r="Q2" s="61"/>
      <c r="R2" s="62"/>
      <c r="S2" s="61"/>
      <c r="T2" s="61"/>
      <c r="U2" s="61"/>
      <c r="V2" s="61"/>
    </row>
    <row r="3" spans="1:23" ht="9.75" customHeight="1" x14ac:dyDescent="0.25">
      <c r="W3"/>
    </row>
    <row r="4" spans="1:23" x14ac:dyDescent="0.25">
      <c r="B4" s="86"/>
      <c r="C4" s="65" t="s">
        <v>293</v>
      </c>
      <c r="D4" s="66" t="s">
        <v>294</v>
      </c>
      <c r="E4" s="66" t="s">
        <v>295</v>
      </c>
      <c r="F4" s="67" t="s">
        <v>277</v>
      </c>
      <c r="G4" s="65" t="s">
        <v>278</v>
      </c>
      <c r="H4" s="66" t="s">
        <v>279</v>
      </c>
      <c r="I4" s="66" t="s">
        <v>280</v>
      </c>
      <c r="J4" s="67" t="s">
        <v>281</v>
      </c>
      <c r="K4" s="66" t="s">
        <v>282</v>
      </c>
      <c r="L4" s="66" t="s">
        <v>283</v>
      </c>
      <c r="M4" s="66" t="s">
        <v>284</v>
      </c>
      <c r="N4" s="67" t="s">
        <v>285</v>
      </c>
      <c r="O4" s="66" t="s">
        <v>286</v>
      </c>
      <c r="P4" s="66" t="s">
        <v>287</v>
      </c>
      <c r="Q4" s="66" t="s">
        <v>288</v>
      </c>
      <c r="R4" s="67" t="s">
        <v>289</v>
      </c>
      <c r="S4" s="66" t="s">
        <v>290</v>
      </c>
      <c r="T4" s="66" t="s">
        <v>291</v>
      </c>
      <c r="U4" s="66" t="s">
        <v>292</v>
      </c>
      <c r="V4" s="66" t="s">
        <v>566</v>
      </c>
      <c r="W4"/>
    </row>
    <row r="5" spans="1:23" x14ac:dyDescent="0.25">
      <c r="B5" s="87"/>
      <c r="C5" s="68" t="s">
        <v>65</v>
      </c>
      <c r="D5" s="68" t="s">
        <v>275</v>
      </c>
      <c r="E5" s="68" t="s">
        <v>276</v>
      </c>
      <c r="F5" s="69" t="s">
        <v>274</v>
      </c>
      <c r="G5" s="68" t="s">
        <v>65</v>
      </c>
      <c r="H5" s="68" t="s">
        <v>275</v>
      </c>
      <c r="I5" s="68" t="s">
        <v>276</v>
      </c>
      <c r="J5" s="69" t="s">
        <v>274</v>
      </c>
      <c r="K5" s="68" t="s">
        <v>65</v>
      </c>
      <c r="L5" s="68" t="s">
        <v>275</v>
      </c>
      <c r="M5" s="68" t="s">
        <v>276</v>
      </c>
      <c r="N5" s="69" t="s">
        <v>274</v>
      </c>
      <c r="O5" s="68" t="s">
        <v>65</v>
      </c>
      <c r="P5" s="68" t="s">
        <v>275</v>
      </c>
      <c r="Q5" s="68" t="s">
        <v>276</v>
      </c>
      <c r="R5" s="69" t="s">
        <v>274</v>
      </c>
      <c r="S5" s="68" t="s">
        <v>65</v>
      </c>
      <c r="T5" s="68" t="s">
        <v>275</v>
      </c>
      <c r="U5" s="68" t="s">
        <v>276</v>
      </c>
      <c r="V5" s="68" t="s">
        <v>274</v>
      </c>
      <c r="W5"/>
    </row>
    <row r="6" spans="1:23" ht="8.25" customHeight="1" x14ac:dyDescent="0.25">
      <c r="C6" s="59"/>
      <c r="D6" s="59"/>
      <c r="E6" s="59"/>
      <c r="F6" s="60"/>
      <c r="G6" s="59"/>
      <c r="H6" s="59"/>
      <c r="I6" s="59"/>
      <c r="J6" s="60"/>
      <c r="K6" s="59"/>
      <c r="L6" s="59"/>
      <c r="M6" s="59"/>
      <c r="N6" s="60"/>
      <c r="O6" s="59"/>
      <c r="P6" s="59"/>
      <c r="Q6" s="59"/>
      <c r="R6" s="60"/>
      <c r="S6" s="59"/>
      <c r="T6" s="59"/>
      <c r="U6" s="59"/>
      <c r="V6" s="59"/>
      <c r="W6"/>
    </row>
    <row r="7" spans="1:23" s="15" customFormat="1" ht="18" x14ac:dyDescent="0.25">
      <c r="B7" s="492" t="s">
        <v>90</v>
      </c>
      <c r="C7" s="70"/>
      <c r="D7" s="70"/>
      <c r="E7" s="70"/>
      <c r="F7" s="71"/>
      <c r="G7" s="70"/>
      <c r="H7" s="70"/>
      <c r="I7" s="70"/>
      <c r="J7" s="71"/>
      <c r="K7" s="70"/>
      <c r="L7" s="72"/>
      <c r="M7" s="72"/>
      <c r="N7" s="73"/>
      <c r="O7" s="72"/>
      <c r="P7" s="72"/>
      <c r="Q7" s="72"/>
      <c r="R7" s="73"/>
      <c r="S7" s="72"/>
      <c r="T7" s="74"/>
      <c r="U7" s="72"/>
      <c r="V7" s="72"/>
      <c r="W7" s="16"/>
    </row>
    <row r="8" spans="1:23" s="17" customFormat="1" ht="18.75" x14ac:dyDescent="0.3">
      <c r="B8" s="89" t="s">
        <v>264</v>
      </c>
      <c r="C8" s="75">
        <f t="shared" ref="C8:T8" si="0">SUM(C9:C15)</f>
        <v>10337</v>
      </c>
      <c r="D8" s="75">
        <f t="shared" si="0"/>
        <v>10498</v>
      </c>
      <c r="E8" s="75">
        <f t="shared" si="0"/>
        <v>11312</v>
      </c>
      <c r="F8" s="76">
        <f t="shared" si="0"/>
        <v>11028</v>
      </c>
      <c r="G8" s="75">
        <f t="shared" si="0"/>
        <v>10109</v>
      </c>
      <c r="H8" s="75">
        <f t="shared" si="0"/>
        <v>10061</v>
      </c>
      <c r="I8" s="75">
        <f t="shared" si="0"/>
        <v>10966</v>
      </c>
      <c r="J8" s="76">
        <f t="shared" si="0"/>
        <v>10412</v>
      </c>
      <c r="K8" s="75">
        <f t="shared" si="0"/>
        <v>9765.0860805400007</v>
      </c>
      <c r="L8" s="75">
        <f t="shared" si="0"/>
        <v>9999.3182051899985</v>
      </c>
      <c r="M8" s="75">
        <f t="shared" si="0"/>
        <v>10487.218242605</v>
      </c>
      <c r="N8" s="76">
        <f t="shared" si="0"/>
        <v>9929.3889933789978</v>
      </c>
      <c r="O8" s="75">
        <f t="shared" si="0"/>
        <v>9190.614823115</v>
      </c>
      <c r="P8" s="75">
        <f t="shared" si="0"/>
        <v>7827.3905716190002</v>
      </c>
      <c r="Q8" s="75">
        <f t="shared" si="0"/>
        <v>9454.714122626996</v>
      </c>
      <c r="R8" s="76">
        <f t="shared" si="0"/>
        <v>10278.211521594003</v>
      </c>
      <c r="S8" s="75">
        <f t="shared" si="0"/>
        <v>9337.2269075779968</v>
      </c>
      <c r="T8" s="75">
        <f t="shared" si="0"/>
        <v>8858.9482907119982</v>
      </c>
      <c r="U8" s="75">
        <f>SUM(U9:U15)</f>
        <v>10326.170888744995</v>
      </c>
      <c r="V8" s="75">
        <f>SUM(V9:V15)</f>
        <v>9970.8013771759979</v>
      </c>
    </row>
    <row r="9" spans="1:23" s="6" customFormat="1" ht="18" x14ac:dyDescent="0.35">
      <c r="B9" s="90" t="s">
        <v>1</v>
      </c>
      <c r="C9" s="77">
        <v>4078.2287540000002</v>
      </c>
      <c r="D9" s="77">
        <v>4261.4080910000002</v>
      </c>
      <c r="E9" s="77">
        <v>4595.4819579999994</v>
      </c>
      <c r="F9" s="78">
        <v>4258.6044789999996</v>
      </c>
      <c r="G9" s="77">
        <v>4120.0059790000005</v>
      </c>
      <c r="H9" s="77">
        <v>4231.2740020000001</v>
      </c>
      <c r="I9" s="77">
        <v>4724.2091939999991</v>
      </c>
      <c r="J9" s="78">
        <v>4325.720472</v>
      </c>
      <c r="K9" s="77">
        <v>3986.6671820000001</v>
      </c>
      <c r="L9" s="77">
        <v>4284.117608999999</v>
      </c>
      <c r="M9" s="77">
        <v>4545.4120349999994</v>
      </c>
      <c r="N9" s="78">
        <v>3964.9541619999995</v>
      </c>
      <c r="O9" s="77">
        <v>3708.109993</v>
      </c>
      <c r="P9" s="77">
        <v>3703.3736429999999</v>
      </c>
      <c r="Q9" s="77">
        <v>4379.1872429999994</v>
      </c>
      <c r="R9" s="78">
        <v>4182.8685299999997</v>
      </c>
      <c r="S9" s="77">
        <v>4061.4580674499998</v>
      </c>
      <c r="T9" s="77">
        <v>4191.8420607069993</v>
      </c>
      <c r="U9" s="77">
        <v>4698.5289238109999</v>
      </c>
      <c r="V9" s="77">
        <v>4420.9892259800008</v>
      </c>
    </row>
    <row r="10" spans="1:23" s="6" customFormat="1" ht="18" x14ac:dyDescent="0.35">
      <c r="B10" s="90" t="s">
        <v>265</v>
      </c>
      <c r="C10" s="77">
        <v>2716.7704779999999</v>
      </c>
      <c r="D10" s="77">
        <v>2761.6002389999999</v>
      </c>
      <c r="E10" s="77">
        <v>2700.946151000001</v>
      </c>
      <c r="F10" s="78">
        <v>2612.4564029999997</v>
      </c>
      <c r="G10" s="77">
        <v>2432.0845189999995</v>
      </c>
      <c r="H10" s="77">
        <v>2389.7863849999999</v>
      </c>
      <c r="I10" s="77">
        <v>2213.554619</v>
      </c>
      <c r="J10" s="78">
        <v>2327.6379189999998</v>
      </c>
      <c r="K10" s="77">
        <v>2187.2189239999998</v>
      </c>
      <c r="L10" s="77">
        <v>2241.549387</v>
      </c>
      <c r="M10" s="77">
        <v>2292.6838659999999</v>
      </c>
      <c r="N10" s="78">
        <v>2322.3103459999998</v>
      </c>
      <c r="O10" s="77">
        <v>2024.6812289999998</v>
      </c>
      <c r="P10" s="77">
        <v>1757.032944</v>
      </c>
      <c r="Q10" s="77">
        <v>2215.5408149999994</v>
      </c>
      <c r="R10" s="78">
        <v>2560.5634040000004</v>
      </c>
      <c r="S10" s="77">
        <v>2193.4564820000001</v>
      </c>
      <c r="T10" s="77">
        <v>2286.5304410829999</v>
      </c>
      <c r="U10" s="77">
        <v>2636.1527150369998</v>
      </c>
      <c r="V10" s="77">
        <v>2740.576660401</v>
      </c>
    </row>
    <row r="11" spans="1:23" s="6" customFormat="1" ht="18" x14ac:dyDescent="0.35">
      <c r="B11" s="90" t="s">
        <v>266</v>
      </c>
      <c r="C11" s="77">
        <v>478.16573</v>
      </c>
      <c r="D11" s="77">
        <v>528.69154300000002</v>
      </c>
      <c r="E11" s="77">
        <v>640.07727999999986</v>
      </c>
      <c r="F11" s="78">
        <v>774.72035899999992</v>
      </c>
      <c r="G11" s="77">
        <v>699.144588</v>
      </c>
      <c r="H11" s="77">
        <v>732.795208</v>
      </c>
      <c r="I11" s="77">
        <v>909.58699599999989</v>
      </c>
      <c r="J11" s="78">
        <v>1018.2562760000001</v>
      </c>
      <c r="K11" s="77">
        <v>883.09998299999984</v>
      </c>
      <c r="L11" s="77">
        <v>942.87253600000008</v>
      </c>
      <c r="M11" s="77">
        <v>934.38731499999994</v>
      </c>
      <c r="N11" s="78">
        <v>996.64847100000009</v>
      </c>
      <c r="O11" s="77">
        <v>795.10633999999993</v>
      </c>
      <c r="P11" s="77">
        <v>595.8934549999999</v>
      </c>
      <c r="Q11" s="77">
        <v>877.11988900000006</v>
      </c>
      <c r="R11" s="78">
        <v>990.30081900000005</v>
      </c>
      <c r="S11" s="77">
        <v>893.41337106700007</v>
      </c>
      <c r="T11" s="77">
        <v>752.64091700000006</v>
      </c>
      <c r="U11" s="77">
        <v>652.510843282</v>
      </c>
      <c r="V11" s="77">
        <v>610.30175023200002</v>
      </c>
    </row>
    <row r="12" spans="1:23" s="6" customFormat="1" ht="18" x14ac:dyDescent="0.35">
      <c r="B12" s="90" t="s">
        <v>267</v>
      </c>
      <c r="C12" s="77">
        <v>641.73396300000013</v>
      </c>
      <c r="D12" s="77">
        <v>564.41051600000003</v>
      </c>
      <c r="E12" s="77">
        <v>942.25902599999984</v>
      </c>
      <c r="F12" s="78">
        <v>889.91219300000012</v>
      </c>
      <c r="G12" s="77">
        <v>538.37289799999996</v>
      </c>
      <c r="H12" s="77">
        <v>355.35757799999999</v>
      </c>
      <c r="I12" s="77">
        <v>694.27937100000008</v>
      </c>
      <c r="J12" s="78">
        <v>424.83654200000001</v>
      </c>
      <c r="K12" s="77">
        <v>436.07129699999996</v>
      </c>
      <c r="L12" s="77">
        <v>396.48444599999999</v>
      </c>
      <c r="M12" s="77">
        <v>398.08033699999993</v>
      </c>
      <c r="N12" s="78">
        <v>398.591589</v>
      </c>
      <c r="O12" s="77">
        <v>382.68131399999999</v>
      </c>
      <c r="P12" s="77">
        <v>394.14159499999994</v>
      </c>
      <c r="Q12" s="77">
        <v>348.68069099999997</v>
      </c>
      <c r="R12" s="78">
        <v>701.83179499999994</v>
      </c>
      <c r="S12" s="77">
        <v>640.73741899899994</v>
      </c>
      <c r="T12" s="77">
        <v>654.36841600100001</v>
      </c>
      <c r="U12" s="77">
        <v>1155.5621760009999</v>
      </c>
      <c r="V12" s="77">
        <v>889.35220999599994</v>
      </c>
    </row>
    <row r="13" spans="1:23" s="6" customFormat="1" ht="18" x14ac:dyDescent="0.35">
      <c r="B13" s="90" t="s">
        <v>268</v>
      </c>
      <c r="C13" s="77">
        <v>814.6126999999999</v>
      </c>
      <c r="D13" s="77">
        <v>830.01408000000004</v>
      </c>
      <c r="E13" s="77">
        <v>777.35105700000008</v>
      </c>
      <c r="F13" s="78">
        <v>840.41237699999988</v>
      </c>
      <c r="G13" s="77">
        <v>706.76139999999998</v>
      </c>
      <c r="H13" s="77">
        <v>774.52588399999991</v>
      </c>
      <c r="I13" s="77">
        <v>766.45574799999997</v>
      </c>
      <c r="J13" s="78">
        <v>734.4800479999999</v>
      </c>
      <c r="K13" s="77">
        <v>789.36573399999997</v>
      </c>
      <c r="L13" s="77">
        <v>740.32430199999999</v>
      </c>
      <c r="M13" s="77">
        <v>786.94779999999992</v>
      </c>
      <c r="N13" s="78">
        <v>752.30138299999987</v>
      </c>
      <c r="O13" s="77">
        <v>878.5742859999998</v>
      </c>
      <c r="P13" s="77">
        <v>652.35107199999993</v>
      </c>
      <c r="Q13" s="77">
        <v>873.459566</v>
      </c>
      <c r="R13" s="78">
        <v>855.29330999999991</v>
      </c>
      <c r="S13" s="77">
        <v>566.10642000000007</v>
      </c>
      <c r="T13" s="77">
        <v>177.09045999999998</v>
      </c>
      <c r="U13" s="77">
        <v>159.22253000000001</v>
      </c>
      <c r="V13" s="77">
        <v>130.95939999999999</v>
      </c>
    </row>
    <row r="14" spans="1:23" s="6" customFormat="1" ht="18" x14ac:dyDescent="0.35">
      <c r="B14" s="90" t="s">
        <v>269</v>
      </c>
      <c r="C14" s="77">
        <v>948.06063700000004</v>
      </c>
      <c r="D14" s="77">
        <v>893.580198</v>
      </c>
      <c r="E14" s="77">
        <v>970.78478599999983</v>
      </c>
      <c r="F14" s="78">
        <v>984.24351400000023</v>
      </c>
      <c r="G14" s="77">
        <v>988.72423600000002</v>
      </c>
      <c r="H14" s="77">
        <v>953.43270200000006</v>
      </c>
      <c r="I14" s="77">
        <v>1019.2500289999998</v>
      </c>
      <c r="J14" s="78">
        <v>945.90819699999997</v>
      </c>
      <c r="K14" s="77">
        <v>951.98466899999971</v>
      </c>
      <c r="L14" s="77">
        <v>847.29339099999993</v>
      </c>
      <c r="M14" s="77">
        <v>914.51503700000001</v>
      </c>
      <c r="N14" s="78">
        <v>905.27112899999997</v>
      </c>
      <c r="O14" s="77">
        <v>830.8152540000001</v>
      </c>
      <c r="P14" s="77">
        <v>149.92905800000003</v>
      </c>
      <c r="Q14" s="77">
        <v>381.57855899999998</v>
      </c>
      <c r="R14" s="78">
        <v>730.55430699999999</v>
      </c>
      <c r="S14" s="77">
        <v>730.552865</v>
      </c>
      <c r="T14" s="77">
        <v>565.98149100000001</v>
      </c>
      <c r="U14" s="77">
        <v>792.62428399999999</v>
      </c>
      <c r="V14" s="77">
        <v>957.54217999999992</v>
      </c>
    </row>
    <row r="15" spans="1:23" s="6" customFormat="1" ht="18" x14ac:dyDescent="0.35">
      <c r="B15" s="90" t="s">
        <v>169</v>
      </c>
      <c r="C15" s="77">
        <v>659.42773800000032</v>
      </c>
      <c r="D15" s="77">
        <v>658.29533300000003</v>
      </c>
      <c r="E15" s="77">
        <v>685.09974200000033</v>
      </c>
      <c r="F15" s="78">
        <v>667.65067499999896</v>
      </c>
      <c r="G15" s="77">
        <v>623.90638000000035</v>
      </c>
      <c r="H15" s="77">
        <v>623.82824100000107</v>
      </c>
      <c r="I15" s="77">
        <v>638.66404300000067</v>
      </c>
      <c r="J15" s="78">
        <v>635.16054599999916</v>
      </c>
      <c r="K15" s="77">
        <v>530.67829154000174</v>
      </c>
      <c r="L15" s="77">
        <v>546.67653419000089</v>
      </c>
      <c r="M15" s="77">
        <v>615.19185260500308</v>
      </c>
      <c r="N15" s="78">
        <v>589.31191337899872</v>
      </c>
      <c r="O15" s="77">
        <v>570.64640711500033</v>
      </c>
      <c r="P15" s="77">
        <v>574.66880461900109</v>
      </c>
      <c r="Q15" s="77">
        <v>379.14735962699888</v>
      </c>
      <c r="R15" s="78">
        <v>256.79935659400326</v>
      </c>
      <c r="S15" s="77">
        <v>251.50228306199642</v>
      </c>
      <c r="T15" s="77">
        <v>230.49450492099822</v>
      </c>
      <c r="U15" s="77">
        <v>231.56941661399469</v>
      </c>
      <c r="V15" s="77">
        <v>221.07995056699838</v>
      </c>
    </row>
    <row r="16" spans="1:23" s="6" customFormat="1" ht="4.5" customHeight="1" x14ac:dyDescent="0.35">
      <c r="B16" s="90"/>
      <c r="C16" s="77"/>
      <c r="D16" s="77"/>
      <c r="E16" s="77"/>
      <c r="F16" s="78"/>
      <c r="G16" s="77"/>
      <c r="H16" s="77"/>
      <c r="I16" s="77"/>
      <c r="J16" s="78"/>
      <c r="K16" s="77"/>
      <c r="L16" s="77"/>
      <c r="M16" s="77"/>
      <c r="N16" s="78"/>
      <c r="O16" s="77"/>
      <c r="P16" s="77"/>
      <c r="Q16" s="77"/>
      <c r="R16" s="78"/>
      <c r="S16" s="77"/>
      <c r="T16" s="77"/>
      <c r="U16" s="77"/>
      <c r="V16" s="77"/>
    </row>
    <row r="17" spans="2:22" ht="18" customHeight="1" x14ac:dyDescent="0.25">
      <c r="B17" s="493" t="s">
        <v>576</v>
      </c>
      <c r="C17" s="70"/>
      <c r="D17" s="70"/>
      <c r="E17" s="70"/>
      <c r="F17" s="71"/>
      <c r="G17" s="70"/>
      <c r="H17" s="70"/>
      <c r="I17" s="70"/>
      <c r="J17" s="71"/>
      <c r="K17" s="70"/>
      <c r="L17" s="79"/>
      <c r="M17" s="79"/>
      <c r="N17" s="80"/>
      <c r="O17" s="79"/>
      <c r="P17" s="79"/>
      <c r="Q17" s="79"/>
      <c r="R17" s="80"/>
      <c r="S17" s="79"/>
      <c r="T17" s="74"/>
      <c r="U17" s="79"/>
      <c r="V17" s="79"/>
    </row>
    <row r="18" spans="2:22" s="8" customFormat="1" ht="18.75" outlineLevel="1" x14ac:dyDescent="0.3">
      <c r="B18" s="89" t="s">
        <v>264</v>
      </c>
      <c r="C18" s="75">
        <f t="shared" ref="C18:T18" si="1">SUM(C19:C22)</f>
        <v>5501.0210850000003</v>
      </c>
      <c r="D18" s="75">
        <f t="shared" si="1"/>
        <v>5663.9296250000007</v>
      </c>
      <c r="E18" s="75">
        <f t="shared" si="1"/>
        <v>5883.0092950000007</v>
      </c>
      <c r="F18" s="76">
        <f t="shared" si="1"/>
        <v>5845.0611579999986</v>
      </c>
      <c r="G18" s="75">
        <f t="shared" si="1"/>
        <v>5441.0047960000011</v>
      </c>
      <c r="H18" s="75">
        <f t="shared" si="1"/>
        <v>5493.0122999999994</v>
      </c>
      <c r="I18" s="75">
        <f t="shared" si="1"/>
        <v>5740.9387230000002</v>
      </c>
      <c r="J18" s="76">
        <f t="shared" si="1"/>
        <v>5858.0537370000002</v>
      </c>
      <c r="K18" s="75">
        <f t="shared" si="1"/>
        <v>5299.829851217999</v>
      </c>
      <c r="L18" s="75">
        <f t="shared" si="1"/>
        <v>5564.5527491739995</v>
      </c>
      <c r="M18" s="75">
        <f t="shared" si="1"/>
        <v>5753.6022308759993</v>
      </c>
      <c r="N18" s="76">
        <f t="shared" si="1"/>
        <v>5697.0300107230005</v>
      </c>
      <c r="O18" s="75">
        <f t="shared" si="1"/>
        <v>4956.1431839289999</v>
      </c>
      <c r="P18" s="75">
        <f t="shared" si="1"/>
        <v>4428.1215968799997</v>
      </c>
      <c r="Q18" s="75">
        <f t="shared" si="1"/>
        <v>5611.2705293930003</v>
      </c>
      <c r="R18" s="76">
        <f t="shared" si="1"/>
        <v>6042.3301867419977</v>
      </c>
      <c r="S18" s="75">
        <f t="shared" si="1"/>
        <v>5430.0149439710003</v>
      </c>
      <c r="T18" s="75">
        <f t="shared" si="1"/>
        <v>5409.537630736002</v>
      </c>
      <c r="U18" s="75">
        <f>SUM(U19:U22)</f>
        <v>5864.948390177994</v>
      </c>
      <c r="V18" s="75">
        <f>SUM(V19:V22)</f>
        <v>5829.8423848949933</v>
      </c>
    </row>
    <row r="19" spans="2:22" s="6" customFormat="1" ht="18" outlineLevel="1" x14ac:dyDescent="0.35">
      <c r="B19" s="90" t="s">
        <v>1</v>
      </c>
      <c r="C19" s="77">
        <v>2205.3554470000004</v>
      </c>
      <c r="D19" s="77">
        <v>2275.4199610000001</v>
      </c>
      <c r="E19" s="77">
        <v>2442.037358</v>
      </c>
      <c r="F19" s="78">
        <v>2356.5824709999997</v>
      </c>
      <c r="G19" s="77">
        <v>2204.1274780000008</v>
      </c>
      <c r="H19" s="77">
        <v>2269.8517969999998</v>
      </c>
      <c r="I19" s="77">
        <v>2507.5424830000002</v>
      </c>
      <c r="J19" s="78">
        <v>2398.7550009999995</v>
      </c>
      <c r="K19" s="77">
        <v>2156.1870759999997</v>
      </c>
      <c r="L19" s="77">
        <v>2309.2027840000001</v>
      </c>
      <c r="M19" s="77">
        <v>2460.8453569999997</v>
      </c>
      <c r="N19" s="78">
        <v>2315.0777119999998</v>
      </c>
      <c r="O19" s="77">
        <v>2079.9782519999999</v>
      </c>
      <c r="P19" s="77">
        <v>2037.0347699999998</v>
      </c>
      <c r="Q19" s="77">
        <v>2475.9866699999998</v>
      </c>
      <c r="R19" s="78">
        <v>2444.4335069999997</v>
      </c>
      <c r="S19" s="77">
        <v>2301.811248776</v>
      </c>
      <c r="T19" s="77">
        <v>2331.7536946599998</v>
      </c>
      <c r="U19" s="77">
        <v>2537.0851408419999</v>
      </c>
      <c r="V19" s="77">
        <v>2435.0695706609999</v>
      </c>
    </row>
    <row r="20" spans="2:22" s="6" customFormat="1" ht="18" outlineLevel="1" x14ac:dyDescent="0.35">
      <c r="B20" s="90" t="s">
        <v>265</v>
      </c>
      <c r="C20" s="77">
        <v>2698.7665079999997</v>
      </c>
      <c r="D20" s="77">
        <v>2742.689421</v>
      </c>
      <c r="E20" s="77">
        <v>2681.8532570000007</v>
      </c>
      <c r="F20" s="78">
        <v>2593.9133299999994</v>
      </c>
      <c r="G20" s="77">
        <v>2415.9436849999997</v>
      </c>
      <c r="H20" s="77">
        <v>2372.2077969999996</v>
      </c>
      <c r="I20" s="77">
        <v>2196.3922440000001</v>
      </c>
      <c r="J20" s="78">
        <v>2310.6129599999999</v>
      </c>
      <c r="K20" s="77">
        <v>2170.8428059999997</v>
      </c>
      <c r="L20" s="77">
        <v>2223.316781</v>
      </c>
      <c r="M20" s="77">
        <v>2271.9068609999999</v>
      </c>
      <c r="N20" s="78">
        <v>2300.7490470000002</v>
      </c>
      <c r="O20" s="77">
        <v>2003.4432829999998</v>
      </c>
      <c r="P20" s="77">
        <v>1740.9992830000001</v>
      </c>
      <c r="Q20" s="77">
        <v>2195.4185409999995</v>
      </c>
      <c r="R20" s="78">
        <v>2540.090416</v>
      </c>
      <c r="S20" s="77">
        <v>2173.9446250000001</v>
      </c>
      <c r="T20" s="77">
        <v>2267.8079400829997</v>
      </c>
      <c r="U20" s="77">
        <v>2614.5501660370001</v>
      </c>
      <c r="V20" s="77">
        <v>2718.9767294010003</v>
      </c>
    </row>
    <row r="21" spans="2:22" s="6" customFormat="1" ht="18" outlineLevel="1" x14ac:dyDescent="0.35">
      <c r="B21" s="90" t="s">
        <v>266</v>
      </c>
      <c r="C21" s="77">
        <v>475.69913000000003</v>
      </c>
      <c r="D21" s="77">
        <v>526.22024299999998</v>
      </c>
      <c r="E21" s="77">
        <v>637.5186799999999</v>
      </c>
      <c r="F21" s="78">
        <v>772.06535699999995</v>
      </c>
      <c r="G21" s="77">
        <v>695.83363300000008</v>
      </c>
      <c r="H21" s="77">
        <v>727.95270600000003</v>
      </c>
      <c r="I21" s="77">
        <v>907.40399599999989</v>
      </c>
      <c r="J21" s="78">
        <v>1015.8857760000001</v>
      </c>
      <c r="K21" s="77">
        <v>880.62188299999991</v>
      </c>
      <c r="L21" s="77">
        <v>940.76703600000008</v>
      </c>
      <c r="M21" s="77">
        <v>931.95831499999997</v>
      </c>
      <c r="N21" s="78">
        <v>993.11347100000012</v>
      </c>
      <c r="O21" s="77">
        <v>791.94133999999997</v>
      </c>
      <c r="P21" s="77">
        <v>594.22395499999993</v>
      </c>
      <c r="Q21" s="77">
        <v>874.90788900000007</v>
      </c>
      <c r="R21" s="78">
        <v>987.15939100000003</v>
      </c>
      <c r="S21" s="77">
        <v>889.5613710670001</v>
      </c>
      <c r="T21" s="77">
        <v>749.52091700000005</v>
      </c>
      <c r="U21" s="77">
        <v>649.59284328199999</v>
      </c>
      <c r="V21" s="77">
        <v>606.58909823199997</v>
      </c>
    </row>
    <row r="22" spans="2:22" s="6" customFormat="1" ht="18" outlineLevel="1" x14ac:dyDescent="0.35">
      <c r="B22" s="90" t="s">
        <v>169</v>
      </c>
      <c r="C22" s="77">
        <v>121.2</v>
      </c>
      <c r="D22" s="77">
        <v>119.6</v>
      </c>
      <c r="E22" s="77">
        <v>121.6</v>
      </c>
      <c r="F22" s="78">
        <v>122.5</v>
      </c>
      <c r="G22" s="77">
        <v>125.1</v>
      </c>
      <c r="H22" s="77">
        <v>123</v>
      </c>
      <c r="I22" s="77">
        <v>129.6</v>
      </c>
      <c r="J22" s="78">
        <v>132.80000000000001</v>
      </c>
      <c r="K22" s="77">
        <v>92.178086218000317</v>
      </c>
      <c r="L22" s="77">
        <v>91.266148173998772</v>
      </c>
      <c r="M22" s="77">
        <v>88.891697875999853</v>
      </c>
      <c r="N22" s="78">
        <v>88.089780723000331</v>
      </c>
      <c r="O22" s="77">
        <v>80.780308929000057</v>
      </c>
      <c r="P22" s="77">
        <v>55.863588879999952</v>
      </c>
      <c r="Q22" s="77">
        <v>64.957429393000893</v>
      </c>
      <c r="R22" s="78">
        <v>70.646872741997868</v>
      </c>
      <c r="S22" s="77">
        <v>64.69769912799984</v>
      </c>
      <c r="T22" s="77">
        <v>60.455078993002644</v>
      </c>
      <c r="U22" s="77">
        <v>63.720240016994467</v>
      </c>
      <c r="V22" s="77">
        <v>69.206986600993332</v>
      </c>
    </row>
    <row r="23" spans="2:22" s="6" customFormat="1" ht="18" x14ac:dyDescent="0.35">
      <c r="B23" s="90"/>
      <c r="C23" s="77"/>
      <c r="D23" s="77"/>
      <c r="E23" s="77"/>
      <c r="F23" s="78"/>
      <c r="G23" s="77"/>
      <c r="H23" s="77"/>
      <c r="I23" s="77"/>
      <c r="J23" s="78"/>
      <c r="K23" s="77"/>
      <c r="L23" s="77"/>
      <c r="M23" s="77"/>
      <c r="N23" s="78"/>
      <c r="O23" s="77"/>
      <c r="P23" s="77"/>
      <c r="Q23" s="77"/>
      <c r="R23" s="78"/>
      <c r="S23" s="77"/>
      <c r="T23" s="77"/>
      <c r="U23" s="77"/>
      <c r="V23" s="77"/>
    </row>
    <row r="24" spans="2:22" ht="18" customHeight="1" x14ac:dyDescent="0.25">
      <c r="B24" s="492" t="s">
        <v>2</v>
      </c>
      <c r="C24" s="70"/>
      <c r="D24" s="70"/>
      <c r="E24" s="70"/>
      <c r="F24" s="71"/>
      <c r="G24" s="70"/>
      <c r="H24" s="70"/>
      <c r="I24" s="70"/>
      <c r="J24" s="71"/>
      <c r="K24" s="70"/>
      <c r="L24" s="79"/>
      <c r="M24" s="79"/>
      <c r="N24" s="80"/>
      <c r="O24" s="79"/>
      <c r="P24" s="79"/>
      <c r="Q24" s="79"/>
      <c r="R24" s="80"/>
      <c r="S24" s="79"/>
      <c r="T24" s="74"/>
      <c r="U24" s="79"/>
      <c r="V24" s="79"/>
    </row>
    <row r="25" spans="2:22" s="6" customFormat="1" ht="18" outlineLevel="1" x14ac:dyDescent="0.35">
      <c r="B25" s="89" t="s">
        <v>264</v>
      </c>
      <c r="C25" s="75">
        <f t="shared" ref="C25:T25" si="2">SUM(C26:C29)</f>
        <v>3886</v>
      </c>
      <c r="D25" s="75">
        <f t="shared" si="2"/>
        <v>3939</v>
      </c>
      <c r="E25" s="75">
        <f t="shared" si="2"/>
        <v>4457</v>
      </c>
      <c r="F25" s="76">
        <f t="shared" si="2"/>
        <v>4197</v>
      </c>
      <c r="G25" s="75">
        <f t="shared" si="2"/>
        <v>3678</v>
      </c>
      <c r="H25" s="75">
        <f t="shared" si="2"/>
        <v>3613</v>
      </c>
      <c r="I25" s="75">
        <f t="shared" si="2"/>
        <v>4204</v>
      </c>
      <c r="J25" s="76">
        <f t="shared" si="2"/>
        <v>3607</v>
      </c>
      <c r="K25" s="75">
        <f t="shared" si="2"/>
        <v>3511.7934823219998</v>
      </c>
      <c r="L25" s="75">
        <f t="shared" si="2"/>
        <v>3586.5292950160001</v>
      </c>
      <c r="M25" s="75">
        <f t="shared" si="2"/>
        <v>3817.794594729</v>
      </c>
      <c r="N25" s="76">
        <f t="shared" si="2"/>
        <v>3324.3444166560002</v>
      </c>
      <c r="O25" s="75">
        <f t="shared" si="2"/>
        <v>3401.7354781859999</v>
      </c>
      <c r="P25" s="75">
        <f t="shared" si="2"/>
        <v>3248.8017807390002</v>
      </c>
      <c r="Q25" s="75">
        <f t="shared" si="2"/>
        <v>3461.4227790109999</v>
      </c>
      <c r="R25" s="76">
        <f t="shared" si="2"/>
        <v>3504.0362126740056</v>
      </c>
      <c r="S25" s="75">
        <f t="shared" si="2"/>
        <v>3174.8984246070004</v>
      </c>
      <c r="T25" s="75">
        <f t="shared" si="2"/>
        <v>2882.6288859759998</v>
      </c>
      <c r="U25" s="75">
        <f>SUM(U26:U29)</f>
        <v>3667.114109567</v>
      </c>
      <c r="V25" s="75">
        <f>SUM(V26:V29)</f>
        <v>3181.3140852809997</v>
      </c>
    </row>
    <row r="26" spans="2:22" s="6" customFormat="1" ht="18" outlineLevel="1" x14ac:dyDescent="0.35">
      <c r="B26" s="90" t="s">
        <v>1</v>
      </c>
      <c r="C26" s="77">
        <v>1871.085949</v>
      </c>
      <c r="D26" s="77">
        <v>1984.5833779999998</v>
      </c>
      <c r="E26" s="77">
        <v>2151.9454399999995</v>
      </c>
      <c r="F26" s="78">
        <v>1900.382836</v>
      </c>
      <c r="G26" s="77">
        <v>1914.6187600000003</v>
      </c>
      <c r="H26" s="77">
        <v>1960.2161020000001</v>
      </c>
      <c r="I26" s="77">
        <v>2215.2667700000002</v>
      </c>
      <c r="J26" s="78">
        <v>1925.855413</v>
      </c>
      <c r="K26" s="77">
        <v>1829.6658620000003</v>
      </c>
      <c r="L26" s="77">
        <v>1974.0569590000002</v>
      </c>
      <c r="M26" s="77">
        <v>2083.3844669999999</v>
      </c>
      <c r="N26" s="78">
        <v>1648.023048</v>
      </c>
      <c r="O26" s="77">
        <v>1627.08509</v>
      </c>
      <c r="P26" s="77">
        <v>1666.0132000000001</v>
      </c>
      <c r="Q26" s="77">
        <v>1903.2005729999998</v>
      </c>
      <c r="R26" s="78">
        <v>1738.4350229999998</v>
      </c>
      <c r="S26" s="77">
        <v>1758.9896776739999</v>
      </c>
      <c r="T26" s="77">
        <v>1859.5400730470001</v>
      </c>
      <c r="U26" s="77">
        <v>2160.2828189690003</v>
      </c>
      <c r="V26" s="77">
        <v>1984.8241803190001</v>
      </c>
    </row>
    <row r="27" spans="2:22" s="6" customFormat="1" ht="18" outlineLevel="1" x14ac:dyDescent="0.35">
      <c r="B27" s="90" t="s">
        <v>267</v>
      </c>
      <c r="C27" s="77">
        <v>641.73396300000013</v>
      </c>
      <c r="D27" s="77">
        <v>564.41051600000003</v>
      </c>
      <c r="E27" s="77">
        <v>942.25902599999984</v>
      </c>
      <c r="F27" s="78">
        <v>889.91219300000012</v>
      </c>
      <c r="G27" s="77">
        <v>538.37289799999996</v>
      </c>
      <c r="H27" s="77">
        <v>355.35757799999999</v>
      </c>
      <c r="I27" s="77">
        <v>694.27937100000008</v>
      </c>
      <c r="J27" s="78">
        <v>424.83654200000001</v>
      </c>
      <c r="K27" s="77">
        <v>436.07129699999996</v>
      </c>
      <c r="L27" s="77">
        <v>396.48444599999999</v>
      </c>
      <c r="M27" s="77">
        <v>398.08033699999993</v>
      </c>
      <c r="N27" s="78">
        <v>398.591589</v>
      </c>
      <c r="O27" s="77">
        <v>382.68131399999999</v>
      </c>
      <c r="P27" s="77">
        <v>394.14159499999994</v>
      </c>
      <c r="Q27" s="77">
        <v>348.68069099999997</v>
      </c>
      <c r="R27" s="78">
        <v>701.83179499999994</v>
      </c>
      <c r="S27" s="77">
        <v>640.00273599900004</v>
      </c>
      <c r="T27" s="77">
        <v>654.36841600100001</v>
      </c>
      <c r="U27" s="77">
        <v>1155.5621760009999</v>
      </c>
      <c r="V27" s="77">
        <v>889.35220999599994</v>
      </c>
    </row>
    <row r="28" spans="2:22" s="6" customFormat="1" ht="18" outlineLevel="1" x14ac:dyDescent="0.35">
      <c r="B28" s="90" t="s">
        <v>268</v>
      </c>
      <c r="C28" s="77">
        <v>814.6126999999999</v>
      </c>
      <c r="D28" s="77">
        <v>830.01408000000004</v>
      </c>
      <c r="E28" s="77">
        <v>777.35105700000008</v>
      </c>
      <c r="F28" s="78">
        <v>840.41237699999988</v>
      </c>
      <c r="G28" s="77">
        <v>706.76139999999998</v>
      </c>
      <c r="H28" s="77">
        <v>774.52588399999991</v>
      </c>
      <c r="I28" s="77">
        <v>766.45574799999997</v>
      </c>
      <c r="J28" s="78">
        <v>734.4800479999999</v>
      </c>
      <c r="K28" s="77">
        <v>789.36573399999997</v>
      </c>
      <c r="L28" s="77">
        <v>740.32430199999999</v>
      </c>
      <c r="M28" s="77">
        <v>786.94779999999992</v>
      </c>
      <c r="N28" s="78">
        <v>752.30138299999987</v>
      </c>
      <c r="O28" s="77">
        <v>878.5742859999998</v>
      </c>
      <c r="P28" s="77">
        <v>652.35107199999993</v>
      </c>
      <c r="Q28" s="77">
        <v>873.459566</v>
      </c>
      <c r="R28" s="78">
        <v>855.29330999999991</v>
      </c>
      <c r="S28" s="77">
        <v>566.10642000000007</v>
      </c>
      <c r="T28" s="77">
        <v>177.09045999999998</v>
      </c>
      <c r="U28" s="77">
        <v>159.22253000000001</v>
      </c>
      <c r="V28" s="77">
        <v>130.95939999999999</v>
      </c>
    </row>
    <row r="29" spans="2:22" s="6" customFormat="1" ht="18" outlineLevel="1" x14ac:dyDescent="0.35">
      <c r="B29" s="90" t="s">
        <v>169</v>
      </c>
      <c r="C29" s="77">
        <v>558.56738800000039</v>
      </c>
      <c r="D29" s="77">
        <v>559.99202600000035</v>
      </c>
      <c r="E29" s="77">
        <v>585.44447700000092</v>
      </c>
      <c r="F29" s="78">
        <v>566.29259400000046</v>
      </c>
      <c r="G29" s="77">
        <v>518.24694199999976</v>
      </c>
      <c r="H29" s="77">
        <v>522.9004359999999</v>
      </c>
      <c r="I29" s="77">
        <v>527.99811099999988</v>
      </c>
      <c r="J29" s="78">
        <v>521.82799699999987</v>
      </c>
      <c r="K29" s="77">
        <v>456.6905893219996</v>
      </c>
      <c r="L29" s="77">
        <v>475.66358801599972</v>
      </c>
      <c r="M29" s="77">
        <v>549.38199072900034</v>
      </c>
      <c r="N29" s="78">
        <v>525.42839665600013</v>
      </c>
      <c r="O29" s="77">
        <v>513.39478818599991</v>
      </c>
      <c r="P29" s="77">
        <v>536.2959137390003</v>
      </c>
      <c r="Q29" s="77">
        <v>336.08194901100023</v>
      </c>
      <c r="R29" s="78">
        <v>208.47608467400596</v>
      </c>
      <c r="S29" s="77">
        <v>209.79959093400021</v>
      </c>
      <c r="T29" s="77">
        <v>191.62993692800001</v>
      </c>
      <c r="U29" s="77">
        <v>192.04658459699976</v>
      </c>
      <c r="V29" s="77">
        <v>176.17829496599961</v>
      </c>
    </row>
    <row r="30" spans="2:22" s="6" customFormat="1" ht="7.5" customHeight="1" x14ac:dyDescent="0.35">
      <c r="B30" s="84"/>
      <c r="C30" s="63"/>
      <c r="D30" s="63"/>
      <c r="E30" s="63"/>
      <c r="F30" s="64"/>
      <c r="G30" s="63"/>
      <c r="H30" s="63"/>
      <c r="I30" s="63"/>
      <c r="J30" s="64"/>
      <c r="K30" s="63"/>
      <c r="L30" s="63"/>
      <c r="M30" s="63"/>
      <c r="N30" s="64"/>
      <c r="O30" s="63"/>
      <c r="P30" s="63"/>
      <c r="Q30" s="63"/>
      <c r="R30" s="64"/>
      <c r="S30" s="63"/>
      <c r="T30" s="63"/>
      <c r="U30" s="63"/>
      <c r="V30" s="63"/>
    </row>
    <row r="31" spans="2:22" ht="18" customHeight="1" x14ac:dyDescent="0.25">
      <c r="B31" s="492" t="s">
        <v>185</v>
      </c>
      <c r="C31" s="70"/>
      <c r="D31" s="70"/>
      <c r="E31" s="70"/>
      <c r="F31" s="71"/>
      <c r="G31" s="70"/>
      <c r="H31" s="70"/>
      <c r="I31" s="70"/>
      <c r="J31" s="71"/>
      <c r="K31" s="70"/>
      <c r="L31" s="79"/>
      <c r="M31" s="79"/>
      <c r="N31" s="80"/>
      <c r="O31" s="79"/>
      <c r="P31" s="79"/>
      <c r="Q31" s="79"/>
      <c r="R31" s="80"/>
      <c r="S31" s="79"/>
      <c r="T31" s="74"/>
      <c r="U31" s="79"/>
      <c r="V31" s="79"/>
    </row>
    <row r="32" spans="2:22" s="6" customFormat="1" ht="18" outlineLevel="1" x14ac:dyDescent="0.35">
      <c r="B32" s="89" t="s">
        <v>264</v>
      </c>
      <c r="C32" s="81">
        <f t="shared" ref="C32:T32" si="3">SUM(C33:C35)</f>
        <v>950</v>
      </c>
      <c r="D32" s="81">
        <f t="shared" si="3"/>
        <v>895</v>
      </c>
      <c r="E32" s="81">
        <f t="shared" si="3"/>
        <v>972</v>
      </c>
      <c r="F32" s="82">
        <f t="shared" si="3"/>
        <v>986</v>
      </c>
      <c r="G32" s="81">
        <f t="shared" si="3"/>
        <v>990</v>
      </c>
      <c r="H32" s="81">
        <f t="shared" si="3"/>
        <v>955</v>
      </c>
      <c r="I32" s="81">
        <f t="shared" si="3"/>
        <v>1021</v>
      </c>
      <c r="J32" s="82">
        <f t="shared" si="3"/>
        <v>947</v>
      </c>
      <c r="K32" s="81">
        <f t="shared" si="3"/>
        <v>953.46274699999992</v>
      </c>
      <c r="L32" s="81">
        <f t="shared" si="3"/>
        <v>848.23616100000004</v>
      </c>
      <c r="M32" s="81">
        <f t="shared" si="3"/>
        <v>915.821417</v>
      </c>
      <c r="N32" s="82">
        <f t="shared" si="3"/>
        <v>908.01456599999995</v>
      </c>
      <c r="O32" s="81">
        <f t="shared" si="3"/>
        <v>832.73616100000004</v>
      </c>
      <c r="P32" s="81">
        <f t="shared" si="3"/>
        <v>150.46719400000001</v>
      </c>
      <c r="Q32" s="81">
        <f t="shared" si="3"/>
        <v>382.76873899999993</v>
      </c>
      <c r="R32" s="82">
        <f t="shared" si="3"/>
        <v>731.84512217799988</v>
      </c>
      <c r="S32" s="81">
        <f t="shared" si="3"/>
        <v>732.31353900000011</v>
      </c>
      <c r="T32" s="81">
        <f t="shared" si="3"/>
        <v>566.78177399999993</v>
      </c>
      <c r="U32" s="81">
        <f>SUM(U33:U35)</f>
        <v>794.10838899999987</v>
      </c>
      <c r="V32" s="81">
        <f>SUM(V33:V35)</f>
        <v>959.64490699999999</v>
      </c>
    </row>
    <row r="33" spans="2:23" s="6" customFormat="1" ht="18" outlineLevel="1" x14ac:dyDescent="0.35">
      <c r="B33" s="90" t="s">
        <v>270</v>
      </c>
      <c r="C33" s="77">
        <v>941.47666400000003</v>
      </c>
      <c r="D33" s="77">
        <v>888.49108899999999</v>
      </c>
      <c r="E33" s="77">
        <v>965.10744999999997</v>
      </c>
      <c r="F33" s="78">
        <v>978.38151700000003</v>
      </c>
      <c r="G33" s="77">
        <v>982.42627900000014</v>
      </c>
      <c r="H33" s="77">
        <v>947.89984600000003</v>
      </c>
      <c r="I33" s="77">
        <v>1014.0531259999999</v>
      </c>
      <c r="J33" s="78">
        <v>940.56747999999993</v>
      </c>
      <c r="K33" s="77">
        <v>946.42731200000003</v>
      </c>
      <c r="L33" s="77">
        <v>843.07482300000004</v>
      </c>
      <c r="M33" s="77">
        <v>910.0116680000001</v>
      </c>
      <c r="N33" s="78">
        <v>900.790933</v>
      </c>
      <c r="O33" s="77">
        <v>826.57017100000007</v>
      </c>
      <c r="P33" s="77">
        <v>146.23266100000004</v>
      </c>
      <c r="Q33" s="77">
        <v>377.34055000000006</v>
      </c>
      <c r="R33" s="78">
        <v>726.61373099999992</v>
      </c>
      <c r="S33" s="77">
        <v>725.63070499999992</v>
      </c>
      <c r="T33" s="77">
        <v>561.2973740000001</v>
      </c>
      <c r="U33" s="77">
        <v>786.70478400000002</v>
      </c>
      <c r="V33" s="77">
        <v>952.05653699999993</v>
      </c>
    </row>
    <row r="34" spans="2:23" s="6" customFormat="1" ht="18" outlineLevel="1" x14ac:dyDescent="0.35">
      <c r="B34" s="90" t="s">
        <v>3</v>
      </c>
      <c r="C34" s="77">
        <v>6.5788809999999991</v>
      </c>
      <c r="D34" s="77">
        <v>5.0873940000000006</v>
      </c>
      <c r="E34" s="77">
        <v>5.6760409999999997</v>
      </c>
      <c r="F34" s="78">
        <v>5.8614439999999997</v>
      </c>
      <c r="G34" s="77">
        <v>6.2973129999999999</v>
      </c>
      <c r="H34" s="77">
        <v>5.5322319999999996</v>
      </c>
      <c r="I34" s="77">
        <v>5.1966749999999999</v>
      </c>
      <c r="J34" s="78">
        <v>5.3403649999999994</v>
      </c>
      <c r="K34" s="77">
        <v>5.557119000000001</v>
      </c>
      <c r="L34" s="77">
        <v>4.2185569999999997</v>
      </c>
      <c r="M34" s="77">
        <v>4.5033690000000002</v>
      </c>
      <c r="N34" s="78">
        <v>4.4801960000000003</v>
      </c>
      <c r="O34" s="77">
        <v>4.2450830000000002</v>
      </c>
      <c r="P34" s="77">
        <v>3.6963970000000002</v>
      </c>
      <c r="Q34" s="77">
        <v>4.2380089999999999</v>
      </c>
      <c r="R34" s="78">
        <v>3.9405760000000001</v>
      </c>
      <c r="S34" s="77">
        <v>4.9221599999999999</v>
      </c>
      <c r="T34" s="77">
        <v>4.9221599999999999</v>
      </c>
      <c r="U34" s="77">
        <v>4.9221599999999999</v>
      </c>
      <c r="V34" s="77">
        <v>4.9221599999999999</v>
      </c>
    </row>
    <row r="35" spans="2:23" s="6" customFormat="1" ht="18" outlineLevel="1" x14ac:dyDescent="0.35">
      <c r="B35" s="90" t="s">
        <v>169</v>
      </c>
      <c r="C35" s="77">
        <v>1.9444549999999481</v>
      </c>
      <c r="D35" s="77">
        <v>1.4215169999999944</v>
      </c>
      <c r="E35" s="77">
        <v>1.2165089999999736</v>
      </c>
      <c r="F35" s="78">
        <v>1.7570389999999634</v>
      </c>
      <c r="G35" s="77">
        <v>1.276407999999833</v>
      </c>
      <c r="H35" s="77">
        <v>1.5679219999999532</v>
      </c>
      <c r="I35" s="77">
        <v>1.750199000000066</v>
      </c>
      <c r="J35" s="78">
        <v>1.0921550000000479</v>
      </c>
      <c r="K35" s="77">
        <v>1.4783159999998361</v>
      </c>
      <c r="L35" s="77">
        <v>0.94278099999996812</v>
      </c>
      <c r="M35" s="77">
        <v>1.3063799999998764</v>
      </c>
      <c r="N35" s="78">
        <v>2.7434369999999717</v>
      </c>
      <c r="O35" s="77">
        <v>1.9209069999999429</v>
      </c>
      <c r="P35" s="77">
        <v>0.53813599999998019</v>
      </c>
      <c r="Q35" s="77">
        <v>1.1901799999998843</v>
      </c>
      <c r="R35" s="78">
        <v>1.2908151780000026</v>
      </c>
      <c r="S35" s="77">
        <v>1.7606740000002219</v>
      </c>
      <c r="T35" s="77">
        <v>0.56223999999986063</v>
      </c>
      <c r="U35" s="77">
        <v>2.4814449999998942</v>
      </c>
      <c r="V35" s="77">
        <v>2.6662100000000919</v>
      </c>
    </row>
    <row r="36" spans="2:23" s="6" customFormat="1" ht="8.25" customHeight="1" outlineLevel="1" x14ac:dyDescent="0.35">
      <c r="B36" s="84"/>
      <c r="C36" s="83"/>
      <c r="D36" s="83"/>
      <c r="E36" s="83"/>
      <c r="F36" s="83"/>
      <c r="G36" s="83"/>
      <c r="H36" s="83"/>
      <c r="I36" s="83"/>
      <c r="J36" s="83"/>
      <c r="K36" s="83"/>
      <c r="L36" s="83"/>
      <c r="M36" s="83"/>
      <c r="N36" s="83"/>
      <c r="O36" s="83"/>
      <c r="P36" s="83"/>
      <c r="Q36" s="83"/>
      <c r="R36" s="83"/>
      <c r="S36" s="83"/>
      <c r="T36" s="83"/>
      <c r="U36" s="83"/>
      <c r="V36" s="83"/>
      <c r="W36" s="7"/>
    </row>
    <row r="37" spans="2:23" outlineLevel="1" x14ac:dyDescent="0.25">
      <c r="B37" s="91" t="s">
        <v>271</v>
      </c>
    </row>
    <row r="38" spans="2:23" outlineLevel="1" x14ac:dyDescent="0.25">
      <c r="B38" s="92" t="s">
        <v>272</v>
      </c>
    </row>
    <row r="39" spans="2:23" outlineLevel="1" x14ac:dyDescent="0.25">
      <c r="B39" s="92" t="s">
        <v>273</v>
      </c>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W37"/>
  <sheetViews>
    <sheetView showGridLines="0" zoomScale="70" zoomScaleNormal="70" workbookViewId="0">
      <pane xSplit="2" ySplit="5" topLeftCell="S6" activePane="bottomRight" state="frozen"/>
      <selection pane="topRight"/>
      <selection pane="bottomLeft"/>
      <selection pane="bottomRight" activeCell="H7" sqref="H7"/>
    </sheetView>
  </sheetViews>
  <sheetFormatPr defaultColWidth="9.140625" defaultRowHeight="15.75" outlineLevelCol="1" x14ac:dyDescent="0.25"/>
  <cols>
    <col min="1" max="1" width="2" customWidth="1"/>
    <col min="2" max="2" width="71.85546875" style="84" customWidth="1"/>
    <col min="3" max="3" width="10.7109375" style="137" customWidth="1" outlineLevel="1"/>
    <col min="4" max="5" width="10.7109375" style="63" customWidth="1" outlineLevel="1"/>
    <col min="6" max="6" width="10.7109375" style="64" customWidth="1" outlineLevel="1"/>
    <col min="7" max="9" width="10.7109375" style="63" customWidth="1" outlineLevel="1"/>
    <col min="10" max="10" width="10.7109375" style="64" customWidth="1" outlineLevel="1"/>
    <col min="11" max="13" width="10.7109375" style="63" customWidth="1" outlineLevel="1"/>
    <col min="14" max="14" width="10.7109375" style="64" customWidth="1" outlineLevel="1"/>
    <col min="15" max="17" width="10.7109375" style="63" customWidth="1" outlineLevel="1"/>
    <col min="18" max="18" width="10.7109375" style="64" customWidth="1" outlineLevel="1"/>
    <col min="19" max="22" width="10.7109375" style="63" customWidth="1"/>
    <col min="23" max="23" width="12.85546875" style="1" customWidth="1"/>
  </cols>
  <sheetData>
    <row r="1" spans="1:23" ht="41.25" customHeight="1" x14ac:dyDescent="0.25">
      <c r="A1" s="2"/>
      <c r="C1" s="108"/>
      <c r="D1" s="59"/>
      <c r="E1" s="59"/>
      <c r="F1" s="109"/>
      <c r="G1" s="59"/>
      <c r="H1" s="59"/>
      <c r="I1" s="59"/>
      <c r="J1" s="60"/>
      <c r="K1" s="59"/>
      <c r="L1" s="59"/>
      <c r="M1" s="59"/>
      <c r="N1" s="60"/>
      <c r="O1" s="59"/>
      <c r="P1" s="59"/>
      <c r="Q1" s="59"/>
      <c r="R1" s="60"/>
      <c r="S1" s="59"/>
      <c r="T1" s="59"/>
      <c r="U1" s="59"/>
      <c r="V1" s="59"/>
    </row>
    <row r="2" spans="1:23" ht="18" x14ac:dyDescent="0.25">
      <c r="A2" s="13"/>
      <c r="B2" s="85" t="s">
        <v>263</v>
      </c>
      <c r="C2" s="110"/>
      <c r="D2" s="62"/>
      <c r="E2" s="62"/>
      <c r="F2" s="62"/>
      <c r="G2" s="61"/>
      <c r="H2" s="61"/>
      <c r="I2" s="61"/>
      <c r="J2" s="62"/>
      <c r="K2" s="61"/>
      <c r="L2" s="61"/>
      <c r="M2" s="61"/>
      <c r="N2" s="62"/>
      <c r="O2" s="61"/>
      <c r="P2" s="61"/>
      <c r="Q2" s="61"/>
      <c r="R2" s="62"/>
      <c r="S2" s="61"/>
      <c r="T2" s="61"/>
      <c r="U2" s="61"/>
      <c r="V2" s="61"/>
    </row>
    <row r="3" spans="1:23" ht="9.75" customHeight="1" x14ac:dyDescent="0.25">
      <c r="C3" s="64"/>
      <c r="D3" s="64"/>
      <c r="E3" s="64"/>
      <c r="W3"/>
    </row>
    <row r="4" spans="1:23" x14ac:dyDescent="0.25">
      <c r="B4" s="86"/>
      <c r="C4" s="67">
        <v>2014</v>
      </c>
      <c r="D4" s="67">
        <v>2015</v>
      </c>
      <c r="E4" s="67">
        <v>2016</v>
      </c>
      <c r="F4" s="67">
        <v>2017</v>
      </c>
      <c r="G4" s="65" t="s">
        <v>278</v>
      </c>
      <c r="H4" s="66" t="s">
        <v>279</v>
      </c>
      <c r="I4" s="66" t="s">
        <v>280</v>
      </c>
      <c r="J4" s="67" t="s">
        <v>281</v>
      </c>
      <c r="K4" s="66" t="s">
        <v>282</v>
      </c>
      <c r="L4" s="66" t="s">
        <v>283</v>
      </c>
      <c r="M4" s="66" t="s">
        <v>284</v>
      </c>
      <c r="N4" s="67" t="s">
        <v>285</v>
      </c>
      <c r="O4" s="66" t="s">
        <v>286</v>
      </c>
      <c r="P4" s="66" t="s">
        <v>287</v>
      </c>
      <c r="Q4" s="66" t="s">
        <v>288</v>
      </c>
      <c r="R4" s="67" t="s">
        <v>289</v>
      </c>
      <c r="S4" s="66" t="s">
        <v>290</v>
      </c>
      <c r="T4" s="66" t="s">
        <v>291</v>
      </c>
      <c r="U4" s="66" t="s">
        <v>292</v>
      </c>
      <c r="V4" s="66" t="s">
        <v>566</v>
      </c>
      <c r="W4"/>
    </row>
    <row r="5" spans="1:23" x14ac:dyDescent="0.25">
      <c r="B5" s="87"/>
      <c r="C5" s="69" t="s">
        <v>298</v>
      </c>
      <c r="D5" s="69" t="s">
        <v>298</v>
      </c>
      <c r="E5" s="69" t="s">
        <v>298</v>
      </c>
      <c r="F5" s="69" t="s">
        <v>298</v>
      </c>
      <c r="G5" s="68" t="s">
        <v>65</v>
      </c>
      <c r="H5" s="68" t="s">
        <v>275</v>
      </c>
      <c r="I5" s="68" t="s">
        <v>276</v>
      </c>
      <c r="J5" s="69" t="s">
        <v>274</v>
      </c>
      <c r="K5" s="68" t="s">
        <v>65</v>
      </c>
      <c r="L5" s="68" t="s">
        <v>275</v>
      </c>
      <c r="M5" s="68" t="s">
        <v>276</v>
      </c>
      <c r="N5" s="69" t="s">
        <v>274</v>
      </c>
      <c r="O5" s="68" t="s">
        <v>65</v>
      </c>
      <c r="P5" s="68" t="s">
        <v>275</v>
      </c>
      <c r="Q5" s="68" t="s">
        <v>276</v>
      </c>
      <c r="R5" s="69" t="s">
        <v>274</v>
      </c>
      <c r="S5" s="68" t="s">
        <v>65</v>
      </c>
      <c r="T5" s="68" t="s">
        <v>275</v>
      </c>
      <c r="U5" s="68" t="s">
        <v>276</v>
      </c>
      <c r="V5" s="68" t="s">
        <v>274</v>
      </c>
      <c r="W5"/>
    </row>
    <row r="6" spans="1:23" ht="8.25" customHeight="1" x14ac:dyDescent="0.25">
      <c r="C6" s="59"/>
      <c r="D6" s="59"/>
      <c r="E6" s="59"/>
      <c r="F6" s="60"/>
      <c r="G6" s="59"/>
      <c r="H6" s="59"/>
      <c r="I6" s="59"/>
      <c r="J6" s="111"/>
      <c r="K6" s="59"/>
      <c r="L6" s="59"/>
      <c r="M6" s="59"/>
      <c r="N6" s="112"/>
      <c r="O6" s="59"/>
      <c r="P6" s="59"/>
      <c r="Q6" s="59"/>
      <c r="R6" s="112"/>
      <c r="S6" s="59"/>
      <c r="T6" s="59"/>
      <c r="U6" s="59"/>
      <c r="V6" s="59"/>
      <c r="W6"/>
    </row>
    <row r="7" spans="1:23" s="15" customFormat="1" ht="18" x14ac:dyDescent="0.25">
      <c r="B7" s="88" t="s">
        <v>90</v>
      </c>
      <c r="C7" s="71"/>
      <c r="D7" s="71"/>
      <c r="E7" s="70"/>
      <c r="F7" s="70"/>
      <c r="G7" s="70"/>
      <c r="H7" s="70"/>
      <c r="I7" s="70"/>
      <c r="J7" s="71"/>
      <c r="K7" s="70"/>
      <c r="L7" s="72"/>
      <c r="M7" s="72"/>
      <c r="N7" s="71"/>
      <c r="O7" s="72"/>
      <c r="P7" s="72"/>
      <c r="Q7" s="72"/>
      <c r="R7" s="73"/>
      <c r="S7" s="72"/>
      <c r="T7" s="74"/>
      <c r="U7" s="72"/>
      <c r="V7" s="72"/>
      <c r="W7" s="16"/>
    </row>
    <row r="8" spans="1:23" s="17" customFormat="1" ht="18.75" x14ac:dyDescent="0.3">
      <c r="B8" s="89" t="s">
        <v>176</v>
      </c>
      <c r="C8" s="113"/>
      <c r="D8" s="114"/>
      <c r="E8" s="114"/>
      <c r="F8" s="114"/>
      <c r="G8" s="75"/>
      <c r="H8" s="75"/>
      <c r="I8" s="75"/>
      <c r="J8" s="113"/>
      <c r="K8" s="75"/>
      <c r="L8" s="75"/>
      <c r="M8" s="75"/>
      <c r="N8" s="113"/>
      <c r="O8" s="75"/>
      <c r="P8" s="75"/>
      <c r="Q8" s="75"/>
      <c r="R8" s="113"/>
      <c r="S8" s="75"/>
      <c r="T8" s="75"/>
      <c r="U8" s="75"/>
      <c r="V8" s="75"/>
    </row>
    <row r="9" spans="1:23" s="6" customFormat="1" ht="18" x14ac:dyDescent="0.35">
      <c r="B9" s="93" t="s">
        <v>68</v>
      </c>
      <c r="C9" s="115">
        <v>98528</v>
      </c>
      <c r="D9" s="116">
        <v>97280</v>
      </c>
      <c r="E9" s="116">
        <v>86637</v>
      </c>
      <c r="F9" s="116">
        <v>84567</v>
      </c>
      <c r="G9" s="117">
        <f>[18]DRE!$C$4</f>
        <v>22499</v>
      </c>
      <c r="H9" s="117">
        <v>23597</v>
      </c>
      <c r="I9" s="117">
        <f>[19]DRE!$D$4</f>
        <v>26455</v>
      </c>
      <c r="J9" s="115">
        <f>97770-SUM(G9:I9)</f>
        <v>25219</v>
      </c>
      <c r="K9" s="117">
        <v>22432</v>
      </c>
      <c r="L9" s="117">
        <v>24045</v>
      </c>
      <c r="M9" s="117">
        <v>24360</v>
      </c>
      <c r="N9" s="115">
        <v>24148</v>
      </c>
      <c r="O9" s="117">
        <v>21188</v>
      </c>
      <c r="P9" s="117">
        <v>14882</v>
      </c>
      <c r="Q9" s="117">
        <v>21137</v>
      </c>
      <c r="R9" s="115">
        <v>24294</v>
      </c>
      <c r="S9" s="117">
        <v>26133</v>
      </c>
      <c r="T9" s="117">
        <v>29023</v>
      </c>
      <c r="U9" s="117">
        <v>35694</v>
      </c>
      <c r="V9" s="117">
        <v>39271</v>
      </c>
    </row>
    <row r="10" spans="1:23" s="6" customFormat="1" ht="18" x14ac:dyDescent="0.35">
      <c r="B10" s="94" t="s">
        <v>69</v>
      </c>
      <c r="C10" s="118">
        <v>-91237</v>
      </c>
      <c r="D10" s="119">
        <v>-89967</v>
      </c>
      <c r="E10" s="119">
        <v>-80172</v>
      </c>
      <c r="F10" s="119">
        <v>-78200</v>
      </c>
      <c r="G10" s="120">
        <f>[18]DRE!$C$5</f>
        <v>-20982</v>
      </c>
      <c r="H10" s="120">
        <v>-22281</v>
      </c>
      <c r="I10" s="120">
        <f>[19]DRE!$D$5</f>
        <v>-24936</v>
      </c>
      <c r="J10" s="118">
        <f>-91914-SUM(G10:I10)</f>
        <v>-23715</v>
      </c>
      <c r="K10" s="120">
        <v>-20842</v>
      </c>
      <c r="L10" s="120">
        <v>-22756</v>
      </c>
      <c r="M10" s="120">
        <v>-22966</v>
      </c>
      <c r="N10" s="118">
        <v>-22463</v>
      </c>
      <c r="O10" s="120">
        <v>-20242</v>
      </c>
      <c r="P10" s="120">
        <v>-14286</v>
      </c>
      <c r="Q10" s="120">
        <v>-19751</v>
      </c>
      <c r="R10" s="118">
        <v>-22765</v>
      </c>
      <c r="S10" s="120">
        <v>-24260</v>
      </c>
      <c r="T10" s="120">
        <v>-27750</v>
      </c>
      <c r="U10" s="120">
        <v>-34161</v>
      </c>
      <c r="V10" s="120">
        <v>-37099</v>
      </c>
    </row>
    <row r="11" spans="1:23" s="6" customFormat="1" ht="18" x14ac:dyDescent="0.35">
      <c r="B11" s="95" t="s">
        <v>70</v>
      </c>
      <c r="C11" s="121">
        <v>7291</v>
      </c>
      <c r="D11" s="122">
        <v>7313</v>
      </c>
      <c r="E11" s="122">
        <v>6465</v>
      </c>
      <c r="F11" s="122">
        <v>6367</v>
      </c>
      <c r="G11" s="123">
        <f>[18]DRE!$C$6</f>
        <v>1517</v>
      </c>
      <c r="H11" s="123">
        <v>1316</v>
      </c>
      <c r="I11" s="123">
        <v>1519</v>
      </c>
      <c r="J11" s="121">
        <f>5856-SUM(G11:I11)</f>
        <v>1504</v>
      </c>
      <c r="K11" s="123">
        <v>1590</v>
      </c>
      <c r="L11" s="123">
        <v>1289</v>
      </c>
      <c r="M11" s="123">
        <v>1394</v>
      </c>
      <c r="N11" s="121">
        <v>1685</v>
      </c>
      <c r="O11" s="123">
        <v>946</v>
      </c>
      <c r="P11" s="123">
        <v>596</v>
      </c>
      <c r="Q11" s="123">
        <v>1386</v>
      </c>
      <c r="R11" s="121">
        <v>1529</v>
      </c>
      <c r="S11" s="123">
        <v>1873</v>
      </c>
      <c r="T11" s="123">
        <v>1273</v>
      </c>
      <c r="U11" s="123">
        <v>1533</v>
      </c>
      <c r="V11" s="123">
        <v>2172</v>
      </c>
    </row>
    <row r="12" spans="1:23" s="6" customFormat="1" ht="18" x14ac:dyDescent="0.35">
      <c r="B12" s="93" t="s">
        <v>71</v>
      </c>
      <c r="C12" s="78"/>
      <c r="D12" s="124"/>
      <c r="E12" s="124"/>
      <c r="F12" s="124"/>
      <c r="G12" s="77"/>
      <c r="H12" s="77"/>
      <c r="I12" s="77"/>
      <c r="J12" s="78"/>
      <c r="K12" s="77"/>
      <c r="L12" s="77"/>
      <c r="M12" s="77"/>
      <c r="N12" s="78"/>
      <c r="O12" s="77"/>
      <c r="P12" s="77"/>
      <c r="Q12" s="77"/>
      <c r="R12" s="78"/>
      <c r="S12" s="77"/>
      <c r="T12" s="77"/>
      <c r="U12" s="77"/>
      <c r="V12" s="77"/>
    </row>
    <row r="13" spans="1:23" s="6" customFormat="1" ht="18" x14ac:dyDescent="0.35">
      <c r="B13" s="94" t="s">
        <v>72</v>
      </c>
      <c r="C13" s="125">
        <v>-4524</v>
      </c>
      <c r="D13" s="126">
        <v>-6454</v>
      </c>
      <c r="E13" s="126">
        <v>-3845</v>
      </c>
      <c r="F13" s="126">
        <v>-2952</v>
      </c>
      <c r="G13" s="127">
        <f>[18]DRE!$C$8</f>
        <v>-708</v>
      </c>
      <c r="H13" s="127">
        <v>-760</v>
      </c>
      <c r="I13" s="127">
        <v>-776</v>
      </c>
      <c r="J13" s="125">
        <f>-2927-SUM(G13:I13)</f>
        <v>-683</v>
      </c>
      <c r="K13" s="127">
        <v>-733</v>
      </c>
      <c r="L13" s="127">
        <v>-722</v>
      </c>
      <c r="M13" s="127">
        <v>-726</v>
      </c>
      <c r="N13" s="125">
        <v>-805</v>
      </c>
      <c r="O13" s="127">
        <v>-590</v>
      </c>
      <c r="P13" s="127">
        <v>-585</v>
      </c>
      <c r="Q13" s="127">
        <v>-535</v>
      </c>
      <c r="R13" s="125">
        <v>-592</v>
      </c>
      <c r="S13" s="127">
        <v>-556</v>
      </c>
      <c r="T13" s="127">
        <v>-585</v>
      </c>
      <c r="U13" s="127">
        <v>-615</v>
      </c>
      <c r="V13" s="127">
        <v>-618</v>
      </c>
    </row>
    <row r="14" spans="1:23" s="6" customFormat="1" ht="18.75" customHeight="1" x14ac:dyDescent="0.35">
      <c r="B14" s="94" t="s">
        <v>73</v>
      </c>
      <c r="C14" s="125">
        <v>0</v>
      </c>
      <c r="D14" s="126">
        <v>0</v>
      </c>
      <c r="E14" s="126">
        <v>0</v>
      </c>
      <c r="F14" s="126">
        <v>0</v>
      </c>
      <c r="G14" s="127">
        <v>0</v>
      </c>
      <c r="H14" s="127">
        <v>0</v>
      </c>
      <c r="I14" s="127">
        <v>0</v>
      </c>
      <c r="J14" s="125">
        <v>0</v>
      </c>
      <c r="K14" s="127">
        <v>0</v>
      </c>
      <c r="L14" s="127">
        <v>0</v>
      </c>
      <c r="M14" s="127">
        <v>-7</v>
      </c>
      <c r="N14" s="125">
        <v>-24</v>
      </c>
      <c r="O14" s="127">
        <v>-33</v>
      </c>
      <c r="P14" s="127">
        <v>0</v>
      </c>
      <c r="Q14" s="127">
        <v>4</v>
      </c>
      <c r="R14" s="125">
        <v>39</v>
      </c>
      <c r="S14" s="127">
        <v>-173</v>
      </c>
      <c r="T14" s="127">
        <v>10</v>
      </c>
      <c r="U14" s="127">
        <v>-64</v>
      </c>
      <c r="V14" s="127">
        <v>-62</v>
      </c>
    </row>
    <row r="15" spans="1:23" s="6" customFormat="1" ht="18.75" customHeight="1" x14ac:dyDescent="0.35">
      <c r="B15" s="94" t="s">
        <v>74</v>
      </c>
      <c r="C15" s="125">
        <v>-748</v>
      </c>
      <c r="D15" s="126">
        <v>-820</v>
      </c>
      <c r="E15" s="126">
        <v>-828</v>
      </c>
      <c r="F15" s="126">
        <v>-835</v>
      </c>
      <c r="G15" s="127">
        <f>[18]DRE!$C$9</f>
        <v>-190</v>
      </c>
      <c r="H15" s="127">
        <v>-198</v>
      </c>
      <c r="I15" s="127">
        <v>-194</v>
      </c>
      <c r="J15" s="125">
        <f>-786-SUM(G15:I15)</f>
        <v>-204</v>
      </c>
      <c r="K15" s="127">
        <v>-195</v>
      </c>
      <c r="L15" s="127">
        <v>-190</v>
      </c>
      <c r="M15" s="127">
        <v>-200</v>
      </c>
      <c r="N15" s="125">
        <v>-283</v>
      </c>
      <c r="O15" s="127">
        <v>-145</v>
      </c>
      <c r="P15" s="127">
        <v>-138</v>
      </c>
      <c r="Q15" s="127">
        <v>-152</v>
      </c>
      <c r="R15" s="125">
        <v>-22</v>
      </c>
      <c r="S15" s="127">
        <v>-149</v>
      </c>
      <c r="T15" s="127">
        <v>-168</v>
      </c>
      <c r="U15" s="127">
        <v>-187</v>
      </c>
      <c r="V15" s="127">
        <v>-130</v>
      </c>
    </row>
    <row r="16" spans="1:23" s="6" customFormat="1" ht="18.75" customHeight="1" x14ac:dyDescent="0.35">
      <c r="B16" s="94" t="s">
        <v>75</v>
      </c>
      <c r="C16" s="125">
        <v>-160</v>
      </c>
      <c r="D16" s="126">
        <v>-208</v>
      </c>
      <c r="E16" s="126">
        <v>-137</v>
      </c>
      <c r="F16" s="126">
        <v>-172</v>
      </c>
      <c r="G16" s="127">
        <f>[18]DRE!$C$10</f>
        <v>-27</v>
      </c>
      <c r="H16" s="127">
        <v>-22</v>
      </c>
      <c r="I16" s="127">
        <v>-209</v>
      </c>
      <c r="J16" s="125">
        <f>-315-SUM(G16:I16)</f>
        <v>-57</v>
      </c>
      <c r="K16" s="127">
        <v>-37</v>
      </c>
      <c r="L16" s="127">
        <v>-13</v>
      </c>
      <c r="M16" s="127">
        <v>-36</v>
      </c>
      <c r="N16" s="125">
        <v>-22</v>
      </c>
      <c r="O16" s="127">
        <v>-41</v>
      </c>
      <c r="P16" s="127">
        <v>-17</v>
      </c>
      <c r="Q16" s="127">
        <v>-58</v>
      </c>
      <c r="R16" s="125">
        <v>-31</v>
      </c>
      <c r="S16" s="127">
        <v>-65</v>
      </c>
      <c r="T16" s="127">
        <v>-22</v>
      </c>
      <c r="U16" s="127">
        <v>-224</v>
      </c>
      <c r="V16" s="127">
        <v>-34</v>
      </c>
    </row>
    <row r="17" spans="2:23" s="6" customFormat="1" ht="18.75" customHeight="1" x14ac:dyDescent="0.35">
      <c r="B17" s="94" t="s">
        <v>76</v>
      </c>
      <c r="C17" s="125">
        <v>-601</v>
      </c>
      <c r="D17" s="126">
        <v>-1470</v>
      </c>
      <c r="E17" s="126">
        <v>-1669</v>
      </c>
      <c r="F17" s="126">
        <v>-284</v>
      </c>
      <c r="G17" s="127">
        <f>[18]DRE!$C$11</f>
        <v>-135</v>
      </c>
      <c r="H17" s="127">
        <v>-162</v>
      </c>
      <c r="I17" s="127">
        <v>1082</v>
      </c>
      <c r="J17" s="125">
        <f>559-SUM(G17:I17)</f>
        <v>-226</v>
      </c>
      <c r="K17" s="127">
        <v>-137</v>
      </c>
      <c r="L17" s="127">
        <v>-64</v>
      </c>
      <c r="M17" s="127">
        <v>72</v>
      </c>
      <c r="N17" s="125">
        <v>-525</v>
      </c>
      <c r="O17" s="127">
        <v>364</v>
      </c>
      <c r="P17" s="127">
        <v>400</v>
      </c>
      <c r="Q17" s="127">
        <v>-120</v>
      </c>
      <c r="R17" s="125">
        <v>2352</v>
      </c>
      <c r="S17" s="127">
        <v>-60</v>
      </c>
      <c r="T17" s="127">
        <v>165</v>
      </c>
      <c r="U17" s="127">
        <v>-20</v>
      </c>
      <c r="V17" s="127">
        <v>-800</v>
      </c>
    </row>
    <row r="18" spans="2:23" s="6" customFormat="1" ht="9" customHeight="1" x14ac:dyDescent="0.35">
      <c r="B18" s="94"/>
      <c r="C18" s="78"/>
      <c r="D18" s="124"/>
      <c r="E18" s="124"/>
      <c r="F18" s="124"/>
      <c r="G18" s="77"/>
      <c r="H18" s="77"/>
      <c r="I18" s="77"/>
      <c r="J18" s="78"/>
      <c r="K18" s="77"/>
      <c r="L18" s="77"/>
      <c r="M18" s="77"/>
      <c r="N18" s="78"/>
      <c r="O18" s="77"/>
      <c r="P18" s="77"/>
      <c r="Q18" s="77"/>
      <c r="R18" s="78"/>
      <c r="S18" s="77"/>
      <c r="T18" s="77"/>
      <c r="U18" s="77"/>
      <c r="V18" s="77"/>
    </row>
    <row r="19" spans="2:23" s="6" customFormat="1" ht="36.75" customHeight="1" x14ac:dyDescent="0.35">
      <c r="B19" s="489" t="s">
        <v>77</v>
      </c>
      <c r="C19" s="121">
        <v>1258</v>
      </c>
      <c r="D19" s="122">
        <v>-1639</v>
      </c>
      <c r="E19" s="122">
        <v>-14</v>
      </c>
      <c r="F19" s="122">
        <v>2124</v>
      </c>
      <c r="G19" s="123">
        <f>[18]DRE!$C$13</f>
        <v>457</v>
      </c>
      <c r="H19" s="123">
        <v>174</v>
      </c>
      <c r="I19" s="123">
        <v>1422</v>
      </c>
      <c r="J19" s="121">
        <f>2387-SUM(G19:I19)</f>
        <v>334</v>
      </c>
      <c r="K19" s="123">
        <v>488</v>
      </c>
      <c r="L19" s="123">
        <v>300</v>
      </c>
      <c r="M19" s="123">
        <v>497</v>
      </c>
      <c r="N19" s="121">
        <v>26</v>
      </c>
      <c r="O19" s="123">
        <v>501</v>
      </c>
      <c r="P19" s="123">
        <v>256</v>
      </c>
      <c r="Q19" s="123">
        <v>525</v>
      </c>
      <c r="R19" s="121">
        <v>3275</v>
      </c>
      <c r="S19" s="123">
        <v>870</v>
      </c>
      <c r="T19" s="123">
        <v>673</v>
      </c>
      <c r="U19" s="123">
        <v>423</v>
      </c>
      <c r="V19" s="123">
        <v>528</v>
      </c>
    </row>
    <row r="20" spans="2:23" s="6" customFormat="1" ht="18" x14ac:dyDescent="0.35">
      <c r="B20" s="96" t="s">
        <v>78</v>
      </c>
      <c r="C20" s="78"/>
      <c r="D20" s="124"/>
      <c r="E20" s="124"/>
      <c r="F20" s="124"/>
      <c r="G20" s="77"/>
      <c r="H20" s="77"/>
      <c r="I20" s="77"/>
      <c r="J20" s="78"/>
      <c r="K20" s="77"/>
      <c r="L20" s="77"/>
      <c r="M20" s="77"/>
      <c r="N20" s="78"/>
      <c r="O20" s="77"/>
      <c r="P20" s="77"/>
      <c r="Q20" s="77"/>
      <c r="R20" s="78"/>
      <c r="S20" s="77"/>
      <c r="T20" s="77"/>
      <c r="U20" s="77"/>
      <c r="V20" s="77"/>
    </row>
    <row r="21" spans="2:23" s="6" customFormat="1" ht="18" x14ac:dyDescent="0.35">
      <c r="B21" s="94" t="s">
        <v>79</v>
      </c>
      <c r="C21" s="125">
        <v>-802</v>
      </c>
      <c r="D21" s="126">
        <v>-1597</v>
      </c>
      <c r="E21" s="126">
        <v>-1893</v>
      </c>
      <c r="F21" s="126">
        <v>-1231</v>
      </c>
      <c r="G21" s="127">
        <f>[18]DRE!$C$15</f>
        <v>-94</v>
      </c>
      <c r="H21" s="127">
        <v>-83</v>
      </c>
      <c r="I21" s="127">
        <v>-136</v>
      </c>
      <c r="J21" s="125">
        <f>-419-SUM(G21:I21)</f>
        <v>-106</v>
      </c>
      <c r="K21" s="127">
        <v>-112</v>
      </c>
      <c r="L21" s="127">
        <v>-118</v>
      </c>
      <c r="M21" s="127">
        <v>-117</v>
      </c>
      <c r="N21" s="125">
        <v>-102</v>
      </c>
      <c r="O21" s="127">
        <v>-99</v>
      </c>
      <c r="P21" s="127">
        <v>-103</v>
      </c>
      <c r="Q21" s="127">
        <v>-90</v>
      </c>
      <c r="R21" s="125">
        <v>-93</v>
      </c>
      <c r="S21" s="127">
        <v>-91</v>
      </c>
      <c r="T21" s="127">
        <v>-95</v>
      </c>
      <c r="U21" s="127">
        <v>-148</v>
      </c>
      <c r="V21" s="127">
        <v>-196</v>
      </c>
    </row>
    <row r="22" spans="2:23" s="17" customFormat="1" ht="18.75" x14ac:dyDescent="0.3">
      <c r="B22" s="97" t="s">
        <v>80</v>
      </c>
      <c r="C22" s="125">
        <v>387</v>
      </c>
      <c r="D22" s="126">
        <v>505</v>
      </c>
      <c r="E22" s="126">
        <v>682</v>
      </c>
      <c r="F22" s="126">
        <v>376</v>
      </c>
      <c r="G22" s="127">
        <f>[18]DRE!$C$16</f>
        <v>84</v>
      </c>
      <c r="H22" s="127">
        <v>364</v>
      </c>
      <c r="I22" s="127">
        <v>554</v>
      </c>
      <c r="J22" s="125">
        <f>2959-SUM(G22:I22)</f>
        <v>1957</v>
      </c>
      <c r="K22" s="127">
        <v>397</v>
      </c>
      <c r="L22" s="127">
        <v>397</v>
      </c>
      <c r="M22" s="127">
        <v>1683</v>
      </c>
      <c r="N22" s="125">
        <v>91</v>
      </c>
      <c r="O22" s="127">
        <v>77</v>
      </c>
      <c r="P22" s="127">
        <v>95</v>
      </c>
      <c r="Q22" s="127">
        <v>120</v>
      </c>
      <c r="R22" s="125">
        <v>158</v>
      </c>
      <c r="S22" s="127">
        <v>116</v>
      </c>
      <c r="T22" s="127">
        <v>105</v>
      </c>
      <c r="U22" s="127">
        <v>214</v>
      </c>
      <c r="V22" s="127">
        <v>1208</v>
      </c>
    </row>
    <row r="23" spans="2:23" s="14" customFormat="1" ht="18" x14ac:dyDescent="0.35">
      <c r="B23" s="97" t="s">
        <v>81</v>
      </c>
      <c r="C23" s="125">
        <v>705</v>
      </c>
      <c r="D23" s="126">
        <v>793</v>
      </c>
      <c r="E23" s="126">
        <v>589</v>
      </c>
      <c r="F23" s="126">
        <v>298</v>
      </c>
      <c r="G23" s="127">
        <f>[18]DRE!$C$17</f>
        <v>-36</v>
      </c>
      <c r="H23" s="127">
        <v>-12</v>
      </c>
      <c r="I23" s="127">
        <v>-65</v>
      </c>
      <c r="J23" s="125">
        <f>-117-SUM(G23:I23)</f>
        <v>-4</v>
      </c>
      <c r="K23" s="127">
        <v>-13</v>
      </c>
      <c r="L23" s="127">
        <v>-91</v>
      </c>
      <c r="M23" s="127">
        <v>-9</v>
      </c>
      <c r="N23" s="125">
        <v>-16</v>
      </c>
      <c r="O23" s="127">
        <v>-74</v>
      </c>
      <c r="P23" s="127">
        <v>85</v>
      </c>
      <c r="Q23" s="127">
        <v>-8</v>
      </c>
      <c r="R23" s="125">
        <v>196</v>
      </c>
      <c r="S23" s="127">
        <v>-143</v>
      </c>
      <c r="T23" s="127">
        <v>-83</v>
      </c>
      <c r="U23" s="127">
        <v>-114</v>
      </c>
      <c r="V23" s="127">
        <v>-205</v>
      </c>
    </row>
    <row r="24" spans="2:23" s="6" customFormat="1" ht="8.25" customHeight="1" x14ac:dyDescent="0.35">
      <c r="B24" s="97"/>
      <c r="C24" s="125"/>
      <c r="D24" s="126"/>
      <c r="E24" s="126"/>
      <c r="F24" s="126"/>
      <c r="G24" s="127"/>
      <c r="H24" s="127"/>
      <c r="I24" s="127"/>
      <c r="J24" s="125"/>
      <c r="K24" s="127"/>
      <c r="L24" s="127"/>
      <c r="M24" s="127"/>
      <c r="N24" s="125"/>
      <c r="O24" s="127"/>
      <c r="P24" s="127"/>
      <c r="Q24" s="127"/>
      <c r="R24" s="125"/>
      <c r="S24" s="127"/>
      <c r="T24" s="127"/>
      <c r="U24" s="127"/>
      <c r="V24" s="127"/>
    </row>
    <row r="25" spans="2:23" s="6" customFormat="1" ht="18" x14ac:dyDescent="0.35">
      <c r="B25" s="93" t="s">
        <v>82</v>
      </c>
      <c r="C25" s="125">
        <v>-2</v>
      </c>
      <c r="D25" s="126">
        <v>3</v>
      </c>
      <c r="E25" s="126">
        <v>-1</v>
      </c>
      <c r="F25" s="126">
        <v>-2</v>
      </c>
      <c r="G25" s="127">
        <f>[18]DRE!$C$19</f>
        <v>-1</v>
      </c>
      <c r="H25" s="127">
        <v>0</v>
      </c>
      <c r="I25" s="127">
        <v>-1</v>
      </c>
      <c r="J25" s="125">
        <f>-1-SUM(G25:I25)</f>
        <v>1</v>
      </c>
      <c r="K25" s="127">
        <v>1</v>
      </c>
      <c r="L25" s="127">
        <v>0</v>
      </c>
      <c r="M25" s="127">
        <v>0</v>
      </c>
      <c r="N25" s="125">
        <v>1</v>
      </c>
      <c r="O25" s="127">
        <v>-1</v>
      </c>
      <c r="P25" s="127">
        <v>-1</v>
      </c>
      <c r="Q25" s="127">
        <v>-1</v>
      </c>
      <c r="R25" s="125">
        <v>12</v>
      </c>
      <c r="S25" s="127">
        <v>7</v>
      </c>
      <c r="T25" s="127">
        <v>2</v>
      </c>
      <c r="U25" s="127">
        <v>76</v>
      </c>
      <c r="V25" s="127">
        <v>27</v>
      </c>
    </row>
    <row r="26" spans="2:23" s="6" customFormat="1" ht="18" x14ac:dyDescent="0.35">
      <c r="B26" s="95" t="s">
        <v>83</v>
      </c>
      <c r="C26" s="121">
        <v>1546</v>
      </c>
      <c r="D26" s="122">
        <v>-1935</v>
      </c>
      <c r="E26" s="122">
        <v>-637</v>
      </c>
      <c r="F26" s="122">
        <v>1565</v>
      </c>
      <c r="G26" s="123">
        <f>[18]DRE!$C$20</f>
        <v>410</v>
      </c>
      <c r="H26" s="123">
        <v>443</v>
      </c>
      <c r="I26" s="123">
        <v>1774</v>
      </c>
      <c r="J26" s="121">
        <f>4809-SUM(G26:I26)</f>
        <v>2182</v>
      </c>
      <c r="K26" s="123">
        <v>761</v>
      </c>
      <c r="L26" s="123">
        <v>488</v>
      </c>
      <c r="M26" s="123">
        <v>2054</v>
      </c>
      <c r="N26" s="121">
        <v>0</v>
      </c>
      <c r="O26" s="123">
        <v>404</v>
      </c>
      <c r="P26" s="123">
        <v>332</v>
      </c>
      <c r="Q26" s="123">
        <v>546</v>
      </c>
      <c r="R26" s="121">
        <v>3548</v>
      </c>
      <c r="S26" s="123">
        <v>759</v>
      </c>
      <c r="T26" s="123">
        <v>602</v>
      </c>
      <c r="U26" s="123">
        <v>451</v>
      </c>
      <c r="V26" s="123">
        <v>1362</v>
      </c>
    </row>
    <row r="27" spans="2:23" s="6" customFormat="1" ht="18.75" customHeight="1" x14ac:dyDescent="0.35">
      <c r="B27" s="98" t="s">
        <v>84</v>
      </c>
      <c r="C27" s="78"/>
      <c r="D27" s="124"/>
      <c r="E27" s="124"/>
      <c r="F27" s="124"/>
      <c r="G27" s="77"/>
      <c r="H27" s="77"/>
      <c r="I27" s="77"/>
      <c r="J27" s="78"/>
      <c r="K27" s="77"/>
      <c r="L27" s="77"/>
      <c r="M27" s="77"/>
      <c r="N27" s="78"/>
      <c r="O27" s="77"/>
      <c r="P27" s="77"/>
      <c r="Q27" s="77"/>
      <c r="R27" s="78"/>
      <c r="S27" s="77"/>
      <c r="T27" s="77"/>
      <c r="U27" s="77"/>
      <c r="V27" s="77"/>
    </row>
    <row r="28" spans="2:23" s="6" customFormat="1" ht="18.75" customHeight="1" x14ac:dyDescent="0.35">
      <c r="B28" s="94" t="s">
        <v>85</v>
      </c>
      <c r="C28" s="125">
        <v>-881</v>
      </c>
      <c r="D28" s="126">
        <v>-815</v>
      </c>
      <c r="E28" s="126">
        <v>-307</v>
      </c>
      <c r="F28" s="126">
        <v>-196</v>
      </c>
      <c r="G28" s="127">
        <f>[18]DRE!$C$22</f>
        <v>-1</v>
      </c>
      <c r="H28" s="127">
        <v>0</v>
      </c>
      <c r="I28" s="127">
        <v>0</v>
      </c>
      <c r="J28" s="125">
        <f>-126-SUM(G28:I28)</f>
        <v>-125</v>
      </c>
      <c r="K28" s="127">
        <v>-302</v>
      </c>
      <c r="L28" s="127">
        <v>-49</v>
      </c>
      <c r="M28" s="127">
        <v>-764</v>
      </c>
      <c r="N28" s="125">
        <v>101</v>
      </c>
      <c r="O28" s="127">
        <v>-29</v>
      </c>
      <c r="P28" s="127">
        <v>-242</v>
      </c>
      <c r="Q28" s="127">
        <v>-280</v>
      </c>
      <c r="R28" s="125">
        <v>-380</v>
      </c>
      <c r="S28" s="127">
        <v>-433</v>
      </c>
      <c r="T28" s="127">
        <v>-284</v>
      </c>
      <c r="U28" s="127">
        <v>135</v>
      </c>
      <c r="V28" s="127">
        <v>-285</v>
      </c>
    </row>
    <row r="29" spans="2:23" s="6" customFormat="1" ht="18.75" customHeight="1" x14ac:dyDescent="0.35">
      <c r="B29" s="94" t="s">
        <v>86</v>
      </c>
      <c r="C29" s="125">
        <v>458</v>
      </c>
      <c r="D29" s="126">
        <v>1589</v>
      </c>
      <c r="E29" s="126">
        <v>629</v>
      </c>
      <c r="F29" s="126">
        <v>-218</v>
      </c>
      <c r="G29" s="127">
        <f>[18]DRE!$C$23</f>
        <v>-162</v>
      </c>
      <c r="H29" s="127">
        <v>-180</v>
      </c>
      <c r="I29" s="127">
        <v>-696</v>
      </c>
      <c r="J29" s="125">
        <f>-1490-SUM(G29:I29)</f>
        <v>-452</v>
      </c>
      <c r="K29" s="127">
        <v>18</v>
      </c>
      <c r="L29" s="127">
        <v>-137</v>
      </c>
      <c r="M29" s="127">
        <v>46</v>
      </c>
      <c r="N29" s="125">
        <v>-5</v>
      </c>
      <c r="O29" s="127">
        <v>-141</v>
      </c>
      <c r="P29" s="127">
        <v>98</v>
      </c>
      <c r="Q29" s="127">
        <v>69</v>
      </c>
      <c r="R29" s="125">
        <v>-20</v>
      </c>
      <c r="S29" s="127">
        <v>166</v>
      </c>
      <c r="T29" s="127">
        <v>64</v>
      </c>
      <c r="U29" s="127">
        <v>12</v>
      </c>
      <c r="V29" s="127">
        <v>-52</v>
      </c>
    </row>
    <row r="30" spans="2:23" s="6" customFormat="1" ht="8.25" customHeight="1" x14ac:dyDescent="0.35">
      <c r="B30" s="98"/>
      <c r="C30" s="128"/>
      <c r="D30" s="129"/>
      <c r="E30" s="129"/>
      <c r="F30" s="129"/>
      <c r="G30" s="130"/>
      <c r="H30" s="130"/>
      <c r="I30" s="130"/>
      <c r="J30" s="128"/>
      <c r="K30" s="130"/>
      <c r="L30" s="130"/>
      <c r="M30" s="130"/>
      <c r="N30" s="128"/>
      <c r="O30" s="130"/>
      <c r="P30" s="130"/>
      <c r="Q30" s="130"/>
      <c r="R30" s="128"/>
      <c r="S30" s="130"/>
      <c r="T30" s="130"/>
      <c r="U30" s="130"/>
      <c r="V30" s="130"/>
    </row>
    <row r="31" spans="2:23" s="6" customFormat="1" ht="18" x14ac:dyDescent="0.35">
      <c r="B31" s="95" t="s">
        <v>87</v>
      </c>
      <c r="C31" s="121">
        <v>1123</v>
      </c>
      <c r="D31" s="122">
        <v>-1161</v>
      </c>
      <c r="E31" s="122">
        <v>-315</v>
      </c>
      <c r="F31" s="122">
        <v>1151</v>
      </c>
      <c r="G31" s="123">
        <f>[18]DRE!$C$25</f>
        <v>247</v>
      </c>
      <c r="H31" s="123">
        <v>263</v>
      </c>
      <c r="I31" s="123">
        <v>1078</v>
      </c>
      <c r="J31" s="121">
        <f>3193-SUM(G31:I31)</f>
        <v>1605</v>
      </c>
      <c r="K31" s="123">
        <v>477</v>
      </c>
      <c r="L31" s="123">
        <v>302</v>
      </c>
      <c r="M31" s="123">
        <v>1336</v>
      </c>
      <c r="N31" s="121">
        <v>96</v>
      </c>
      <c r="O31" s="123">
        <v>234</v>
      </c>
      <c r="P31" s="123">
        <v>188</v>
      </c>
      <c r="Q31" s="123">
        <v>335</v>
      </c>
      <c r="R31" s="121">
        <v>3148</v>
      </c>
      <c r="S31" s="123">
        <v>492</v>
      </c>
      <c r="T31" s="123">
        <v>382</v>
      </c>
      <c r="U31" s="123">
        <v>598</v>
      </c>
      <c r="V31" s="123">
        <v>1025</v>
      </c>
      <c r="W31" s="12"/>
    </row>
    <row r="32" spans="2:23" x14ac:dyDescent="0.25">
      <c r="B32" s="99" t="s">
        <v>88</v>
      </c>
      <c r="C32" s="131">
        <f t="shared" ref="C32:I32" si="0">C31/1165</f>
        <v>0.96394849785407721</v>
      </c>
      <c r="D32" s="132">
        <f t="shared" si="0"/>
        <v>-0.99656652360515019</v>
      </c>
      <c r="E32" s="132">
        <f t="shared" si="0"/>
        <v>-0.27038626609442062</v>
      </c>
      <c r="F32" s="132">
        <f t="shared" si="0"/>
        <v>0.98798283261802577</v>
      </c>
      <c r="G32" s="133">
        <f t="shared" si="0"/>
        <v>0.21201716738197424</v>
      </c>
      <c r="H32" s="133">
        <f t="shared" si="0"/>
        <v>0.22575107296137339</v>
      </c>
      <c r="I32" s="133">
        <f t="shared" si="0"/>
        <v>0.92532188841201712</v>
      </c>
      <c r="J32" s="131">
        <f t="shared" ref="J32:U32" si="1">J31/1165</f>
        <v>1.3776824034334765</v>
      </c>
      <c r="K32" s="133">
        <f t="shared" si="1"/>
        <v>0.40944206008583689</v>
      </c>
      <c r="L32" s="133">
        <f t="shared" si="1"/>
        <v>0.2592274678111588</v>
      </c>
      <c r="M32" s="133">
        <f t="shared" si="1"/>
        <v>1.1467811158798282</v>
      </c>
      <c r="N32" s="134">
        <f t="shared" si="1"/>
        <v>8.2403433476394852E-2</v>
      </c>
      <c r="O32" s="133">
        <f t="shared" si="1"/>
        <v>0.20085836909871244</v>
      </c>
      <c r="P32" s="133">
        <f t="shared" si="1"/>
        <v>0.16137339055793992</v>
      </c>
      <c r="Q32" s="133">
        <f t="shared" si="1"/>
        <v>0.28755364806866951</v>
      </c>
      <c r="R32" s="134">
        <f t="shared" si="1"/>
        <v>2.702145922746781</v>
      </c>
      <c r="S32" s="133">
        <f t="shared" si="1"/>
        <v>0.42231759656652362</v>
      </c>
      <c r="T32" s="133">
        <f t="shared" si="1"/>
        <v>0.3278969957081545</v>
      </c>
      <c r="U32" s="133">
        <f t="shared" si="1"/>
        <v>0.51330472103004288</v>
      </c>
      <c r="V32" s="133">
        <v>0.87982832618025753</v>
      </c>
      <c r="W32" s="19"/>
    </row>
    <row r="33" spans="2:23" ht="15" x14ac:dyDescent="0.25">
      <c r="B33" s="100"/>
      <c r="C33" s="135"/>
      <c r="D33" s="136"/>
      <c r="E33" s="136"/>
      <c r="F33" s="136"/>
      <c r="G33" s="136"/>
      <c r="H33" s="136"/>
      <c r="I33" s="136"/>
      <c r="J33" s="136"/>
      <c r="K33" s="136"/>
      <c r="L33" s="136"/>
      <c r="M33" s="136"/>
      <c r="N33" s="136"/>
      <c r="O33" s="136"/>
      <c r="P33" s="136"/>
      <c r="Q33" s="136"/>
      <c r="R33" s="136"/>
      <c r="S33" s="136"/>
      <c r="T33" s="136"/>
      <c r="U33" s="136"/>
      <c r="V33" s="136"/>
      <c r="W33" s="19"/>
    </row>
    <row r="34" spans="2:23" ht="15" x14ac:dyDescent="0.25">
      <c r="B34" s="101" t="s">
        <v>89</v>
      </c>
      <c r="C34" s="135"/>
      <c r="D34" s="136"/>
      <c r="E34" s="136"/>
      <c r="F34" s="136"/>
      <c r="G34" s="136"/>
      <c r="H34" s="136"/>
      <c r="I34" s="136"/>
      <c r="J34" s="136"/>
      <c r="K34" s="136"/>
      <c r="L34" s="136"/>
      <c r="M34" s="136"/>
      <c r="N34" s="136"/>
      <c r="O34" s="136"/>
      <c r="P34" s="136"/>
      <c r="Q34" s="136"/>
      <c r="R34" s="136"/>
      <c r="S34" s="136"/>
      <c r="T34" s="136"/>
      <c r="U34" s="136"/>
      <c r="V34" s="136"/>
      <c r="W34" s="19"/>
    </row>
    <row r="35" spans="2:23" x14ac:dyDescent="0.25">
      <c r="B35" s="102"/>
      <c r="C35" s="135"/>
      <c r="D35" s="136"/>
      <c r="E35" s="136"/>
      <c r="F35" s="136"/>
      <c r="G35" s="136"/>
      <c r="H35" s="136"/>
      <c r="I35" s="136"/>
      <c r="J35" s="136"/>
      <c r="K35" s="136"/>
      <c r="L35" s="136"/>
      <c r="M35" s="136"/>
      <c r="N35" s="136"/>
      <c r="O35" s="136"/>
      <c r="P35" s="136"/>
      <c r="Q35" s="136"/>
      <c r="R35" s="136"/>
      <c r="S35" s="136"/>
      <c r="T35" s="136"/>
      <c r="U35" s="136"/>
      <c r="V35" s="136"/>
      <c r="W35" s="19"/>
    </row>
    <row r="36" spans="2:23" x14ac:dyDescent="0.25">
      <c r="B36" s="102"/>
    </row>
    <row r="37" spans="2:23" x14ac:dyDescent="0.25">
      <c r="B37" s="102"/>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W76"/>
  <sheetViews>
    <sheetView showGridLines="0" zoomScale="70" zoomScaleNormal="70" workbookViewId="0">
      <pane xSplit="2" ySplit="5" topLeftCell="S6" activePane="bottomRight" state="frozen"/>
      <selection pane="topRight"/>
      <selection pane="bottomLeft"/>
      <selection pane="bottomRight" activeCell="V14" sqref="V14"/>
    </sheetView>
  </sheetViews>
  <sheetFormatPr defaultColWidth="9.140625" defaultRowHeight="15.75" outlineLevelCol="1" x14ac:dyDescent="0.25"/>
  <cols>
    <col min="1" max="1" width="2" customWidth="1"/>
    <col min="2" max="2" width="68.85546875" style="84" customWidth="1"/>
    <col min="3" max="3" width="11.140625" style="137" customWidth="1" outlineLevel="1"/>
    <col min="4" max="5" width="11.140625" style="63" customWidth="1" outlineLevel="1"/>
    <col min="6" max="6" width="11.140625" style="64" customWidth="1" outlineLevel="1"/>
    <col min="7" max="9" width="11.140625" style="63" customWidth="1" outlineLevel="1"/>
    <col min="10" max="10" width="11.140625" style="64" customWidth="1" outlineLevel="1"/>
    <col min="11" max="13" width="11.140625" style="63" customWidth="1" outlineLevel="1"/>
    <col min="14" max="14" width="11.140625" style="64" customWidth="1" outlineLevel="1"/>
    <col min="15" max="17" width="11.140625" style="63" customWidth="1" outlineLevel="1"/>
    <col min="18" max="18" width="11.140625" style="64" customWidth="1" outlineLevel="1"/>
    <col min="19" max="22" width="11.140625" style="63" customWidth="1"/>
    <col min="23" max="23" width="12.85546875" style="1" customWidth="1"/>
  </cols>
  <sheetData>
    <row r="1" spans="1:23" ht="41.25" customHeight="1" x14ac:dyDescent="0.25">
      <c r="A1" s="2"/>
      <c r="C1" s="108"/>
      <c r="D1" s="59"/>
      <c r="E1" s="59"/>
      <c r="F1" s="60"/>
      <c r="G1" s="59"/>
      <c r="H1" s="59"/>
      <c r="I1" s="59"/>
      <c r="J1" s="60"/>
      <c r="K1" s="59"/>
      <c r="L1" s="59"/>
      <c r="M1" s="59"/>
      <c r="N1" s="60"/>
      <c r="O1" s="59"/>
      <c r="P1" s="59"/>
      <c r="Q1" s="59"/>
      <c r="R1" s="60"/>
      <c r="S1" s="59"/>
      <c r="T1" s="59"/>
      <c r="U1" s="59"/>
      <c r="V1" s="59"/>
    </row>
    <row r="2" spans="1:23" ht="18" x14ac:dyDescent="0.25">
      <c r="A2" s="13"/>
      <c r="B2" s="85" t="s">
        <v>299</v>
      </c>
      <c r="C2" s="110"/>
      <c r="D2" s="110"/>
      <c r="E2" s="110"/>
      <c r="F2" s="110"/>
      <c r="G2" s="61"/>
      <c r="H2" s="61"/>
      <c r="I2" s="61"/>
      <c r="J2" s="110"/>
      <c r="K2" s="61"/>
      <c r="L2" s="61"/>
      <c r="M2" s="61"/>
      <c r="N2" s="110"/>
      <c r="O2" s="61"/>
      <c r="P2" s="61"/>
      <c r="Q2" s="61"/>
      <c r="R2" s="110"/>
      <c r="S2" s="61"/>
      <c r="T2" s="61"/>
      <c r="U2" s="61"/>
      <c r="V2" s="61"/>
    </row>
    <row r="3" spans="1:23" ht="9.75" customHeight="1" x14ac:dyDescent="0.25">
      <c r="C3" s="64"/>
      <c r="D3" s="64"/>
      <c r="E3" s="64"/>
      <c r="W3"/>
    </row>
    <row r="4" spans="1:23" x14ac:dyDescent="0.25">
      <c r="B4" s="86"/>
      <c r="C4" s="67">
        <v>2014</v>
      </c>
      <c r="D4" s="67">
        <v>2015</v>
      </c>
      <c r="E4" s="67">
        <v>2016</v>
      </c>
      <c r="F4" s="67">
        <v>2017</v>
      </c>
      <c r="G4" s="65" t="s">
        <v>278</v>
      </c>
      <c r="H4" s="66" t="s">
        <v>279</v>
      </c>
      <c r="I4" s="66" t="s">
        <v>280</v>
      </c>
      <c r="J4" s="67" t="s">
        <v>281</v>
      </c>
      <c r="K4" s="66" t="s">
        <v>282</v>
      </c>
      <c r="L4" s="66" t="s">
        <v>283</v>
      </c>
      <c r="M4" s="66" t="s">
        <v>284</v>
      </c>
      <c r="N4" s="67" t="s">
        <v>285</v>
      </c>
      <c r="O4" s="66" t="s">
        <v>286</v>
      </c>
      <c r="P4" s="66" t="s">
        <v>287</v>
      </c>
      <c r="Q4" s="66" t="s">
        <v>288</v>
      </c>
      <c r="R4" s="67" t="s">
        <v>289</v>
      </c>
      <c r="S4" s="66" t="s">
        <v>290</v>
      </c>
      <c r="T4" s="66" t="s">
        <v>291</v>
      </c>
      <c r="U4" s="66" t="s">
        <v>292</v>
      </c>
      <c r="V4" s="66" t="s">
        <v>566</v>
      </c>
      <c r="W4"/>
    </row>
    <row r="5" spans="1:23" x14ac:dyDescent="0.25">
      <c r="B5" s="87"/>
      <c r="C5" s="69">
        <v>40542</v>
      </c>
      <c r="D5" s="69">
        <v>40907</v>
      </c>
      <c r="E5" s="69">
        <v>41273</v>
      </c>
      <c r="F5" s="69">
        <v>41638</v>
      </c>
      <c r="G5" s="68">
        <v>41728</v>
      </c>
      <c r="H5" s="68">
        <v>41819</v>
      </c>
      <c r="I5" s="68">
        <v>41911</v>
      </c>
      <c r="J5" s="69">
        <v>42003</v>
      </c>
      <c r="K5" s="68">
        <v>42093</v>
      </c>
      <c r="L5" s="68">
        <v>42184</v>
      </c>
      <c r="M5" s="68">
        <v>42276</v>
      </c>
      <c r="N5" s="69">
        <v>42368</v>
      </c>
      <c r="O5" s="68">
        <v>42459</v>
      </c>
      <c r="P5" s="68">
        <v>42550</v>
      </c>
      <c r="Q5" s="68">
        <v>42642</v>
      </c>
      <c r="R5" s="69">
        <v>42734</v>
      </c>
      <c r="S5" s="68">
        <v>42824</v>
      </c>
      <c r="T5" s="68">
        <v>42915</v>
      </c>
      <c r="U5" s="68">
        <v>43007</v>
      </c>
      <c r="V5" s="69">
        <v>43099</v>
      </c>
      <c r="W5"/>
    </row>
    <row r="6" spans="1:23" ht="8.25" customHeight="1" x14ac:dyDescent="0.25">
      <c r="C6" s="112"/>
      <c r="D6" s="112"/>
      <c r="E6" s="112"/>
      <c r="F6" s="112"/>
      <c r="G6" s="111"/>
      <c r="H6" s="59"/>
      <c r="I6" s="59"/>
      <c r="J6" s="112"/>
      <c r="K6" s="59"/>
      <c r="L6" s="59"/>
      <c r="M6" s="59"/>
      <c r="N6" s="112"/>
      <c r="O6" s="59"/>
      <c r="P6" s="59"/>
      <c r="Q6" s="59"/>
      <c r="R6" s="112"/>
      <c r="S6" s="59"/>
      <c r="T6" s="59"/>
      <c r="U6" s="59"/>
      <c r="V6" s="59"/>
      <c r="W6"/>
    </row>
    <row r="7" spans="1:23" s="15" customFormat="1" ht="18" x14ac:dyDescent="0.25">
      <c r="B7" s="88" t="s">
        <v>91</v>
      </c>
      <c r="C7" s="150"/>
      <c r="D7" s="150"/>
      <c r="E7" s="150"/>
      <c r="F7" s="150"/>
      <c r="G7" s="70"/>
      <c r="H7" s="70"/>
      <c r="I7" s="70"/>
      <c r="J7" s="150"/>
      <c r="K7" s="70"/>
      <c r="L7" s="72"/>
      <c r="M7" s="72"/>
      <c r="N7" s="150"/>
      <c r="O7" s="72"/>
      <c r="P7" s="72"/>
      <c r="Q7" s="72"/>
      <c r="R7" s="150"/>
      <c r="S7" s="72"/>
      <c r="T7" s="74"/>
      <c r="U7" s="72"/>
      <c r="V7" s="72"/>
      <c r="W7" s="16"/>
    </row>
    <row r="8" spans="1:23" s="17" customFormat="1" ht="18.75" x14ac:dyDescent="0.3">
      <c r="B8" s="138" t="s">
        <v>176</v>
      </c>
      <c r="C8" s="151">
        <f>C10+C23</f>
        <v>27619</v>
      </c>
      <c r="D8" s="151">
        <f>D10+D23</f>
        <v>31241</v>
      </c>
      <c r="E8" s="151">
        <f t="shared" ref="E8:U8" si="0">E10+E23</f>
        <v>31398</v>
      </c>
      <c r="F8" s="151">
        <f t="shared" si="0"/>
        <v>23762</v>
      </c>
      <c r="G8" s="152">
        <f t="shared" si="0"/>
        <v>23372</v>
      </c>
      <c r="H8" s="152">
        <f t="shared" si="0"/>
        <v>23634</v>
      </c>
      <c r="I8" s="152">
        <f t="shared" si="0"/>
        <v>23833</v>
      </c>
      <c r="J8" s="151">
        <f t="shared" si="0"/>
        <v>25345</v>
      </c>
      <c r="K8" s="152">
        <f t="shared" si="0"/>
        <v>26669</v>
      </c>
      <c r="L8" s="152">
        <f t="shared" si="0"/>
        <v>24771</v>
      </c>
      <c r="M8" s="152">
        <f t="shared" si="0"/>
        <v>26685</v>
      </c>
      <c r="N8" s="151">
        <f t="shared" si="0"/>
        <v>25866</v>
      </c>
      <c r="O8" s="152">
        <f t="shared" si="0"/>
        <v>28823</v>
      </c>
      <c r="P8" s="152">
        <f t="shared" si="0"/>
        <v>27669</v>
      </c>
      <c r="Q8" s="152">
        <f t="shared" si="0"/>
        <v>27763</v>
      </c>
      <c r="R8" s="151">
        <f t="shared" si="0"/>
        <v>28327</v>
      </c>
      <c r="S8" s="152">
        <f t="shared" si="0"/>
        <v>29259</v>
      </c>
      <c r="T8" s="152">
        <f t="shared" si="0"/>
        <v>28564</v>
      </c>
      <c r="U8" s="152">
        <f t="shared" si="0"/>
        <v>29562</v>
      </c>
      <c r="V8" s="152">
        <f t="shared" ref="V8" si="1">V10+V23</f>
        <v>33884</v>
      </c>
    </row>
    <row r="9" spans="1:23" s="24" customFormat="1" ht="6.75" customHeight="1" x14ac:dyDescent="0.3">
      <c r="B9" s="139"/>
      <c r="C9" s="153"/>
      <c r="D9" s="153"/>
      <c r="E9" s="153"/>
      <c r="F9" s="153"/>
      <c r="G9" s="154"/>
      <c r="H9" s="154"/>
      <c r="I9" s="154"/>
      <c r="J9" s="153"/>
      <c r="K9" s="154"/>
      <c r="L9" s="154"/>
      <c r="M9" s="154"/>
      <c r="N9" s="153"/>
      <c r="O9" s="154"/>
      <c r="P9" s="154"/>
      <c r="Q9" s="154"/>
      <c r="R9" s="153"/>
      <c r="S9" s="154"/>
      <c r="T9" s="154"/>
      <c r="U9" s="154"/>
      <c r="V9" s="154"/>
    </row>
    <row r="10" spans="1:23" s="23" customFormat="1" x14ac:dyDescent="0.25">
      <c r="B10" s="140" t="s">
        <v>85</v>
      </c>
      <c r="C10" s="155">
        <v>11272</v>
      </c>
      <c r="D10" s="155">
        <v>12844</v>
      </c>
      <c r="E10" s="155">
        <v>12289</v>
      </c>
      <c r="F10" s="155">
        <v>10703</v>
      </c>
      <c r="G10" s="156">
        <f>SUM(G11:G21)</f>
        <v>10418</v>
      </c>
      <c r="H10" s="156">
        <f>SUM(H11:H21)</f>
        <v>10875</v>
      </c>
      <c r="I10" s="156">
        <f>SUM(I11:I21)</f>
        <v>11722</v>
      </c>
      <c r="J10" s="155">
        <v>12803</v>
      </c>
      <c r="K10" s="156">
        <f>SUM(K11:K21)</f>
        <v>13229</v>
      </c>
      <c r="L10" s="156">
        <f>SUM(L11:L22)</f>
        <v>11612</v>
      </c>
      <c r="M10" s="156">
        <f>SUM(M11:M21)</f>
        <v>13345</v>
      </c>
      <c r="N10" s="155">
        <v>12225</v>
      </c>
      <c r="O10" s="156">
        <v>15068</v>
      </c>
      <c r="P10" s="156">
        <v>13944</v>
      </c>
      <c r="Q10" s="156">
        <v>13571</v>
      </c>
      <c r="R10" s="155">
        <v>13351</v>
      </c>
      <c r="S10" s="156">
        <v>14690</v>
      </c>
      <c r="T10" s="156">
        <v>14457</v>
      </c>
      <c r="U10" s="156">
        <v>15205</v>
      </c>
      <c r="V10" s="156">
        <v>17760</v>
      </c>
    </row>
    <row r="11" spans="1:23" s="9" customFormat="1" ht="18" x14ac:dyDescent="0.2">
      <c r="B11" s="171" t="s">
        <v>92</v>
      </c>
      <c r="C11" s="157">
        <v>742</v>
      </c>
      <c r="D11" s="157">
        <v>810</v>
      </c>
      <c r="E11" s="157">
        <v>655</v>
      </c>
      <c r="F11" s="157">
        <v>483</v>
      </c>
      <c r="G11" s="158">
        <v>1105</v>
      </c>
      <c r="H11" s="158">
        <v>1352</v>
      </c>
      <c r="I11" s="158">
        <v>1500</v>
      </c>
      <c r="J11" s="157">
        <v>3057</v>
      </c>
      <c r="K11" s="158">
        <v>3849</v>
      </c>
      <c r="L11" s="158">
        <v>1885</v>
      </c>
      <c r="M11" s="158">
        <v>3909</v>
      </c>
      <c r="N11" s="157">
        <v>2362</v>
      </c>
      <c r="O11" s="158">
        <v>5997</v>
      </c>
      <c r="P11" s="158">
        <v>5307</v>
      </c>
      <c r="Q11" s="158">
        <v>4476</v>
      </c>
      <c r="R11" s="157">
        <v>3358</v>
      </c>
      <c r="S11" s="158">
        <v>3893</v>
      </c>
      <c r="T11" s="158">
        <v>2311</v>
      </c>
      <c r="U11" s="158">
        <v>2030</v>
      </c>
      <c r="V11" s="158">
        <v>3625</v>
      </c>
    </row>
    <row r="12" spans="1:23" s="9" customFormat="1" ht="18" x14ac:dyDescent="0.2">
      <c r="B12" s="171" t="s">
        <v>93</v>
      </c>
      <c r="C12" s="157">
        <v>6863</v>
      </c>
      <c r="D12" s="157">
        <v>8114</v>
      </c>
      <c r="E12" s="157">
        <v>7679</v>
      </c>
      <c r="F12" s="157">
        <v>5528</v>
      </c>
      <c r="G12" s="158">
        <v>4894</v>
      </c>
      <c r="H12" s="158">
        <v>4878</v>
      </c>
      <c r="I12" s="158">
        <v>5336</v>
      </c>
      <c r="J12" s="157">
        <v>5327</v>
      </c>
      <c r="K12" s="158">
        <v>4992</v>
      </c>
      <c r="L12" s="158">
        <v>5128</v>
      </c>
      <c r="M12" s="158">
        <v>4602</v>
      </c>
      <c r="N12" s="157">
        <v>4475</v>
      </c>
      <c r="O12" s="158">
        <v>3805</v>
      </c>
      <c r="P12" s="158">
        <v>3696</v>
      </c>
      <c r="Q12" s="158">
        <v>3696</v>
      </c>
      <c r="R12" s="157">
        <v>3997</v>
      </c>
      <c r="S12" s="158">
        <v>4062</v>
      </c>
      <c r="T12" s="158">
        <v>4620</v>
      </c>
      <c r="U12" s="158">
        <v>5563</v>
      </c>
      <c r="V12" s="158">
        <v>5587</v>
      </c>
    </row>
    <row r="13" spans="1:23" s="9" customFormat="1" ht="18" x14ac:dyDescent="0.2">
      <c r="B13" s="171" t="s">
        <v>94</v>
      </c>
      <c r="C13" s="157">
        <v>2606</v>
      </c>
      <c r="D13" s="157">
        <v>2843</v>
      </c>
      <c r="E13" s="157">
        <v>2678</v>
      </c>
      <c r="F13" s="157">
        <v>3245</v>
      </c>
      <c r="G13" s="158">
        <v>3076</v>
      </c>
      <c r="H13" s="158">
        <v>3154</v>
      </c>
      <c r="I13" s="158">
        <v>3313</v>
      </c>
      <c r="J13" s="157">
        <v>2923</v>
      </c>
      <c r="K13" s="158">
        <v>2878</v>
      </c>
      <c r="L13" s="158">
        <v>3030</v>
      </c>
      <c r="M13" s="158">
        <v>3053</v>
      </c>
      <c r="N13" s="157">
        <v>3412</v>
      </c>
      <c r="O13" s="158">
        <v>2996</v>
      </c>
      <c r="P13" s="158">
        <v>2347</v>
      </c>
      <c r="Q13" s="158">
        <v>2948</v>
      </c>
      <c r="R13" s="157">
        <v>3545</v>
      </c>
      <c r="S13" s="158">
        <v>3561</v>
      </c>
      <c r="T13" s="158">
        <v>4637</v>
      </c>
      <c r="U13" s="158">
        <v>4814</v>
      </c>
      <c r="V13" s="158">
        <v>5674</v>
      </c>
    </row>
    <row r="14" spans="1:23" s="9" customFormat="1" ht="18" x14ac:dyDescent="0.2">
      <c r="B14" s="171" t="s">
        <v>95</v>
      </c>
      <c r="C14" s="157">
        <v>140</v>
      </c>
      <c r="D14" s="157">
        <v>112</v>
      </c>
      <c r="E14" s="157">
        <v>62</v>
      </c>
      <c r="F14" s="157">
        <v>74</v>
      </c>
      <c r="G14" s="158">
        <v>34</v>
      </c>
      <c r="H14" s="158">
        <v>21</v>
      </c>
      <c r="I14" s="158">
        <v>35</v>
      </c>
      <c r="J14" s="157">
        <v>12</v>
      </c>
      <c r="K14" s="158">
        <v>25</v>
      </c>
      <c r="L14" s="158">
        <v>10</v>
      </c>
      <c r="M14" s="158">
        <v>23</v>
      </c>
      <c r="N14" s="157">
        <v>29</v>
      </c>
      <c r="O14" s="158">
        <v>38</v>
      </c>
      <c r="P14" s="158">
        <v>34</v>
      </c>
      <c r="Q14" s="158">
        <v>18</v>
      </c>
      <c r="R14" s="157">
        <v>55</v>
      </c>
      <c r="S14" s="158">
        <v>22</v>
      </c>
      <c r="T14" s="158">
        <v>16</v>
      </c>
      <c r="U14" s="158">
        <v>61</v>
      </c>
      <c r="V14" s="158">
        <v>47</v>
      </c>
    </row>
    <row r="15" spans="1:23" s="9" customFormat="1" ht="18" x14ac:dyDescent="0.2">
      <c r="B15" s="171" t="s">
        <v>96</v>
      </c>
      <c r="C15" s="157">
        <v>0</v>
      </c>
      <c r="D15" s="157">
        <v>0</v>
      </c>
      <c r="E15" s="157">
        <v>219</v>
      </c>
      <c r="F15" s="157">
        <v>151</v>
      </c>
      <c r="G15" s="158">
        <v>166</v>
      </c>
      <c r="H15" s="158">
        <v>177</v>
      </c>
      <c r="I15" s="158">
        <v>106</v>
      </c>
      <c r="J15" s="157">
        <v>13</v>
      </c>
      <c r="K15" s="158">
        <v>3</v>
      </c>
      <c r="L15" s="158">
        <v>43</v>
      </c>
      <c r="M15" s="158">
        <v>4</v>
      </c>
      <c r="N15" s="157">
        <v>224</v>
      </c>
      <c r="O15" s="158">
        <v>286</v>
      </c>
      <c r="P15" s="158">
        <v>227</v>
      </c>
      <c r="Q15" s="158">
        <v>109</v>
      </c>
      <c r="R15" s="157">
        <v>126</v>
      </c>
      <c r="S15" s="158">
        <v>126</v>
      </c>
      <c r="T15" s="158">
        <v>126</v>
      </c>
      <c r="U15" s="158">
        <v>126</v>
      </c>
      <c r="V15" s="158">
        <v>143</v>
      </c>
    </row>
    <row r="16" spans="1:23" s="9" customFormat="1" ht="18" x14ac:dyDescent="0.2">
      <c r="B16" s="171" t="s">
        <v>97</v>
      </c>
      <c r="C16" s="157">
        <v>502</v>
      </c>
      <c r="D16" s="157">
        <v>424</v>
      </c>
      <c r="E16" s="157">
        <v>372</v>
      </c>
      <c r="F16" s="157">
        <v>522</v>
      </c>
      <c r="G16" s="158">
        <v>438</v>
      </c>
      <c r="H16" s="158">
        <v>556</v>
      </c>
      <c r="I16" s="158">
        <v>697</v>
      </c>
      <c r="J16" s="157">
        <v>722</v>
      </c>
      <c r="K16" s="158">
        <v>768</v>
      </c>
      <c r="L16" s="158">
        <v>748</v>
      </c>
      <c r="M16" s="158">
        <v>914</v>
      </c>
      <c r="N16" s="157">
        <v>906</v>
      </c>
      <c r="O16" s="158">
        <v>1017</v>
      </c>
      <c r="P16" s="158">
        <v>1529</v>
      </c>
      <c r="Q16" s="158">
        <v>1525</v>
      </c>
      <c r="R16" s="157">
        <v>1417</v>
      </c>
      <c r="S16" s="158">
        <v>2098</v>
      </c>
      <c r="T16" s="158">
        <v>1857</v>
      </c>
      <c r="U16" s="158">
        <v>1603</v>
      </c>
      <c r="V16" s="158">
        <v>1701</v>
      </c>
    </row>
    <row r="17" spans="2:23" s="9" customFormat="1" ht="18" x14ac:dyDescent="0.2">
      <c r="B17" s="171" t="s">
        <v>98</v>
      </c>
      <c r="C17" s="157">
        <v>0</v>
      </c>
      <c r="D17" s="157">
        <v>0</v>
      </c>
      <c r="E17" s="157">
        <v>540</v>
      </c>
      <c r="F17" s="157">
        <v>514</v>
      </c>
      <c r="G17" s="158">
        <v>531</v>
      </c>
      <c r="H17" s="158">
        <v>546</v>
      </c>
      <c r="I17" s="158">
        <v>557</v>
      </c>
      <c r="J17" s="157">
        <v>591</v>
      </c>
      <c r="K17" s="158">
        <v>545</v>
      </c>
      <c r="L17" s="158">
        <v>575</v>
      </c>
      <c r="M17" s="158">
        <v>583</v>
      </c>
      <c r="N17" s="157">
        <v>604</v>
      </c>
      <c r="O17" s="158">
        <v>602</v>
      </c>
      <c r="P17" s="158">
        <v>601</v>
      </c>
      <c r="Q17" s="158">
        <v>550</v>
      </c>
      <c r="R17" s="157">
        <v>592</v>
      </c>
      <c r="S17" s="158">
        <v>593</v>
      </c>
      <c r="T17" s="158">
        <v>658</v>
      </c>
      <c r="U17" s="158">
        <v>652</v>
      </c>
      <c r="V17" s="158">
        <v>541</v>
      </c>
    </row>
    <row r="18" spans="2:23" s="9" customFormat="1" ht="18" x14ac:dyDescent="0.2">
      <c r="B18" s="171" t="s">
        <v>99</v>
      </c>
      <c r="C18" s="157">
        <v>380</v>
      </c>
      <c r="D18" s="157">
        <v>498</v>
      </c>
      <c r="E18" s="157">
        <v>47</v>
      </c>
      <c r="F18" s="157">
        <v>40</v>
      </c>
      <c r="G18" s="158">
        <v>61</v>
      </c>
      <c r="H18" s="158">
        <v>60</v>
      </c>
      <c r="I18" s="158">
        <v>60</v>
      </c>
      <c r="J18" s="157">
        <v>45</v>
      </c>
      <c r="K18" s="158">
        <v>48</v>
      </c>
      <c r="L18" s="158">
        <v>51</v>
      </c>
      <c r="M18" s="158">
        <v>49</v>
      </c>
      <c r="N18" s="157">
        <v>56</v>
      </c>
      <c r="O18" s="158">
        <v>63</v>
      </c>
      <c r="P18" s="158">
        <v>65</v>
      </c>
      <c r="Q18" s="158">
        <v>59</v>
      </c>
      <c r="R18" s="157">
        <v>60</v>
      </c>
      <c r="S18" s="158">
        <v>94</v>
      </c>
      <c r="T18" s="158">
        <v>100</v>
      </c>
      <c r="U18" s="158">
        <v>92</v>
      </c>
      <c r="V18" s="158">
        <v>131</v>
      </c>
    </row>
    <row r="19" spans="2:23" s="9" customFormat="1" ht="18" x14ac:dyDescent="0.2">
      <c r="B19" s="171" t="s">
        <v>100</v>
      </c>
      <c r="C19" s="157">
        <v>0</v>
      </c>
      <c r="D19" s="157">
        <v>0</v>
      </c>
      <c r="E19" s="157">
        <v>0</v>
      </c>
      <c r="F19" s="157">
        <v>0</v>
      </c>
      <c r="G19" s="158">
        <v>0</v>
      </c>
      <c r="H19" s="158">
        <v>0</v>
      </c>
      <c r="I19" s="158">
        <v>0</v>
      </c>
      <c r="J19" s="157">
        <v>0</v>
      </c>
      <c r="K19" s="158">
        <v>0</v>
      </c>
      <c r="L19" s="158">
        <v>0</v>
      </c>
      <c r="M19" s="158">
        <v>0</v>
      </c>
      <c r="N19" s="157">
        <v>9</v>
      </c>
      <c r="O19" s="158">
        <v>175</v>
      </c>
      <c r="P19" s="158">
        <v>16</v>
      </c>
      <c r="Q19" s="158">
        <v>91</v>
      </c>
      <c r="R19" s="157">
        <v>19</v>
      </c>
      <c r="S19" s="158">
        <v>108</v>
      </c>
      <c r="T19" s="158">
        <v>41</v>
      </c>
      <c r="U19" s="158">
        <v>112</v>
      </c>
      <c r="V19" s="158">
        <v>97</v>
      </c>
    </row>
    <row r="20" spans="2:23" s="9" customFormat="1" ht="18" x14ac:dyDescent="0.2">
      <c r="B20" s="171" t="s">
        <v>101</v>
      </c>
      <c r="C20" s="157">
        <v>0</v>
      </c>
      <c r="D20" s="157">
        <v>0</v>
      </c>
      <c r="E20" s="157">
        <v>0</v>
      </c>
      <c r="F20" s="157">
        <v>2</v>
      </c>
      <c r="G20" s="158">
        <v>0</v>
      </c>
      <c r="H20" s="158">
        <v>0</v>
      </c>
      <c r="I20" s="158">
        <v>0</v>
      </c>
      <c r="J20" s="157">
        <v>15</v>
      </c>
      <c r="K20" s="158">
        <v>16</v>
      </c>
      <c r="L20" s="158">
        <v>19</v>
      </c>
      <c r="M20" s="158">
        <v>16</v>
      </c>
      <c r="N20" s="157">
        <v>38</v>
      </c>
      <c r="O20" s="158">
        <v>38</v>
      </c>
      <c r="P20" s="158">
        <v>14</v>
      </c>
      <c r="Q20" s="158">
        <v>11</v>
      </c>
      <c r="R20" s="157">
        <v>11</v>
      </c>
      <c r="S20" s="158">
        <v>11</v>
      </c>
      <c r="T20" s="158">
        <v>11</v>
      </c>
      <c r="U20" s="158">
        <v>20</v>
      </c>
      <c r="V20" s="158">
        <v>11</v>
      </c>
    </row>
    <row r="21" spans="2:23" s="9" customFormat="1" ht="18" x14ac:dyDescent="0.2">
      <c r="B21" s="171" t="s">
        <v>102</v>
      </c>
      <c r="C21" s="157">
        <v>39</v>
      </c>
      <c r="D21" s="157">
        <v>43</v>
      </c>
      <c r="E21" s="157">
        <v>37</v>
      </c>
      <c r="F21" s="157">
        <v>144</v>
      </c>
      <c r="G21" s="158">
        <v>113</v>
      </c>
      <c r="H21" s="158">
        <v>131</v>
      </c>
      <c r="I21" s="158">
        <v>118</v>
      </c>
      <c r="J21" s="157">
        <v>98</v>
      </c>
      <c r="K21" s="158">
        <v>105</v>
      </c>
      <c r="L21" s="158">
        <v>123</v>
      </c>
      <c r="M21" s="158">
        <v>192</v>
      </c>
      <c r="N21" s="157">
        <v>110</v>
      </c>
      <c r="O21" s="158">
        <v>51</v>
      </c>
      <c r="P21" s="158">
        <v>108</v>
      </c>
      <c r="Q21" s="158">
        <v>88</v>
      </c>
      <c r="R21" s="157">
        <v>171</v>
      </c>
      <c r="S21" s="158">
        <v>122</v>
      </c>
      <c r="T21" s="158">
        <v>80</v>
      </c>
      <c r="U21" s="158">
        <v>132</v>
      </c>
      <c r="V21" s="158">
        <v>203</v>
      </c>
    </row>
    <row r="22" spans="2:23" s="9" customFormat="1" ht="5.25" customHeight="1" x14ac:dyDescent="0.25">
      <c r="B22" s="141"/>
      <c r="C22" s="159"/>
      <c r="D22" s="159"/>
      <c r="E22" s="159"/>
      <c r="F22" s="159"/>
      <c r="G22" s="160"/>
      <c r="H22" s="160"/>
      <c r="I22" s="160"/>
      <c r="J22" s="159"/>
      <c r="K22" s="160"/>
      <c r="L22" s="160"/>
      <c r="M22" s="160"/>
      <c r="N22" s="159"/>
      <c r="O22" s="160"/>
      <c r="P22" s="160"/>
      <c r="Q22" s="160"/>
      <c r="R22" s="159"/>
      <c r="S22" s="160"/>
      <c r="T22" s="160"/>
      <c r="U22" s="160"/>
      <c r="V22" s="160"/>
    </row>
    <row r="23" spans="2:23" s="23" customFormat="1" x14ac:dyDescent="0.25">
      <c r="B23" s="140" t="s">
        <v>103</v>
      </c>
      <c r="C23" s="155">
        <v>16347</v>
      </c>
      <c r="D23" s="155">
        <v>18397</v>
      </c>
      <c r="E23" s="155">
        <v>19109</v>
      </c>
      <c r="F23" s="155">
        <v>13059</v>
      </c>
      <c r="G23" s="156">
        <f>SUM(G24:G36)</f>
        <v>12954</v>
      </c>
      <c r="H23" s="156">
        <f>SUM(H24:H36)</f>
        <v>12759</v>
      </c>
      <c r="I23" s="156">
        <f>SUM(I24:I36)</f>
        <v>12111</v>
      </c>
      <c r="J23" s="155">
        <v>12542</v>
      </c>
      <c r="K23" s="156">
        <f>SUM(K24:K36)</f>
        <v>13440</v>
      </c>
      <c r="L23" s="156">
        <f>SUM(L24:L36)</f>
        <v>13159</v>
      </c>
      <c r="M23" s="156">
        <f>SUM(M24:M36)</f>
        <v>13340</v>
      </c>
      <c r="N23" s="155">
        <v>13641</v>
      </c>
      <c r="O23" s="156">
        <v>13755</v>
      </c>
      <c r="P23" s="156">
        <v>13725</v>
      </c>
      <c r="Q23" s="156">
        <v>14192</v>
      </c>
      <c r="R23" s="155">
        <v>14976</v>
      </c>
      <c r="S23" s="156">
        <v>14569</v>
      </c>
      <c r="T23" s="156">
        <v>14107</v>
      </c>
      <c r="U23" s="156">
        <v>14357</v>
      </c>
      <c r="V23" s="156">
        <v>16124</v>
      </c>
    </row>
    <row r="24" spans="2:23" s="20" customFormat="1" ht="18" x14ac:dyDescent="0.2">
      <c r="B24" s="171" t="s">
        <v>93</v>
      </c>
      <c r="C24" s="157">
        <v>6051</v>
      </c>
      <c r="D24" s="157">
        <v>6206</v>
      </c>
      <c r="E24" s="157">
        <v>6250</v>
      </c>
      <c r="F24" s="157">
        <v>376</v>
      </c>
      <c r="G24" s="158">
        <v>374</v>
      </c>
      <c r="H24" s="158">
        <v>375</v>
      </c>
      <c r="I24" s="158">
        <v>362</v>
      </c>
      <c r="J24" s="157">
        <v>1155</v>
      </c>
      <c r="K24" s="158">
        <v>994</v>
      </c>
      <c r="L24" s="158">
        <v>835</v>
      </c>
      <c r="M24" s="158">
        <v>723</v>
      </c>
      <c r="N24" s="157">
        <v>592</v>
      </c>
      <c r="O24" s="158">
        <v>472</v>
      </c>
      <c r="P24" s="158">
        <v>415</v>
      </c>
      <c r="Q24" s="158">
        <v>688</v>
      </c>
      <c r="R24" s="157">
        <v>752</v>
      </c>
      <c r="S24" s="158">
        <v>747</v>
      </c>
      <c r="T24" s="158">
        <v>636</v>
      </c>
      <c r="U24" s="158">
        <v>540</v>
      </c>
      <c r="V24" s="158">
        <v>2018</v>
      </c>
    </row>
    <row r="25" spans="2:23" s="9" customFormat="1" ht="18" x14ac:dyDescent="0.2">
      <c r="B25" s="171" t="s">
        <v>305</v>
      </c>
      <c r="C25" s="157">
        <v>23</v>
      </c>
      <c r="D25" s="157">
        <v>28</v>
      </c>
      <c r="E25" s="157">
        <v>0</v>
      </c>
      <c r="F25" s="157">
        <v>0</v>
      </c>
      <c r="G25" s="158">
        <v>0</v>
      </c>
      <c r="H25" s="158">
        <v>0</v>
      </c>
      <c r="I25" s="158">
        <v>0</v>
      </c>
      <c r="J25" s="157">
        <v>0</v>
      </c>
      <c r="K25" s="158">
        <v>0</v>
      </c>
      <c r="L25" s="158">
        <v>0</v>
      </c>
      <c r="M25" s="158">
        <v>0</v>
      </c>
      <c r="N25" s="157">
        <v>0</v>
      </c>
      <c r="O25" s="158">
        <v>0</v>
      </c>
      <c r="P25" s="158">
        <v>0</v>
      </c>
      <c r="Q25" s="158">
        <v>0</v>
      </c>
      <c r="R25" s="157">
        <v>0</v>
      </c>
      <c r="S25" s="158">
        <v>0</v>
      </c>
      <c r="T25" s="158">
        <v>0</v>
      </c>
      <c r="U25" s="158">
        <v>0</v>
      </c>
      <c r="V25" s="158">
        <v>526</v>
      </c>
    </row>
    <row r="26" spans="2:23" s="9" customFormat="1" ht="18" x14ac:dyDescent="0.2">
      <c r="B26" s="171" t="s">
        <v>104</v>
      </c>
      <c r="C26" s="157">
        <v>871</v>
      </c>
      <c r="D26" s="157">
        <v>798</v>
      </c>
      <c r="E26" s="157">
        <v>950</v>
      </c>
      <c r="F26" s="157">
        <v>1000</v>
      </c>
      <c r="G26" s="158">
        <v>1017</v>
      </c>
      <c r="H26" s="158">
        <v>1041</v>
      </c>
      <c r="I26" s="158">
        <v>1052</v>
      </c>
      <c r="J26" s="157">
        <v>1051</v>
      </c>
      <c r="K26" s="158">
        <v>1105</v>
      </c>
      <c r="L26" s="158">
        <v>1121</v>
      </c>
      <c r="M26" s="158">
        <v>1155</v>
      </c>
      <c r="N26" s="157">
        <v>1173</v>
      </c>
      <c r="O26" s="158">
        <v>1187</v>
      </c>
      <c r="P26" s="158">
        <v>1197</v>
      </c>
      <c r="Q26" s="158">
        <v>1180</v>
      </c>
      <c r="R26" s="157">
        <v>1164</v>
      </c>
      <c r="S26" s="158">
        <v>1153</v>
      </c>
      <c r="T26" s="158">
        <v>1174</v>
      </c>
      <c r="U26" s="158">
        <v>1118</v>
      </c>
      <c r="V26" s="158">
        <v>1124</v>
      </c>
    </row>
    <row r="27" spans="2:23" s="9" customFormat="1" ht="18" x14ac:dyDescent="0.2">
      <c r="B27" s="171" t="s">
        <v>97</v>
      </c>
      <c r="C27" s="157">
        <v>314</v>
      </c>
      <c r="D27" s="157">
        <v>377</v>
      </c>
      <c r="E27" s="157">
        <v>366</v>
      </c>
      <c r="F27" s="157">
        <v>541</v>
      </c>
      <c r="G27" s="158">
        <v>549</v>
      </c>
      <c r="H27" s="158">
        <v>559</v>
      </c>
      <c r="I27" s="158">
        <v>594</v>
      </c>
      <c r="J27" s="157">
        <v>498</v>
      </c>
      <c r="K27" s="158">
        <v>502</v>
      </c>
      <c r="L27" s="158">
        <v>548</v>
      </c>
      <c r="M27" s="158">
        <v>557</v>
      </c>
      <c r="N27" s="157">
        <v>607</v>
      </c>
      <c r="O27" s="158">
        <v>608</v>
      </c>
      <c r="P27" s="158">
        <v>588</v>
      </c>
      <c r="Q27" s="158">
        <v>519</v>
      </c>
      <c r="R27" s="157">
        <v>1422</v>
      </c>
      <c r="S27" s="158">
        <v>595</v>
      </c>
      <c r="T27" s="158">
        <v>610</v>
      </c>
      <c r="U27" s="158">
        <v>749</v>
      </c>
      <c r="V27" s="158">
        <v>773</v>
      </c>
    </row>
    <row r="28" spans="2:23" s="9" customFormat="1" ht="18" x14ac:dyDescent="0.2">
      <c r="B28" s="171" t="s">
        <v>105</v>
      </c>
      <c r="C28" s="157">
        <v>984</v>
      </c>
      <c r="D28" s="157">
        <v>2558</v>
      </c>
      <c r="E28" s="157">
        <v>3425</v>
      </c>
      <c r="F28" s="157">
        <v>3162</v>
      </c>
      <c r="G28" s="158">
        <v>3091</v>
      </c>
      <c r="H28" s="158">
        <v>2911</v>
      </c>
      <c r="I28" s="158">
        <v>2215</v>
      </c>
      <c r="J28" s="157">
        <v>1863</v>
      </c>
      <c r="K28" s="158">
        <v>1881</v>
      </c>
      <c r="L28" s="158">
        <v>1744</v>
      </c>
      <c r="M28" s="158">
        <v>1790</v>
      </c>
      <c r="N28" s="157">
        <v>1905</v>
      </c>
      <c r="O28" s="158">
        <v>1764</v>
      </c>
      <c r="P28" s="158">
        <v>1673</v>
      </c>
      <c r="Q28" s="158">
        <v>1725</v>
      </c>
      <c r="R28" s="157">
        <v>1705</v>
      </c>
      <c r="S28" s="158">
        <v>1871</v>
      </c>
      <c r="T28" s="158">
        <v>1935</v>
      </c>
      <c r="U28" s="158">
        <v>1947</v>
      </c>
      <c r="V28" s="158">
        <v>1596</v>
      </c>
    </row>
    <row r="29" spans="2:23" s="9" customFormat="1" ht="18" x14ac:dyDescent="0.2">
      <c r="B29" s="171" t="s">
        <v>98</v>
      </c>
      <c r="C29" s="157">
        <v>0</v>
      </c>
      <c r="D29" s="157">
        <v>0</v>
      </c>
      <c r="E29" s="157">
        <v>1419</v>
      </c>
      <c r="F29" s="157">
        <v>1469</v>
      </c>
      <c r="G29" s="158">
        <v>1444</v>
      </c>
      <c r="H29" s="158">
        <v>1408</v>
      </c>
      <c r="I29" s="158">
        <v>1418</v>
      </c>
      <c r="J29" s="157">
        <v>1467</v>
      </c>
      <c r="K29" s="158">
        <v>1557</v>
      </c>
      <c r="L29" s="158">
        <v>1681</v>
      </c>
      <c r="M29" s="158">
        <v>1830</v>
      </c>
      <c r="N29" s="157">
        <v>1926</v>
      </c>
      <c r="O29" s="158">
        <v>1879</v>
      </c>
      <c r="P29" s="158">
        <v>1819</v>
      </c>
      <c r="Q29" s="158">
        <v>1804</v>
      </c>
      <c r="R29" s="157">
        <v>1753</v>
      </c>
      <c r="S29" s="158">
        <v>1682</v>
      </c>
      <c r="T29" s="158">
        <v>1540</v>
      </c>
      <c r="U29" s="158">
        <v>1459</v>
      </c>
      <c r="V29" s="158">
        <v>1573</v>
      </c>
    </row>
    <row r="30" spans="2:23" s="9" customFormat="1" ht="18" x14ac:dyDescent="0.2">
      <c r="B30" s="171" t="s">
        <v>99</v>
      </c>
      <c r="C30" s="157">
        <v>1490</v>
      </c>
      <c r="D30" s="157">
        <v>1873</v>
      </c>
      <c r="E30" s="157">
        <v>183</v>
      </c>
      <c r="F30" s="157">
        <v>182</v>
      </c>
      <c r="G30" s="158">
        <v>190</v>
      </c>
      <c r="H30" s="158">
        <v>187</v>
      </c>
      <c r="I30" s="158">
        <v>185</v>
      </c>
      <c r="J30" s="157">
        <v>180</v>
      </c>
      <c r="K30" s="158">
        <v>176</v>
      </c>
      <c r="L30" s="158">
        <v>169</v>
      </c>
      <c r="M30" s="158">
        <v>163</v>
      </c>
      <c r="N30" s="157">
        <v>153</v>
      </c>
      <c r="O30" s="158">
        <v>150</v>
      </c>
      <c r="P30" s="158">
        <v>142</v>
      </c>
      <c r="Q30" s="158">
        <v>140</v>
      </c>
      <c r="R30" s="157">
        <v>139</v>
      </c>
      <c r="S30" s="158">
        <v>133</v>
      </c>
      <c r="T30" s="158">
        <v>124</v>
      </c>
      <c r="U30" s="158">
        <v>116</v>
      </c>
      <c r="V30" s="158">
        <v>104</v>
      </c>
    </row>
    <row r="31" spans="2:23" s="9" customFormat="1" ht="18" x14ac:dyDescent="0.2">
      <c r="B31" s="171" t="s">
        <v>110</v>
      </c>
      <c r="C31" s="157">
        <v>0</v>
      </c>
      <c r="D31" s="157">
        <v>0</v>
      </c>
      <c r="E31" s="157">
        <v>0</v>
      </c>
      <c r="F31" s="157">
        <v>0</v>
      </c>
      <c r="G31" s="158">
        <v>0</v>
      </c>
      <c r="H31" s="158">
        <v>0</v>
      </c>
      <c r="I31" s="158">
        <v>0</v>
      </c>
      <c r="J31" s="157">
        <v>0</v>
      </c>
      <c r="K31" s="158">
        <v>0</v>
      </c>
      <c r="L31" s="158">
        <v>0</v>
      </c>
      <c r="M31" s="158">
        <v>0</v>
      </c>
      <c r="N31" s="157">
        <v>0</v>
      </c>
      <c r="O31" s="158">
        <v>0</v>
      </c>
      <c r="P31" s="158">
        <v>0</v>
      </c>
      <c r="Q31" s="158">
        <v>0</v>
      </c>
      <c r="R31" s="157">
        <v>0</v>
      </c>
      <c r="S31" s="158">
        <v>0</v>
      </c>
      <c r="T31" s="158">
        <v>0</v>
      </c>
      <c r="U31" s="158">
        <v>0</v>
      </c>
      <c r="V31" s="158">
        <v>0</v>
      </c>
    </row>
    <row r="32" spans="2:23" s="9" customFormat="1" ht="18" x14ac:dyDescent="0.2">
      <c r="B32" s="171" t="s">
        <v>100</v>
      </c>
      <c r="C32" s="157">
        <v>0</v>
      </c>
      <c r="D32" s="157">
        <v>0</v>
      </c>
      <c r="E32" s="157">
        <v>0</v>
      </c>
      <c r="F32" s="157">
        <v>0</v>
      </c>
      <c r="G32" s="158">
        <v>0</v>
      </c>
      <c r="H32" s="158">
        <v>0</v>
      </c>
      <c r="I32" s="158">
        <v>0</v>
      </c>
      <c r="J32" s="157">
        <v>0</v>
      </c>
      <c r="K32" s="158">
        <v>0</v>
      </c>
      <c r="L32" s="158"/>
      <c r="M32" s="158">
        <v>0</v>
      </c>
      <c r="N32" s="157">
        <v>0</v>
      </c>
      <c r="O32" s="158">
        <v>421</v>
      </c>
      <c r="P32" s="158">
        <v>631</v>
      </c>
      <c r="Q32" s="158">
        <v>720</v>
      </c>
      <c r="R32" s="157">
        <v>498</v>
      </c>
      <c r="S32" s="158">
        <v>739</v>
      </c>
      <c r="T32" s="158">
        <v>332</v>
      </c>
      <c r="U32" s="158">
        <v>543</v>
      </c>
      <c r="V32" s="158">
        <v>579</v>
      </c>
      <c r="W32" s="21"/>
    </row>
    <row r="33" spans="2:23" s="23" customFormat="1" ht="15" x14ac:dyDescent="0.2">
      <c r="B33" s="171" t="s">
        <v>106</v>
      </c>
      <c r="C33" s="157">
        <v>15</v>
      </c>
      <c r="D33" s="157">
        <v>12</v>
      </c>
      <c r="E33" s="157">
        <v>24</v>
      </c>
      <c r="F33" s="157">
        <v>24</v>
      </c>
      <c r="G33" s="158">
        <v>25</v>
      </c>
      <c r="H33" s="158">
        <v>18</v>
      </c>
      <c r="I33" s="158">
        <v>16</v>
      </c>
      <c r="J33" s="157">
        <v>22</v>
      </c>
      <c r="K33" s="158">
        <v>16</v>
      </c>
      <c r="L33" s="158">
        <v>16</v>
      </c>
      <c r="M33" s="158">
        <v>15</v>
      </c>
      <c r="N33" s="157">
        <v>15</v>
      </c>
      <c r="O33" s="158">
        <v>15</v>
      </c>
      <c r="P33" s="158">
        <v>15</v>
      </c>
      <c r="Q33" s="158">
        <v>16</v>
      </c>
      <c r="R33" s="157">
        <v>14</v>
      </c>
      <c r="S33" s="158">
        <v>12</v>
      </c>
      <c r="T33" s="158">
        <v>12</v>
      </c>
      <c r="U33" s="158">
        <v>8</v>
      </c>
      <c r="V33" s="158">
        <v>7</v>
      </c>
      <c r="W33" s="22"/>
    </row>
    <row r="34" spans="2:23" s="23" customFormat="1" x14ac:dyDescent="0.2">
      <c r="B34" s="533" t="s">
        <v>107</v>
      </c>
      <c r="C34" s="157">
        <v>45</v>
      </c>
      <c r="D34" s="157">
        <v>46</v>
      </c>
      <c r="E34" s="157">
        <v>45</v>
      </c>
      <c r="F34" s="157">
        <v>36</v>
      </c>
      <c r="G34" s="158">
        <v>34</v>
      </c>
      <c r="H34" s="158">
        <v>33</v>
      </c>
      <c r="I34" s="158">
        <v>32</v>
      </c>
      <c r="J34" s="157">
        <v>33</v>
      </c>
      <c r="K34" s="158">
        <v>35</v>
      </c>
      <c r="L34" s="158">
        <v>36</v>
      </c>
      <c r="M34" s="158">
        <v>37</v>
      </c>
      <c r="N34" s="157">
        <v>47</v>
      </c>
      <c r="O34" s="158">
        <v>46</v>
      </c>
      <c r="P34" s="158">
        <v>47</v>
      </c>
      <c r="Q34" s="158">
        <v>427</v>
      </c>
      <c r="R34" s="157">
        <v>448</v>
      </c>
      <c r="S34" s="158">
        <v>479</v>
      </c>
      <c r="T34" s="158">
        <v>524</v>
      </c>
      <c r="U34" s="158">
        <v>601</v>
      </c>
      <c r="V34" s="158">
        <v>609</v>
      </c>
      <c r="W34" s="22"/>
    </row>
    <row r="35" spans="2:23" s="23" customFormat="1" x14ac:dyDescent="0.2">
      <c r="B35" s="533" t="s">
        <v>108</v>
      </c>
      <c r="C35" s="157">
        <v>6100</v>
      </c>
      <c r="D35" s="157">
        <v>6039</v>
      </c>
      <c r="E35" s="157">
        <v>5986</v>
      </c>
      <c r="F35" s="157">
        <v>5816</v>
      </c>
      <c r="G35" s="158">
        <v>5780</v>
      </c>
      <c r="H35" s="158">
        <v>5774</v>
      </c>
      <c r="I35" s="158">
        <v>5775</v>
      </c>
      <c r="J35" s="157">
        <v>5797</v>
      </c>
      <c r="K35" s="158">
        <v>6690</v>
      </c>
      <c r="L35" s="158">
        <v>6515</v>
      </c>
      <c r="M35" s="158">
        <v>6569</v>
      </c>
      <c r="N35" s="157">
        <v>6703</v>
      </c>
      <c r="O35" s="158">
        <v>6686</v>
      </c>
      <c r="P35" s="158">
        <v>6651</v>
      </c>
      <c r="Q35" s="158">
        <v>6642</v>
      </c>
      <c r="R35" s="157">
        <v>6723</v>
      </c>
      <c r="S35" s="158">
        <v>6720</v>
      </c>
      <c r="T35" s="158">
        <v>6693</v>
      </c>
      <c r="U35" s="158">
        <v>6691</v>
      </c>
      <c r="V35" s="158">
        <v>6762</v>
      </c>
      <c r="W35" s="22"/>
    </row>
    <row r="36" spans="2:23" s="23" customFormat="1" x14ac:dyDescent="0.2">
      <c r="B36" s="534" t="s">
        <v>109</v>
      </c>
      <c r="C36" s="157">
        <v>454</v>
      </c>
      <c r="D36" s="157">
        <v>460</v>
      </c>
      <c r="E36" s="157">
        <v>461</v>
      </c>
      <c r="F36" s="157">
        <v>453</v>
      </c>
      <c r="G36" s="158">
        <v>450</v>
      </c>
      <c r="H36" s="158">
        <v>453</v>
      </c>
      <c r="I36" s="158">
        <v>462</v>
      </c>
      <c r="J36" s="157">
        <v>476</v>
      </c>
      <c r="K36" s="158">
        <v>484</v>
      </c>
      <c r="L36" s="158">
        <v>494</v>
      </c>
      <c r="M36" s="158">
        <v>501</v>
      </c>
      <c r="N36" s="157">
        <v>520</v>
      </c>
      <c r="O36" s="158">
        <v>527</v>
      </c>
      <c r="P36" s="158">
        <v>547</v>
      </c>
      <c r="Q36" s="158">
        <v>331</v>
      </c>
      <c r="R36" s="157">
        <v>358</v>
      </c>
      <c r="S36" s="158">
        <v>438</v>
      </c>
      <c r="T36" s="158">
        <v>527</v>
      </c>
      <c r="U36" s="158">
        <v>585</v>
      </c>
      <c r="V36" s="158">
        <v>453</v>
      </c>
      <c r="W36" s="22"/>
    </row>
    <row r="37" spans="2:23" s="23" customFormat="1" ht="9.75" customHeight="1" x14ac:dyDescent="0.25">
      <c r="B37" s="142"/>
      <c r="C37" s="161"/>
      <c r="D37" s="161"/>
      <c r="E37" s="161"/>
      <c r="F37" s="161"/>
      <c r="G37" s="162"/>
      <c r="H37" s="162"/>
      <c r="I37" s="162"/>
      <c r="J37" s="161"/>
      <c r="K37" s="162"/>
      <c r="L37" s="162"/>
      <c r="M37" s="163"/>
      <c r="N37" s="161"/>
      <c r="O37" s="162"/>
      <c r="P37" s="162"/>
      <c r="Q37" s="162"/>
      <c r="R37" s="161"/>
      <c r="S37" s="162"/>
      <c r="T37" s="162"/>
      <c r="U37" s="162"/>
      <c r="V37" s="162"/>
    </row>
    <row r="38" spans="2:23" s="15" customFormat="1" ht="18" x14ac:dyDescent="0.25">
      <c r="B38" s="88" t="s">
        <v>111</v>
      </c>
      <c r="C38" s="150"/>
      <c r="D38" s="150"/>
      <c r="E38" s="150"/>
      <c r="F38" s="150"/>
      <c r="G38" s="70"/>
      <c r="H38" s="70"/>
      <c r="I38" s="70"/>
      <c r="J38" s="150"/>
      <c r="K38" s="70"/>
      <c r="L38" s="72"/>
      <c r="M38" s="72"/>
      <c r="N38" s="150"/>
      <c r="O38" s="72"/>
      <c r="P38" s="72"/>
      <c r="Q38" s="72"/>
      <c r="R38" s="150"/>
      <c r="S38" s="72"/>
      <c r="T38" s="74"/>
      <c r="U38" s="72"/>
      <c r="V38" s="72"/>
      <c r="W38" s="16"/>
    </row>
    <row r="39" spans="2:23" s="17" customFormat="1" ht="18.75" x14ac:dyDescent="0.3">
      <c r="B39" s="138" t="s">
        <v>176</v>
      </c>
      <c r="C39" s="151">
        <f>C41+C62+C70</f>
        <v>27619</v>
      </c>
      <c r="D39" s="151">
        <f t="shared" ref="D39:U39" si="2">D41+D62+D70</f>
        <v>31241</v>
      </c>
      <c r="E39" s="151">
        <f t="shared" si="2"/>
        <v>31398</v>
      </c>
      <c r="F39" s="151">
        <f t="shared" si="2"/>
        <v>23762</v>
      </c>
      <c r="G39" s="152">
        <f t="shared" si="2"/>
        <v>23372</v>
      </c>
      <c r="H39" s="152">
        <f t="shared" si="2"/>
        <v>23634</v>
      </c>
      <c r="I39" s="152">
        <f t="shared" si="2"/>
        <v>23833</v>
      </c>
      <c r="J39" s="151">
        <f t="shared" si="2"/>
        <v>25345</v>
      </c>
      <c r="K39" s="152">
        <f t="shared" si="2"/>
        <v>26669</v>
      </c>
      <c r="L39" s="152">
        <f t="shared" si="2"/>
        <v>24771</v>
      </c>
      <c r="M39" s="152">
        <f t="shared" si="2"/>
        <v>26685</v>
      </c>
      <c r="N39" s="151">
        <f t="shared" si="2"/>
        <v>25866</v>
      </c>
      <c r="O39" s="152">
        <f t="shared" si="2"/>
        <v>28823</v>
      </c>
      <c r="P39" s="152">
        <f t="shared" si="2"/>
        <v>27669</v>
      </c>
      <c r="Q39" s="152">
        <f t="shared" si="2"/>
        <v>27763</v>
      </c>
      <c r="R39" s="151">
        <f t="shared" si="2"/>
        <v>28327</v>
      </c>
      <c r="S39" s="152">
        <f t="shared" si="2"/>
        <v>29259</v>
      </c>
      <c r="T39" s="152">
        <f t="shared" si="2"/>
        <v>28564</v>
      </c>
      <c r="U39" s="152">
        <f t="shared" si="2"/>
        <v>29562</v>
      </c>
      <c r="V39" s="152">
        <f>V41+V62+V70</f>
        <v>33884</v>
      </c>
    </row>
    <row r="40" spans="2:23" s="24" customFormat="1" ht="9" customHeight="1" x14ac:dyDescent="0.3">
      <c r="B40" s="143"/>
      <c r="C40" s="153"/>
      <c r="D40" s="153"/>
      <c r="E40" s="153"/>
      <c r="F40" s="153"/>
      <c r="G40" s="164"/>
      <c r="H40" s="164"/>
      <c r="I40" s="164"/>
      <c r="J40" s="153"/>
      <c r="K40" s="164"/>
      <c r="L40" s="164"/>
      <c r="M40" s="164"/>
      <c r="N40" s="153"/>
      <c r="O40" s="164"/>
      <c r="P40" s="164"/>
      <c r="Q40" s="164"/>
      <c r="R40" s="153"/>
      <c r="S40" s="164"/>
      <c r="T40" s="164"/>
      <c r="U40" s="164"/>
      <c r="V40" s="164"/>
    </row>
    <row r="41" spans="2:23" s="23" customFormat="1" x14ac:dyDescent="0.25">
      <c r="B41" s="140" t="s">
        <v>85</v>
      </c>
      <c r="C41" s="155">
        <v>11937</v>
      </c>
      <c r="D41" s="155">
        <v>5592</v>
      </c>
      <c r="E41" s="155">
        <v>5629</v>
      </c>
      <c r="F41" s="155">
        <v>4413</v>
      </c>
      <c r="G41" s="156">
        <f>SUM(G42:G60)</f>
        <v>4330</v>
      </c>
      <c r="H41" s="156">
        <f>SUM(H42:H60)</f>
        <v>4606</v>
      </c>
      <c r="I41" s="156">
        <f>SUM(I42:I60)</f>
        <v>3967</v>
      </c>
      <c r="J41" s="155">
        <v>4561</v>
      </c>
      <c r="K41" s="156">
        <f>SUM(K42:K60)</f>
        <v>4651</v>
      </c>
      <c r="L41" s="156">
        <f>SUM(L42:L60)</f>
        <v>8633</v>
      </c>
      <c r="M41" s="156">
        <f>SUM(M42:M60)</f>
        <v>9131</v>
      </c>
      <c r="N41" s="155">
        <v>8599</v>
      </c>
      <c r="O41" s="156">
        <v>8162</v>
      </c>
      <c r="P41" s="156">
        <v>6080</v>
      </c>
      <c r="Q41" s="156">
        <v>6128</v>
      </c>
      <c r="R41" s="155">
        <v>6942</v>
      </c>
      <c r="S41" s="156">
        <v>4700</v>
      </c>
      <c r="T41" s="156">
        <v>5570</v>
      </c>
      <c r="U41" s="156">
        <v>6095</v>
      </c>
      <c r="V41" s="156">
        <v>7339</v>
      </c>
    </row>
    <row r="42" spans="2:23" ht="15" x14ac:dyDescent="0.25">
      <c r="B42" s="144" t="s">
        <v>141</v>
      </c>
      <c r="C42" s="157">
        <v>3168</v>
      </c>
      <c r="D42" s="157">
        <v>3047</v>
      </c>
      <c r="E42" s="157">
        <v>2650</v>
      </c>
      <c r="F42" s="157">
        <v>2682</v>
      </c>
      <c r="G42" s="158">
        <v>2318</v>
      </c>
      <c r="H42" s="158">
        <v>2095</v>
      </c>
      <c r="I42" s="158">
        <v>2229</v>
      </c>
      <c r="J42" s="157">
        <v>2219</v>
      </c>
      <c r="K42" s="158">
        <v>2103</v>
      </c>
      <c r="L42" s="158">
        <v>2092</v>
      </c>
      <c r="M42" s="158">
        <v>1847</v>
      </c>
      <c r="N42" s="157">
        <v>2307</v>
      </c>
      <c r="O42" s="158">
        <v>1549</v>
      </c>
      <c r="P42" s="158">
        <v>1313</v>
      </c>
      <c r="Q42" s="158">
        <v>1764</v>
      </c>
      <c r="R42" s="157">
        <v>2196</v>
      </c>
      <c r="S42" s="158">
        <v>1551</v>
      </c>
      <c r="T42" s="158">
        <v>2394</v>
      </c>
      <c r="U42" s="158">
        <v>3020</v>
      </c>
      <c r="V42" s="158">
        <v>3310</v>
      </c>
    </row>
    <row r="43" spans="2:23" ht="15" x14ac:dyDescent="0.25">
      <c r="B43" s="144" t="s">
        <v>162</v>
      </c>
      <c r="C43" s="157">
        <v>295</v>
      </c>
      <c r="D43" s="157">
        <v>644</v>
      </c>
      <c r="E43" s="157">
        <v>805</v>
      </c>
      <c r="F43" s="157">
        <v>185</v>
      </c>
      <c r="G43" s="158">
        <v>257</v>
      </c>
      <c r="H43" s="158">
        <v>178</v>
      </c>
      <c r="I43" s="158">
        <v>261</v>
      </c>
      <c r="J43" s="157">
        <v>210</v>
      </c>
      <c r="K43" s="158">
        <v>265</v>
      </c>
      <c r="L43" s="158">
        <v>3736</v>
      </c>
      <c r="M43" s="158">
        <v>3808</v>
      </c>
      <c r="N43" s="157">
        <v>4254</v>
      </c>
      <c r="O43" s="158">
        <v>4747</v>
      </c>
      <c r="P43" s="158">
        <v>2629</v>
      </c>
      <c r="Q43" s="158">
        <v>2603</v>
      </c>
      <c r="R43" s="157">
        <v>2082</v>
      </c>
      <c r="S43" s="158">
        <v>715</v>
      </c>
      <c r="T43" s="158">
        <v>657</v>
      </c>
      <c r="U43" s="158">
        <v>1215</v>
      </c>
      <c r="V43" s="158">
        <v>1339</v>
      </c>
    </row>
    <row r="44" spans="2:23" ht="15" x14ac:dyDescent="0.25">
      <c r="B44" s="144" t="s">
        <v>567</v>
      </c>
      <c r="C44" s="158">
        <v>0</v>
      </c>
      <c r="D44" s="158">
        <v>0</v>
      </c>
      <c r="E44" s="158">
        <v>0</v>
      </c>
      <c r="F44" s="158">
        <v>0</v>
      </c>
      <c r="G44" s="158">
        <v>0</v>
      </c>
      <c r="H44" s="158">
        <v>0</v>
      </c>
      <c r="I44" s="158">
        <v>0</v>
      </c>
      <c r="J44" s="158">
        <v>0</v>
      </c>
      <c r="K44" s="158">
        <v>0</v>
      </c>
      <c r="L44" s="158">
        <v>0</v>
      </c>
      <c r="M44" s="158">
        <v>0</v>
      </c>
      <c r="N44" s="158">
        <v>0</v>
      </c>
      <c r="O44" s="158">
        <v>0</v>
      </c>
      <c r="P44" s="158">
        <v>0</v>
      </c>
      <c r="Q44" s="158">
        <v>0</v>
      </c>
      <c r="R44" s="158">
        <v>0</v>
      </c>
      <c r="S44" s="158">
        <v>0</v>
      </c>
      <c r="T44" s="158">
        <v>0</v>
      </c>
      <c r="U44" s="158">
        <v>0</v>
      </c>
      <c r="V44" s="158">
        <v>529</v>
      </c>
    </row>
    <row r="45" spans="2:23" ht="15" x14ac:dyDescent="0.25">
      <c r="B45" s="145" t="s">
        <v>300</v>
      </c>
      <c r="C45" s="157">
        <v>6596</v>
      </c>
      <c r="D45" s="157">
        <v>0</v>
      </c>
      <c r="E45" s="157">
        <v>0</v>
      </c>
      <c r="F45" s="157">
        <v>0</v>
      </c>
      <c r="G45" s="158">
        <v>0</v>
      </c>
      <c r="H45" s="158">
        <v>0</v>
      </c>
      <c r="I45" s="158">
        <v>0</v>
      </c>
      <c r="J45" s="157">
        <v>0</v>
      </c>
      <c r="K45" s="158">
        <v>0</v>
      </c>
      <c r="L45" s="158">
        <v>0</v>
      </c>
      <c r="M45" s="158">
        <v>0</v>
      </c>
      <c r="N45" s="157">
        <v>0</v>
      </c>
      <c r="O45" s="158">
        <v>0</v>
      </c>
      <c r="P45" s="158">
        <v>0</v>
      </c>
      <c r="Q45" s="158">
        <v>0</v>
      </c>
      <c r="R45" s="157">
        <v>0</v>
      </c>
      <c r="S45" s="158">
        <v>0</v>
      </c>
      <c r="T45" s="158">
        <v>0</v>
      </c>
      <c r="U45" s="158">
        <v>0</v>
      </c>
      <c r="V45" s="158">
        <v>0</v>
      </c>
    </row>
    <row r="46" spans="2:23" ht="15" x14ac:dyDescent="0.25">
      <c r="B46" s="145" t="s">
        <v>301</v>
      </c>
      <c r="C46" s="157">
        <v>404</v>
      </c>
      <c r="D46" s="157">
        <v>24</v>
      </c>
      <c r="E46" s="157">
        <v>31</v>
      </c>
      <c r="F46" s="157">
        <v>26</v>
      </c>
      <c r="G46" s="158">
        <v>13</v>
      </c>
      <c r="H46" s="158">
        <v>104</v>
      </c>
      <c r="I46" s="158">
        <v>244</v>
      </c>
      <c r="J46" s="157">
        <v>31</v>
      </c>
      <c r="K46" s="158">
        <v>18</v>
      </c>
      <c r="L46" s="158">
        <v>8</v>
      </c>
      <c r="M46" s="158">
        <v>0</v>
      </c>
      <c r="N46" s="157">
        <v>0</v>
      </c>
      <c r="O46" s="158">
        <v>0</v>
      </c>
      <c r="P46" s="158">
        <v>0</v>
      </c>
      <c r="Q46" s="158">
        <v>0</v>
      </c>
      <c r="R46" s="157">
        <v>0</v>
      </c>
      <c r="S46" s="158">
        <v>0</v>
      </c>
      <c r="T46" s="158">
        <v>0</v>
      </c>
      <c r="U46" s="158">
        <v>0</v>
      </c>
      <c r="V46" s="158">
        <v>0</v>
      </c>
    </row>
    <row r="47" spans="2:23" ht="15" x14ac:dyDescent="0.25">
      <c r="B47" s="144" t="s">
        <v>166</v>
      </c>
      <c r="C47" s="157">
        <v>42</v>
      </c>
      <c r="D47" s="157">
        <v>48</v>
      </c>
      <c r="E47" s="157">
        <v>28</v>
      </c>
      <c r="F47" s="157">
        <v>29</v>
      </c>
      <c r="G47" s="158">
        <v>29</v>
      </c>
      <c r="H47" s="158">
        <v>31</v>
      </c>
      <c r="I47" s="158">
        <v>30</v>
      </c>
      <c r="J47" s="157">
        <v>29</v>
      </c>
      <c r="K47" s="158">
        <v>114</v>
      </c>
      <c r="L47" s="158">
        <v>111</v>
      </c>
      <c r="M47" s="158">
        <v>83</v>
      </c>
      <c r="N47" s="157">
        <v>87</v>
      </c>
      <c r="O47" s="158">
        <v>77</v>
      </c>
      <c r="P47" s="158">
        <v>103</v>
      </c>
      <c r="Q47" s="158">
        <v>110</v>
      </c>
      <c r="R47" s="157">
        <v>115</v>
      </c>
      <c r="S47" s="158">
        <v>125</v>
      </c>
      <c r="T47" s="158">
        <v>131</v>
      </c>
      <c r="U47" s="158">
        <v>127</v>
      </c>
      <c r="V47" s="158">
        <v>118</v>
      </c>
    </row>
    <row r="48" spans="2:23" ht="15" x14ac:dyDescent="0.25">
      <c r="B48" s="144" t="s">
        <v>148</v>
      </c>
      <c r="C48" s="157">
        <v>342</v>
      </c>
      <c r="D48" s="157">
        <v>424</v>
      </c>
      <c r="E48" s="157">
        <v>354</v>
      </c>
      <c r="F48" s="157">
        <v>363</v>
      </c>
      <c r="G48" s="158">
        <v>332</v>
      </c>
      <c r="H48" s="158">
        <v>304</v>
      </c>
      <c r="I48" s="158">
        <v>311</v>
      </c>
      <c r="J48" s="157">
        <v>299</v>
      </c>
      <c r="K48" s="158">
        <v>263</v>
      </c>
      <c r="L48" s="158">
        <v>267</v>
      </c>
      <c r="M48" s="158">
        <v>301</v>
      </c>
      <c r="N48" s="157">
        <v>285</v>
      </c>
      <c r="O48" s="158">
        <v>429</v>
      </c>
      <c r="P48" s="158">
        <v>409</v>
      </c>
      <c r="Q48" s="158">
        <v>552</v>
      </c>
      <c r="R48" s="157">
        <v>666</v>
      </c>
      <c r="S48" s="158">
        <v>592</v>
      </c>
      <c r="T48" s="158">
        <v>616</v>
      </c>
      <c r="U48" s="158">
        <v>674</v>
      </c>
      <c r="V48" s="158">
        <v>613</v>
      </c>
    </row>
    <row r="49" spans="2:22" ht="15" x14ac:dyDescent="0.25">
      <c r="B49" s="144" t="s">
        <v>177</v>
      </c>
      <c r="C49" s="157">
        <v>0</v>
      </c>
      <c r="D49" s="157">
        <v>0</v>
      </c>
      <c r="E49" s="157">
        <v>1</v>
      </c>
      <c r="F49" s="157">
        <v>1</v>
      </c>
      <c r="G49" s="158">
        <v>1</v>
      </c>
      <c r="H49" s="158">
        <v>1</v>
      </c>
      <c r="I49" s="158">
        <v>0</v>
      </c>
      <c r="J49" s="157">
        <v>45</v>
      </c>
      <c r="K49" s="158">
        <v>128</v>
      </c>
      <c r="L49" s="158">
        <v>1</v>
      </c>
      <c r="M49" s="158">
        <v>626</v>
      </c>
      <c r="N49" s="157">
        <v>1</v>
      </c>
      <c r="O49" s="158">
        <v>3</v>
      </c>
      <c r="P49" s="158">
        <v>166</v>
      </c>
      <c r="Q49" s="158">
        <v>65</v>
      </c>
      <c r="R49" s="157">
        <v>0</v>
      </c>
      <c r="S49" s="158">
        <v>419</v>
      </c>
      <c r="T49" s="158">
        <v>262</v>
      </c>
      <c r="U49" s="158">
        <v>4</v>
      </c>
      <c r="V49" s="158">
        <v>391</v>
      </c>
    </row>
    <row r="50" spans="2:22" ht="15" x14ac:dyDescent="0.25">
      <c r="B50" s="144" t="s">
        <v>178</v>
      </c>
      <c r="C50" s="157">
        <v>337</v>
      </c>
      <c r="D50" s="157">
        <v>249</v>
      </c>
      <c r="E50" s="157">
        <v>204</v>
      </c>
      <c r="F50" s="157">
        <v>277</v>
      </c>
      <c r="G50" s="158">
        <v>259</v>
      </c>
      <c r="H50" s="158">
        <v>288</v>
      </c>
      <c r="I50" s="158">
        <v>265</v>
      </c>
      <c r="J50" s="157">
        <v>300</v>
      </c>
      <c r="K50" s="158">
        <v>260</v>
      </c>
      <c r="L50" s="158">
        <v>295</v>
      </c>
      <c r="M50" s="158">
        <v>264</v>
      </c>
      <c r="N50" s="157">
        <v>315</v>
      </c>
      <c r="O50" s="158">
        <v>204</v>
      </c>
      <c r="P50" s="158">
        <v>284</v>
      </c>
      <c r="Q50" s="158">
        <v>340</v>
      </c>
      <c r="R50" s="157">
        <v>355</v>
      </c>
      <c r="S50" s="158">
        <v>300</v>
      </c>
      <c r="T50" s="158">
        <v>190</v>
      </c>
      <c r="U50" s="158">
        <v>279</v>
      </c>
      <c r="V50" s="158">
        <v>230</v>
      </c>
    </row>
    <row r="51" spans="2:22" ht="15" x14ac:dyDescent="0.25">
      <c r="B51" s="144" t="s">
        <v>179</v>
      </c>
      <c r="C51" s="157">
        <v>267</v>
      </c>
      <c r="D51" s="157">
        <v>616</v>
      </c>
      <c r="E51" s="157">
        <v>635</v>
      </c>
      <c r="F51" s="157">
        <v>273</v>
      </c>
      <c r="G51" s="158">
        <v>574</v>
      </c>
      <c r="H51" s="158">
        <v>1031</v>
      </c>
      <c r="I51" s="158">
        <v>0</v>
      </c>
      <c r="J51" s="157">
        <v>758</v>
      </c>
      <c r="K51" s="158">
        <v>771</v>
      </c>
      <c r="L51" s="158">
        <v>1514</v>
      </c>
      <c r="M51" s="158">
        <v>1538</v>
      </c>
      <c r="N51" s="157">
        <v>525</v>
      </c>
      <c r="O51" s="158">
        <v>531</v>
      </c>
      <c r="P51" s="158">
        <v>536</v>
      </c>
      <c r="Q51" s="158">
        <v>0</v>
      </c>
      <c r="R51" s="157">
        <v>942</v>
      </c>
      <c r="S51" s="158">
        <v>501</v>
      </c>
      <c r="T51" s="158">
        <v>717</v>
      </c>
      <c r="U51" s="158">
        <v>1</v>
      </c>
      <c r="V51" s="158">
        <v>132</v>
      </c>
    </row>
    <row r="52" spans="2:22" ht="15" x14ac:dyDescent="0.25">
      <c r="B52" s="144" t="s">
        <v>180</v>
      </c>
      <c r="C52" s="157">
        <v>190</v>
      </c>
      <c r="D52" s="157">
        <v>216</v>
      </c>
      <c r="E52" s="157">
        <v>246</v>
      </c>
      <c r="F52" s="157">
        <v>193</v>
      </c>
      <c r="G52" s="158">
        <v>224</v>
      </c>
      <c r="H52" s="158">
        <v>263</v>
      </c>
      <c r="I52" s="158">
        <v>326</v>
      </c>
      <c r="J52" s="157">
        <v>290</v>
      </c>
      <c r="K52" s="158">
        <v>213</v>
      </c>
      <c r="L52" s="158">
        <v>281</v>
      </c>
      <c r="M52" s="158">
        <v>270</v>
      </c>
      <c r="N52" s="157">
        <v>309</v>
      </c>
      <c r="O52" s="158">
        <v>193</v>
      </c>
      <c r="P52" s="158">
        <v>211</v>
      </c>
      <c r="Q52" s="158">
        <v>218</v>
      </c>
      <c r="R52" s="157">
        <v>233</v>
      </c>
      <c r="S52" s="158">
        <v>154</v>
      </c>
      <c r="T52" s="158">
        <v>171</v>
      </c>
      <c r="U52" s="158">
        <v>185</v>
      </c>
      <c r="V52" s="158">
        <v>222</v>
      </c>
    </row>
    <row r="53" spans="2:22" ht="15" x14ac:dyDescent="0.25">
      <c r="B53" s="145" t="s">
        <v>302</v>
      </c>
      <c r="C53" s="157">
        <v>0</v>
      </c>
      <c r="D53" s="157">
        <v>0</v>
      </c>
      <c r="E53" s="157">
        <v>0</v>
      </c>
      <c r="F53" s="157">
        <v>0</v>
      </c>
      <c r="G53" s="158"/>
      <c r="H53" s="158">
        <v>0</v>
      </c>
      <c r="I53" s="158">
        <v>0</v>
      </c>
      <c r="J53" s="157">
        <v>0</v>
      </c>
      <c r="K53" s="158">
        <v>54</v>
      </c>
      <c r="L53" s="158">
        <v>30</v>
      </c>
      <c r="M53" s="158">
        <v>41</v>
      </c>
      <c r="N53" s="157">
        <v>0</v>
      </c>
      <c r="O53" s="158">
        <v>0</v>
      </c>
      <c r="P53" s="158">
        <v>0</v>
      </c>
      <c r="Q53" s="158">
        <v>0</v>
      </c>
      <c r="R53" s="157">
        <v>0</v>
      </c>
      <c r="S53" s="158">
        <v>0</v>
      </c>
      <c r="T53" s="158">
        <v>0</v>
      </c>
      <c r="U53" s="158">
        <v>0</v>
      </c>
      <c r="V53" s="158">
        <v>0</v>
      </c>
    </row>
    <row r="54" spans="2:22" ht="15" x14ac:dyDescent="0.25">
      <c r="B54" s="145" t="s">
        <v>303</v>
      </c>
      <c r="C54" s="157">
        <v>9</v>
      </c>
      <c r="D54" s="157">
        <v>96</v>
      </c>
      <c r="E54" s="157">
        <v>445</v>
      </c>
      <c r="F54" s="157">
        <v>8</v>
      </c>
      <c r="G54" s="158">
        <v>30</v>
      </c>
      <c r="H54" s="158">
        <v>8</v>
      </c>
      <c r="I54" s="158">
        <v>8</v>
      </c>
      <c r="J54" s="157">
        <v>83</v>
      </c>
      <c r="K54" s="158">
        <v>69</v>
      </c>
      <c r="L54" s="158">
        <v>14</v>
      </c>
      <c r="M54" s="158">
        <v>9</v>
      </c>
      <c r="N54" s="157">
        <v>2</v>
      </c>
      <c r="O54" s="158">
        <v>1</v>
      </c>
      <c r="P54" s="158">
        <v>0</v>
      </c>
      <c r="Q54" s="158">
        <v>0</v>
      </c>
      <c r="R54" s="157">
        <v>0</v>
      </c>
      <c r="S54" s="158">
        <v>0</v>
      </c>
      <c r="T54" s="158">
        <v>0</v>
      </c>
      <c r="U54" s="158">
        <v>0</v>
      </c>
      <c r="V54" s="158">
        <v>0</v>
      </c>
    </row>
    <row r="55" spans="2:22" ht="15" x14ac:dyDescent="0.25">
      <c r="B55" s="145" t="s">
        <v>304</v>
      </c>
      <c r="C55" s="157">
        <v>61</v>
      </c>
      <c r="D55" s="157">
        <v>0</v>
      </c>
      <c r="E55" s="157">
        <v>0</v>
      </c>
      <c r="F55" s="157">
        <v>26</v>
      </c>
      <c r="G55" s="158">
        <v>0</v>
      </c>
      <c r="H55" s="158">
        <v>0</v>
      </c>
      <c r="I55" s="158">
        <v>0</v>
      </c>
      <c r="J55" s="157">
        <v>0</v>
      </c>
      <c r="K55" s="158">
        <v>80</v>
      </c>
      <c r="L55" s="158">
        <v>0</v>
      </c>
      <c r="M55" s="158">
        <v>0</v>
      </c>
      <c r="N55" s="157">
        <v>0</v>
      </c>
      <c r="O55" s="158">
        <v>0</v>
      </c>
      <c r="P55" s="158">
        <v>0</v>
      </c>
      <c r="Q55" s="158">
        <v>0</v>
      </c>
      <c r="R55" s="157">
        <v>0</v>
      </c>
      <c r="S55" s="158">
        <v>0</v>
      </c>
      <c r="T55" s="158">
        <v>0</v>
      </c>
      <c r="U55" s="158">
        <v>0</v>
      </c>
      <c r="V55" s="158">
        <v>0</v>
      </c>
    </row>
    <row r="56" spans="2:22" ht="15" x14ac:dyDescent="0.25">
      <c r="B56" s="145" t="s">
        <v>146</v>
      </c>
      <c r="C56" s="157">
        <v>0</v>
      </c>
      <c r="D56" s="157">
        <v>0</v>
      </c>
      <c r="E56" s="157">
        <v>0</v>
      </c>
      <c r="F56" s="157">
        <v>0</v>
      </c>
      <c r="G56" s="158">
        <v>0</v>
      </c>
      <c r="H56" s="158">
        <v>0</v>
      </c>
      <c r="I56" s="158">
        <v>0</v>
      </c>
      <c r="J56" s="157">
        <v>0</v>
      </c>
      <c r="K56" s="158">
        <v>0</v>
      </c>
      <c r="L56" s="158">
        <v>0</v>
      </c>
      <c r="M56" s="158">
        <v>0</v>
      </c>
      <c r="N56" s="157">
        <v>115</v>
      </c>
      <c r="O56" s="158">
        <v>9</v>
      </c>
      <c r="P56" s="158">
        <v>3</v>
      </c>
      <c r="Q56" s="158">
        <v>1</v>
      </c>
      <c r="R56" s="157">
        <v>1</v>
      </c>
      <c r="S56" s="158">
        <v>0</v>
      </c>
      <c r="T56" s="158">
        <v>0</v>
      </c>
      <c r="U56" s="158">
        <v>0</v>
      </c>
      <c r="V56" s="158">
        <v>0</v>
      </c>
    </row>
    <row r="57" spans="2:22" ht="15" x14ac:dyDescent="0.25">
      <c r="B57" s="144" t="s">
        <v>144</v>
      </c>
      <c r="C57" s="157">
        <v>83</v>
      </c>
      <c r="D57" s="157">
        <v>113</v>
      </c>
      <c r="E57" s="157">
        <v>139</v>
      </c>
      <c r="F57" s="157">
        <v>134</v>
      </c>
      <c r="G57" s="158">
        <v>140</v>
      </c>
      <c r="H57" s="158">
        <v>134</v>
      </c>
      <c r="I57" s="158">
        <v>140</v>
      </c>
      <c r="J57" s="157">
        <v>154</v>
      </c>
      <c r="K57" s="158">
        <v>158</v>
      </c>
      <c r="L57" s="158">
        <v>129</v>
      </c>
      <c r="M57" s="158">
        <v>128</v>
      </c>
      <c r="N57" s="157">
        <v>192</v>
      </c>
      <c r="O57" s="158">
        <v>192</v>
      </c>
      <c r="P57" s="158">
        <v>210</v>
      </c>
      <c r="Q57" s="158">
        <v>219</v>
      </c>
      <c r="R57" s="157">
        <v>102</v>
      </c>
      <c r="S57" s="158">
        <v>102</v>
      </c>
      <c r="T57" s="158">
        <v>102</v>
      </c>
      <c r="U57" s="158">
        <v>102</v>
      </c>
      <c r="V57" s="158">
        <v>108</v>
      </c>
    </row>
    <row r="58" spans="2:22" ht="15" x14ac:dyDescent="0.25">
      <c r="B58" s="144" t="s">
        <v>100</v>
      </c>
      <c r="C58" s="157">
        <v>0</v>
      </c>
      <c r="D58" s="157">
        <v>0</v>
      </c>
      <c r="E58" s="157">
        <v>0</v>
      </c>
      <c r="F58" s="157">
        <v>0</v>
      </c>
      <c r="G58" s="158">
        <v>0</v>
      </c>
      <c r="H58" s="158">
        <v>0</v>
      </c>
      <c r="I58" s="158">
        <v>0</v>
      </c>
      <c r="J58" s="157">
        <v>0</v>
      </c>
      <c r="K58" s="158">
        <v>0</v>
      </c>
      <c r="L58" s="158">
        <v>0</v>
      </c>
      <c r="M58" s="158">
        <v>0</v>
      </c>
      <c r="N58" s="157">
        <v>41</v>
      </c>
      <c r="O58" s="158">
        <v>45</v>
      </c>
      <c r="P58" s="158">
        <v>35</v>
      </c>
      <c r="Q58" s="158">
        <v>11</v>
      </c>
      <c r="R58" s="157">
        <v>81</v>
      </c>
      <c r="S58" s="158">
        <v>30</v>
      </c>
      <c r="T58" s="158">
        <v>23</v>
      </c>
      <c r="U58" s="158">
        <v>38</v>
      </c>
      <c r="V58" s="158">
        <v>31</v>
      </c>
    </row>
    <row r="59" spans="2:22" ht="15" x14ac:dyDescent="0.25">
      <c r="B59" s="144" t="s">
        <v>181</v>
      </c>
      <c r="C59" s="157">
        <v>0</v>
      </c>
      <c r="D59" s="157">
        <v>0</v>
      </c>
      <c r="E59" s="157">
        <v>0</v>
      </c>
      <c r="F59" s="157">
        <v>0</v>
      </c>
      <c r="G59" s="158">
        <v>0</v>
      </c>
      <c r="H59" s="158">
        <v>0</v>
      </c>
      <c r="I59" s="158">
        <v>0</v>
      </c>
      <c r="J59" s="157">
        <v>0</v>
      </c>
      <c r="K59" s="158">
        <v>0</v>
      </c>
      <c r="L59" s="158">
        <v>0</v>
      </c>
      <c r="M59" s="158">
        <v>0</v>
      </c>
      <c r="N59" s="157">
        <v>0</v>
      </c>
      <c r="O59" s="158">
        <v>0</v>
      </c>
      <c r="P59" s="158">
        <v>0</v>
      </c>
      <c r="Q59" s="158">
        <v>111</v>
      </c>
      <c r="R59" s="157">
        <v>0</v>
      </c>
      <c r="S59" s="158">
        <v>50</v>
      </c>
      <c r="T59" s="158">
        <v>100</v>
      </c>
      <c r="U59" s="158">
        <v>159</v>
      </c>
      <c r="V59" s="158">
        <v>0</v>
      </c>
    </row>
    <row r="60" spans="2:22" ht="15" x14ac:dyDescent="0.25">
      <c r="B60" s="144" t="s">
        <v>182</v>
      </c>
      <c r="C60" s="157">
        <v>143</v>
      </c>
      <c r="D60" s="157">
        <v>115</v>
      </c>
      <c r="E60" s="157">
        <v>91</v>
      </c>
      <c r="F60" s="157">
        <v>216</v>
      </c>
      <c r="G60" s="158">
        <v>153</v>
      </c>
      <c r="H60" s="158">
        <v>169</v>
      </c>
      <c r="I60" s="158">
        <v>153</v>
      </c>
      <c r="J60" s="157">
        <v>143</v>
      </c>
      <c r="K60" s="158">
        <v>155</v>
      </c>
      <c r="L60" s="158">
        <v>155</v>
      </c>
      <c r="M60" s="158">
        <v>216</v>
      </c>
      <c r="N60" s="157">
        <v>166</v>
      </c>
      <c r="O60" s="158">
        <v>182</v>
      </c>
      <c r="P60" s="158">
        <v>181</v>
      </c>
      <c r="Q60" s="158">
        <v>134</v>
      </c>
      <c r="R60" s="157">
        <v>169</v>
      </c>
      <c r="S60" s="158">
        <v>161</v>
      </c>
      <c r="T60" s="158">
        <v>207</v>
      </c>
      <c r="U60" s="158">
        <v>291</v>
      </c>
      <c r="V60" s="166">
        <v>316</v>
      </c>
    </row>
    <row r="61" spans="2:22" ht="9.75" customHeight="1" x14ac:dyDescent="0.25">
      <c r="B61" s="98"/>
      <c r="C61" s="165"/>
      <c r="D61" s="165"/>
      <c r="E61" s="165"/>
      <c r="F61" s="165"/>
      <c r="G61" s="166"/>
      <c r="H61" s="166"/>
      <c r="I61" s="166"/>
      <c r="J61" s="165"/>
      <c r="K61" s="166"/>
      <c r="L61" s="166"/>
      <c r="M61" s="166"/>
      <c r="N61" s="165"/>
      <c r="O61" s="166"/>
      <c r="P61" s="166"/>
      <c r="Q61" s="166"/>
      <c r="R61" s="165"/>
      <c r="S61" s="166"/>
      <c r="T61" s="166"/>
      <c r="U61" s="166"/>
      <c r="V61" s="166"/>
    </row>
    <row r="62" spans="2:22" s="23" customFormat="1" x14ac:dyDescent="0.25">
      <c r="B62" s="140" t="s">
        <v>103</v>
      </c>
      <c r="C62" s="155">
        <v>3561</v>
      </c>
      <c r="D62" s="155">
        <v>15724</v>
      </c>
      <c r="E62" s="155">
        <v>18359</v>
      </c>
      <c r="F62" s="155">
        <v>10523</v>
      </c>
      <c r="G62" s="156">
        <f>SUM(G63:G68)</f>
        <v>10532</v>
      </c>
      <c r="H62" s="156">
        <f>SUM(H63:H68)</f>
        <v>10688</v>
      </c>
      <c r="I62" s="156">
        <f>SUM(I63:I68)</f>
        <v>10448</v>
      </c>
      <c r="J62" s="155">
        <v>11098</v>
      </c>
      <c r="K62" s="156">
        <f>SUM(K63:K68)</f>
        <v>11855</v>
      </c>
      <c r="L62" s="156">
        <f>SUM(L63:L68)</f>
        <v>7872</v>
      </c>
      <c r="M62" s="156">
        <f>SUM(M63:M68)</f>
        <v>7952</v>
      </c>
      <c r="N62" s="155">
        <v>8501</v>
      </c>
      <c r="O62" s="156">
        <v>11661</v>
      </c>
      <c r="P62" s="156">
        <v>11776</v>
      </c>
      <c r="Q62" s="156">
        <v>12020</v>
      </c>
      <c r="R62" s="155">
        <v>9178</v>
      </c>
      <c r="S62" s="156">
        <v>11859</v>
      </c>
      <c r="T62" s="156">
        <v>11219</v>
      </c>
      <c r="U62" s="156">
        <v>12180</v>
      </c>
      <c r="V62" s="156">
        <v>14237</v>
      </c>
    </row>
    <row r="63" spans="2:22" ht="15" x14ac:dyDescent="0.25">
      <c r="B63" s="144" t="s">
        <v>162</v>
      </c>
      <c r="C63" s="157">
        <v>1072</v>
      </c>
      <c r="D63" s="157">
        <v>12250</v>
      </c>
      <c r="E63" s="157">
        <v>12009</v>
      </c>
      <c r="F63" s="157">
        <v>4455</v>
      </c>
      <c r="G63" s="158">
        <v>4328</v>
      </c>
      <c r="H63" s="158">
        <v>4343</v>
      </c>
      <c r="I63" s="158">
        <v>5291</v>
      </c>
      <c r="J63" s="157">
        <v>5314</v>
      </c>
      <c r="K63" s="158">
        <v>5169</v>
      </c>
      <c r="L63" s="158">
        <v>1676</v>
      </c>
      <c r="M63" s="158">
        <v>1681</v>
      </c>
      <c r="N63" s="157">
        <v>1703</v>
      </c>
      <c r="O63" s="158">
        <v>4784</v>
      </c>
      <c r="P63" s="158">
        <v>5795</v>
      </c>
      <c r="Q63" s="158">
        <v>5909</v>
      </c>
      <c r="R63" s="157">
        <v>5675</v>
      </c>
      <c r="S63" s="158">
        <v>8299</v>
      </c>
      <c r="T63" s="158">
        <v>7642</v>
      </c>
      <c r="U63" s="158">
        <v>8715</v>
      </c>
      <c r="V63" s="158">
        <v>11670</v>
      </c>
    </row>
    <row r="64" spans="2:22" ht="15" x14ac:dyDescent="0.25">
      <c r="B64" s="144" t="s">
        <v>166</v>
      </c>
      <c r="C64" s="157">
        <v>97</v>
      </c>
      <c r="D64" s="157">
        <v>81</v>
      </c>
      <c r="E64" s="157">
        <v>67</v>
      </c>
      <c r="F64" s="157">
        <v>43</v>
      </c>
      <c r="G64" s="158">
        <v>44</v>
      </c>
      <c r="H64" s="158">
        <v>43</v>
      </c>
      <c r="I64" s="158">
        <v>43</v>
      </c>
      <c r="J64" s="157">
        <v>19</v>
      </c>
      <c r="K64" s="158">
        <v>809</v>
      </c>
      <c r="L64" s="158">
        <v>632</v>
      </c>
      <c r="M64" s="158">
        <v>648</v>
      </c>
      <c r="N64" s="157">
        <v>731</v>
      </c>
      <c r="O64" s="158">
        <v>733</v>
      </c>
      <c r="P64" s="158">
        <v>693</v>
      </c>
      <c r="Q64" s="158">
        <v>669</v>
      </c>
      <c r="R64" s="157">
        <v>681</v>
      </c>
      <c r="S64" s="158">
        <v>709</v>
      </c>
      <c r="T64" s="158">
        <v>698</v>
      </c>
      <c r="U64" s="158">
        <v>731</v>
      </c>
      <c r="V64" s="158">
        <v>706</v>
      </c>
    </row>
    <row r="65" spans="2:22" ht="15" x14ac:dyDescent="0.25">
      <c r="B65" s="144" t="s">
        <v>144</v>
      </c>
      <c r="C65" s="157">
        <v>2001</v>
      </c>
      <c r="D65" s="157">
        <v>2262</v>
      </c>
      <c r="E65" s="157">
        <v>4172</v>
      </c>
      <c r="F65" s="157">
        <v>3932</v>
      </c>
      <c r="G65" s="158">
        <v>3997</v>
      </c>
      <c r="H65" s="158">
        <v>4059</v>
      </c>
      <c r="I65" s="158">
        <v>4120</v>
      </c>
      <c r="J65" s="157">
        <v>4755</v>
      </c>
      <c r="K65" s="158">
        <v>4831</v>
      </c>
      <c r="L65" s="158">
        <v>4498</v>
      </c>
      <c r="M65" s="158">
        <v>4563</v>
      </c>
      <c r="N65" s="157">
        <v>5019</v>
      </c>
      <c r="O65" s="158">
        <v>5085</v>
      </c>
      <c r="P65" s="158">
        <v>4309</v>
      </c>
      <c r="Q65" s="158">
        <v>4334</v>
      </c>
      <c r="R65" s="157">
        <v>1768</v>
      </c>
      <c r="S65" s="158">
        <v>1765</v>
      </c>
      <c r="T65" s="158">
        <v>1736</v>
      </c>
      <c r="U65" s="158">
        <v>1729</v>
      </c>
      <c r="V65" s="158">
        <v>751</v>
      </c>
    </row>
    <row r="66" spans="2:22" ht="15" x14ac:dyDescent="0.25">
      <c r="B66" s="144" t="s">
        <v>183</v>
      </c>
      <c r="C66" s="157">
        <v>0</v>
      </c>
      <c r="D66" s="157">
        <v>0</v>
      </c>
      <c r="E66" s="157">
        <v>0</v>
      </c>
      <c r="F66" s="157">
        <v>0</v>
      </c>
      <c r="G66" s="158">
        <v>0</v>
      </c>
      <c r="H66" s="158">
        <v>0</v>
      </c>
      <c r="I66" s="158">
        <v>0</v>
      </c>
      <c r="J66" s="157">
        <v>0</v>
      </c>
      <c r="K66" s="158">
        <v>0</v>
      </c>
      <c r="L66" s="158">
        <v>0</v>
      </c>
      <c r="M66" s="158">
        <v>0</v>
      </c>
      <c r="N66" s="157">
        <v>0</v>
      </c>
      <c r="O66" s="158">
        <v>0</v>
      </c>
      <c r="P66" s="158">
        <v>0</v>
      </c>
      <c r="Q66" s="158">
        <v>0</v>
      </c>
      <c r="R66" s="157">
        <v>0</v>
      </c>
      <c r="S66" s="158">
        <v>0</v>
      </c>
      <c r="T66" s="158">
        <v>202</v>
      </c>
      <c r="U66" s="158">
        <v>46</v>
      </c>
      <c r="V66" s="158">
        <v>41</v>
      </c>
    </row>
    <row r="67" spans="2:22" ht="15" x14ac:dyDescent="0.25">
      <c r="B67" s="144" t="s">
        <v>184</v>
      </c>
      <c r="C67" s="157">
        <v>357</v>
      </c>
      <c r="D67" s="157">
        <v>1105</v>
      </c>
      <c r="E67" s="157">
        <v>2090</v>
      </c>
      <c r="F67" s="157">
        <v>2079</v>
      </c>
      <c r="G67" s="158">
        <v>2151</v>
      </c>
      <c r="H67" s="158">
        <v>2232</v>
      </c>
      <c r="I67" s="158">
        <v>984</v>
      </c>
      <c r="J67" s="157">
        <v>1001</v>
      </c>
      <c r="K67" s="158">
        <v>1037</v>
      </c>
      <c r="L67" s="158">
        <v>1057</v>
      </c>
      <c r="M67" s="158">
        <v>1051</v>
      </c>
      <c r="N67" s="157">
        <v>1040</v>
      </c>
      <c r="O67" s="158">
        <v>1051</v>
      </c>
      <c r="P67" s="158">
        <v>970</v>
      </c>
      <c r="Q67" s="158">
        <v>964</v>
      </c>
      <c r="R67" s="157">
        <v>899</v>
      </c>
      <c r="S67" s="158">
        <v>918</v>
      </c>
      <c r="T67" s="158">
        <v>834</v>
      </c>
      <c r="U67" s="158">
        <v>852</v>
      </c>
      <c r="V67" s="158">
        <v>988</v>
      </c>
    </row>
    <row r="68" spans="2:22" ht="15" x14ac:dyDescent="0.25">
      <c r="B68" s="144" t="s">
        <v>182</v>
      </c>
      <c r="C68" s="157">
        <v>34</v>
      </c>
      <c r="D68" s="157">
        <v>26</v>
      </c>
      <c r="E68" s="157">
        <v>21</v>
      </c>
      <c r="F68" s="157">
        <v>14</v>
      </c>
      <c r="G68" s="158">
        <v>12</v>
      </c>
      <c r="H68" s="158">
        <v>11</v>
      </c>
      <c r="I68" s="158">
        <v>10</v>
      </c>
      <c r="J68" s="157">
        <v>9</v>
      </c>
      <c r="K68" s="158">
        <v>9</v>
      </c>
      <c r="L68" s="158">
        <v>9</v>
      </c>
      <c r="M68" s="158">
        <v>9</v>
      </c>
      <c r="N68" s="157">
        <v>8</v>
      </c>
      <c r="O68" s="158">
        <v>8</v>
      </c>
      <c r="P68" s="158">
        <v>9</v>
      </c>
      <c r="Q68" s="158">
        <v>144</v>
      </c>
      <c r="R68" s="157">
        <v>155</v>
      </c>
      <c r="S68" s="158">
        <v>168</v>
      </c>
      <c r="T68" s="158">
        <v>107</v>
      </c>
      <c r="U68" s="158">
        <v>107</v>
      </c>
      <c r="V68" s="158">
        <v>81</v>
      </c>
    </row>
    <row r="69" spans="2:22" ht="6" customHeight="1" x14ac:dyDescent="0.25">
      <c r="B69" s="98"/>
      <c r="C69" s="165"/>
      <c r="D69" s="165"/>
      <c r="E69" s="165"/>
      <c r="F69" s="165"/>
      <c r="G69" s="77"/>
      <c r="H69" s="130"/>
      <c r="I69" s="166"/>
      <c r="J69" s="165"/>
      <c r="K69" s="77"/>
      <c r="L69" s="77"/>
      <c r="M69" s="77"/>
      <c r="N69" s="165"/>
      <c r="O69" s="166"/>
      <c r="P69" s="166"/>
      <c r="Q69" s="166"/>
      <c r="R69" s="165"/>
      <c r="S69" s="166"/>
      <c r="T69" s="166"/>
      <c r="U69" s="166"/>
      <c r="V69" s="166"/>
    </row>
    <row r="70" spans="2:22" s="23" customFormat="1" x14ac:dyDescent="0.25">
      <c r="B70" s="140" t="s">
        <v>112</v>
      </c>
      <c r="C70" s="155">
        <v>12121</v>
      </c>
      <c r="D70" s="155">
        <v>9925</v>
      </c>
      <c r="E70" s="155">
        <v>7410</v>
      </c>
      <c r="F70" s="155">
        <v>8826</v>
      </c>
      <c r="G70" s="156">
        <f>SUM(G71:G75)</f>
        <v>8510</v>
      </c>
      <c r="H70" s="156">
        <f>SUM(H71:H75)</f>
        <v>8340</v>
      </c>
      <c r="I70" s="156">
        <f>SUM(I71:I75)</f>
        <v>9418</v>
      </c>
      <c r="J70" s="155">
        <v>9686</v>
      </c>
      <c r="K70" s="156">
        <f>SUM(K71:K75)</f>
        <v>10163</v>
      </c>
      <c r="L70" s="156">
        <f>SUM(L71:L75)</f>
        <v>8266</v>
      </c>
      <c r="M70" s="156">
        <f>SUM(M71:M75)</f>
        <v>9602</v>
      </c>
      <c r="N70" s="155">
        <v>8766</v>
      </c>
      <c r="O70" s="156">
        <v>9000</v>
      </c>
      <c r="P70" s="156">
        <v>9813</v>
      </c>
      <c r="Q70" s="156">
        <v>9615</v>
      </c>
      <c r="R70" s="155">
        <v>12207</v>
      </c>
      <c r="S70" s="156">
        <v>12700</v>
      </c>
      <c r="T70" s="156">
        <v>11775</v>
      </c>
      <c r="U70" s="156">
        <v>11287</v>
      </c>
      <c r="V70" s="156">
        <v>12308</v>
      </c>
    </row>
    <row r="71" spans="2:22" ht="15" x14ac:dyDescent="0.25">
      <c r="B71" s="144" t="s">
        <v>113</v>
      </c>
      <c r="C71" s="157">
        <v>5991</v>
      </c>
      <c r="D71" s="157">
        <v>6352</v>
      </c>
      <c r="E71" s="157">
        <v>6352</v>
      </c>
      <c r="F71" s="157">
        <v>6352</v>
      </c>
      <c r="G71" s="158">
        <v>6352</v>
      </c>
      <c r="H71" s="158">
        <v>6353</v>
      </c>
      <c r="I71" s="158">
        <v>6353</v>
      </c>
      <c r="J71" s="157">
        <v>6353</v>
      </c>
      <c r="K71" s="158">
        <v>6353</v>
      </c>
      <c r="L71" s="158">
        <v>6353</v>
      </c>
      <c r="M71" s="158">
        <v>6353</v>
      </c>
      <c r="N71" s="157">
        <v>6353</v>
      </c>
      <c r="O71" s="158">
        <v>6353</v>
      </c>
      <c r="P71" s="158">
        <v>6353</v>
      </c>
      <c r="Q71" s="158">
        <v>6353</v>
      </c>
      <c r="R71" s="157">
        <v>6353</v>
      </c>
      <c r="S71" s="158">
        <v>6353</v>
      </c>
      <c r="T71" s="158">
        <v>6353</v>
      </c>
      <c r="U71" s="158">
        <v>6353</v>
      </c>
      <c r="V71" s="158">
        <v>6353</v>
      </c>
    </row>
    <row r="72" spans="2:22" ht="15" x14ac:dyDescent="0.25">
      <c r="B72" s="144" t="s">
        <v>116</v>
      </c>
      <c r="C72" s="157">
        <v>0</v>
      </c>
      <c r="D72" s="157">
        <v>0</v>
      </c>
      <c r="E72" s="157">
        <v>0</v>
      </c>
      <c r="F72" s="157">
        <v>0</v>
      </c>
      <c r="G72" s="158">
        <v>0</v>
      </c>
      <c r="H72" s="158">
        <v>0</v>
      </c>
      <c r="I72" s="158">
        <v>0</v>
      </c>
      <c r="J72" s="157">
        <v>0</v>
      </c>
      <c r="K72" s="158">
        <v>0</v>
      </c>
      <c r="L72" s="158">
        <v>0</v>
      </c>
      <c r="M72" s="158">
        <v>0</v>
      </c>
      <c r="N72" s="157">
        <v>0</v>
      </c>
      <c r="O72" s="158">
        <v>0</v>
      </c>
      <c r="P72" s="158">
        <v>0</v>
      </c>
      <c r="Q72" s="158">
        <v>0</v>
      </c>
      <c r="R72" s="157">
        <v>0</v>
      </c>
      <c r="S72" s="158">
        <v>0</v>
      </c>
      <c r="T72" s="158">
        <v>0</v>
      </c>
      <c r="U72" s="158">
        <v>-704</v>
      </c>
      <c r="V72" s="158">
        <v>-918</v>
      </c>
    </row>
    <row r="73" spans="2:22" ht="15" x14ac:dyDescent="0.25">
      <c r="B73" s="144" t="s">
        <v>115</v>
      </c>
      <c r="C73" s="157">
        <v>0</v>
      </c>
      <c r="D73" s="157">
        <v>0</v>
      </c>
      <c r="E73" s="157">
        <v>0</v>
      </c>
      <c r="F73" s="157">
        <v>0</v>
      </c>
      <c r="G73" s="158">
        <v>0</v>
      </c>
      <c r="H73" s="158">
        <v>0</v>
      </c>
      <c r="I73" s="158">
        <v>0</v>
      </c>
      <c r="J73" s="157">
        <v>0</v>
      </c>
      <c r="K73" s="158">
        <v>0</v>
      </c>
      <c r="L73" s="158">
        <v>0</v>
      </c>
      <c r="M73" s="158">
        <v>0</v>
      </c>
      <c r="N73" s="157">
        <v>0</v>
      </c>
      <c r="O73" s="158">
        <v>0</v>
      </c>
      <c r="P73" s="158">
        <v>0</v>
      </c>
      <c r="Q73" s="158">
        <v>1</v>
      </c>
      <c r="R73" s="157">
        <v>4</v>
      </c>
      <c r="S73" s="158">
        <v>5</v>
      </c>
      <c r="T73" s="158">
        <v>6</v>
      </c>
      <c r="U73" s="158">
        <v>13</v>
      </c>
      <c r="V73" s="158">
        <v>17</v>
      </c>
    </row>
    <row r="74" spans="2:22" ht="15" x14ac:dyDescent="0.25">
      <c r="B74" s="144" t="s">
        <v>114</v>
      </c>
      <c r="C74" s="157">
        <v>6559</v>
      </c>
      <c r="D74" s="157">
        <v>4107</v>
      </c>
      <c r="E74" s="157">
        <v>3045</v>
      </c>
      <c r="F74" s="157">
        <v>3897</v>
      </c>
      <c r="G74" s="158">
        <v>3581</v>
      </c>
      <c r="H74" s="158">
        <v>3410</v>
      </c>
      <c r="I74" s="158">
        <v>4488</v>
      </c>
      <c r="J74" s="157">
        <v>5259</v>
      </c>
      <c r="K74" s="158">
        <v>5736</v>
      </c>
      <c r="L74" s="158">
        <v>3839</v>
      </c>
      <c r="M74" s="158">
        <v>5175</v>
      </c>
      <c r="N74" s="157">
        <v>4681</v>
      </c>
      <c r="O74" s="158">
        <v>4915</v>
      </c>
      <c r="P74" s="158">
        <v>5103</v>
      </c>
      <c r="Q74" s="158">
        <v>4904</v>
      </c>
      <c r="R74" s="157">
        <v>7055</v>
      </c>
      <c r="S74" s="158">
        <v>7547</v>
      </c>
      <c r="T74" s="158">
        <v>6621</v>
      </c>
      <c r="U74" s="158">
        <v>6830</v>
      </c>
      <c r="V74" s="158">
        <v>7580</v>
      </c>
    </row>
    <row r="75" spans="2:22" ht="15" x14ac:dyDescent="0.25">
      <c r="B75" s="144" t="s">
        <v>117</v>
      </c>
      <c r="C75" s="157">
        <v>-429</v>
      </c>
      <c r="D75" s="157">
        <v>-534</v>
      </c>
      <c r="E75" s="157">
        <v>-1987</v>
      </c>
      <c r="F75" s="157">
        <v>-1423</v>
      </c>
      <c r="G75" s="158">
        <v>-1423</v>
      </c>
      <c r="H75" s="158">
        <v>-1423</v>
      </c>
      <c r="I75" s="158">
        <v>-1423</v>
      </c>
      <c r="J75" s="157">
        <v>-1926</v>
      </c>
      <c r="K75" s="158">
        <v>-1926</v>
      </c>
      <c r="L75" s="158">
        <v>-1926</v>
      </c>
      <c r="M75" s="158">
        <v>-1926</v>
      </c>
      <c r="N75" s="157">
        <v>-2268</v>
      </c>
      <c r="O75" s="158">
        <v>-2268</v>
      </c>
      <c r="P75" s="158">
        <v>-1643</v>
      </c>
      <c r="Q75" s="158">
        <v>-1643</v>
      </c>
      <c r="R75" s="157">
        <v>-1205</v>
      </c>
      <c r="S75" s="158">
        <v>-1205</v>
      </c>
      <c r="T75" s="158">
        <v>-1205</v>
      </c>
      <c r="U75" s="158">
        <v>-1205</v>
      </c>
      <c r="V75" s="158">
        <v>-724</v>
      </c>
    </row>
    <row r="76" spans="2:22" ht="15" x14ac:dyDescent="0.25">
      <c r="B76" s="98"/>
      <c r="C76" s="166"/>
      <c r="D76" s="166"/>
      <c r="E76" s="166"/>
      <c r="F76" s="165"/>
      <c r="G76" s="166"/>
      <c r="H76" s="77"/>
      <c r="I76" s="166"/>
      <c r="J76" s="165"/>
      <c r="K76" s="166"/>
      <c r="L76" s="166"/>
      <c r="M76" s="166"/>
      <c r="N76" s="165"/>
      <c r="O76" s="166"/>
      <c r="P76" s="166"/>
      <c r="Q76" s="166"/>
      <c r="R76" s="165"/>
      <c r="S76" s="166"/>
      <c r="T76" s="166"/>
      <c r="U76" s="166"/>
      <c r="V76" s="166"/>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E86"/>
  <sheetViews>
    <sheetView showGridLines="0" zoomScale="70" zoomScaleNormal="70" workbookViewId="0">
      <pane xSplit="2" ySplit="5" topLeftCell="S18" activePane="bottomRight" state="frozen"/>
      <selection pane="topRight"/>
      <selection pane="bottomLeft"/>
      <selection pane="bottomRight" activeCell="B77" sqref="B77"/>
    </sheetView>
  </sheetViews>
  <sheetFormatPr defaultColWidth="9.140625" defaultRowHeight="15.75" outlineLevelCol="1" x14ac:dyDescent="0.25"/>
  <cols>
    <col min="1" max="1" width="2" customWidth="1"/>
    <col min="2" max="2" width="78.5703125" style="84" customWidth="1"/>
    <col min="3" max="6" width="10.7109375" style="64" customWidth="1" outlineLevel="1"/>
    <col min="7" max="9" width="10.7109375" style="63" customWidth="1" outlineLevel="1"/>
    <col min="10" max="10" width="10.7109375" style="64" customWidth="1" outlineLevel="1"/>
    <col min="11" max="13" width="10.7109375" style="63" customWidth="1" outlineLevel="1"/>
    <col min="14" max="14" width="10.7109375" style="64" customWidth="1" outlineLevel="1"/>
    <col min="15" max="17" width="10.7109375" style="63" customWidth="1" outlineLevel="1"/>
    <col min="18" max="18" width="10.7109375" style="64" customWidth="1" outlineLevel="1"/>
    <col min="19" max="22" width="10.7109375" style="63" customWidth="1"/>
    <col min="23" max="27" width="9.140625" style="137"/>
  </cols>
  <sheetData>
    <row r="1" spans="1:31" ht="41.25" customHeight="1" x14ac:dyDescent="0.25">
      <c r="A1" s="2"/>
      <c r="C1" s="60"/>
      <c r="D1" s="60"/>
      <c r="E1" s="60"/>
      <c r="F1" s="60"/>
      <c r="G1" s="59"/>
      <c r="H1" s="59"/>
      <c r="I1" s="59"/>
      <c r="J1" s="60"/>
      <c r="K1" s="59"/>
      <c r="L1" s="59"/>
      <c r="M1" s="59"/>
      <c r="N1" s="60"/>
      <c r="O1" s="59"/>
      <c r="P1" s="59"/>
      <c r="Q1" s="59"/>
      <c r="R1" s="60"/>
      <c r="S1" s="59"/>
      <c r="T1" s="59"/>
      <c r="U1" s="59"/>
      <c r="V1" s="59"/>
    </row>
    <row r="2" spans="1:31" ht="18" x14ac:dyDescent="0.25">
      <c r="A2" s="13"/>
      <c r="B2" s="85" t="s">
        <v>296</v>
      </c>
      <c r="C2" s="110"/>
      <c r="D2" s="110"/>
      <c r="E2" s="110"/>
      <c r="F2" s="110"/>
      <c r="G2" s="61"/>
      <c r="H2" s="61"/>
      <c r="I2" s="61"/>
      <c r="J2" s="110"/>
      <c r="K2" s="61"/>
      <c r="L2" s="61"/>
      <c r="M2" s="61"/>
      <c r="N2" s="110"/>
      <c r="O2" s="61"/>
      <c r="P2" s="61"/>
      <c r="Q2" s="61"/>
      <c r="R2" s="110"/>
      <c r="S2" s="61"/>
      <c r="T2" s="61"/>
      <c r="U2" s="184"/>
      <c r="V2" s="184"/>
    </row>
    <row r="3" spans="1:31" ht="9.75" customHeight="1" x14ac:dyDescent="0.25">
      <c r="O3" s="185"/>
      <c r="P3" s="185"/>
      <c r="Q3" s="185"/>
    </row>
    <row r="4" spans="1:31" x14ac:dyDescent="0.25">
      <c r="B4" s="86"/>
      <c r="C4" s="67">
        <v>2014</v>
      </c>
      <c r="D4" s="67">
        <v>2015</v>
      </c>
      <c r="E4" s="67">
        <v>2016</v>
      </c>
      <c r="F4" s="67">
        <v>2017</v>
      </c>
      <c r="G4" s="65" t="s">
        <v>278</v>
      </c>
      <c r="H4" s="66" t="s">
        <v>279</v>
      </c>
      <c r="I4" s="66" t="s">
        <v>280</v>
      </c>
      <c r="J4" s="67" t="s">
        <v>281</v>
      </c>
      <c r="K4" s="66" t="s">
        <v>282</v>
      </c>
      <c r="L4" s="66" t="s">
        <v>283</v>
      </c>
      <c r="M4" s="66" t="s">
        <v>284</v>
      </c>
      <c r="N4" s="67" t="s">
        <v>285</v>
      </c>
      <c r="O4" s="66" t="s">
        <v>286</v>
      </c>
      <c r="P4" s="66" t="s">
        <v>287</v>
      </c>
      <c r="Q4" s="66" t="s">
        <v>288</v>
      </c>
      <c r="R4" s="67" t="s">
        <v>289</v>
      </c>
      <c r="S4" s="66" t="s">
        <v>290</v>
      </c>
      <c r="T4" s="66" t="s">
        <v>291</v>
      </c>
      <c r="U4" s="66" t="s">
        <v>292</v>
      </c>
      <c r="V4" s="66" t="s">
        <v>566</v>
      </c>
    </row>
    <row r="5" spans="1:31" x14ac:dyDescent="0.25">
      <c r="B5" s="87"/>
      <c r="C5" s="69" t="s">
        <v>298</v>
      </c>
      <c r="D5" s="69" t="s">
        <v>298</v>
      </c>
      <c r="E5" s="69" t="s">
        <v>298</v>
      </c>
      <c r="F5" s="69" t="s">
        <v>298</v>
      </c>
      <c r="G5" s="68" t="s">
        <v>65</v>
      </c>
      <c r="H5" s="68" t="s">
        <v>275</v>
      </c>
      <c r="I5" s="68" t="s">
        <v>276</v>
      </c>
      <c r="J5" s="69" t="s">
        <v>274</v>
      </c>
      <c r="K5" s="68" t="s">
        <v>65</v>
      </c>
      <c r="L5" s="68" t="s">
        <v>275</v>
      </c>
      <c r="M5" s="68" t="s">
        <v>276</v>
      </c>
      <c r="N5" s="69" t="s">
        <v>274</v>
      </c>
      <c r="O5" s="68" t="s">
        <v>65</v>
      </c>
      <c r="P5" s="68" t="s">
        <v>275</v>
      </c>
      <c r="Q5" s="68" t="s">
        <v>276</v>
      </c>
      <c r="R5" s="69" t="s">
        <v>274</v>
      </c>
      <c r="S5" s="68" t="s">
        <v>65</v>
      </c>
      <c r="T5" s="68" t="s">
        <v>275</v>
      </c>
      <c r="U5" s="68" t="s">
        <v>276</v>
      </c>
      <c r="V5" s="68" t="s">
        <v>274</v>
      </c>
    </row>
    <row r="6" spans="1:31" ht="8.25" customHeight="1" x14ac:dyDescent="0.25">
      <c r="C6" s="60"/>
      <c r="D6" s="60"/>
      <c r="E6" s="60"/>
      <c r="F6" s="60"/>
      <c r="G6" s="59"/>
      <c r="H6" s="59"/>
      <c r="I6" s="59"/>
      <c r="J6" s="60"/>
      <c r="K6" s="59"/>
      <c r="L6" s="59"/>
      <c r="M6" s="59"/>
      <c r="N6" s="60"/>
      <c r="O6" s="59"/>
      <c r="P6" s="59"/>
      <c r="Q6" s="59"/>
      <c r="R6" s="60"/>
      <c r="S6" s="59"/>
      <c r="T6" s="59"/>
      <c r="U6" s="59"/>
      <c r="V6" s="59"/>
    </row>
    <row r="7" spans="1:31" s="15" customFormat="1" ht="18" x14ac:dyDescent="0.25">
      <c r="B7" s="88" t="s">
        <v>90</v>
      </c>
      <c r="C7" s="71"/>
      <c r="D7" s="71"/>
      <c r="E7" s="71"/>
      <c r="F7" s="71"/>
      <c r="G7" s="70"/>
      <c r="H7" s="70"/>
      <c r="I7" s="70"/>
      <c r="J7" s="71"/>
      <c r="K7" s="70"/>
      <c r="L7" s="72"/>
      <c r="M7" s="72"/>
      <c r="N7" s="73"/>
      <c r="O7" s="72"/>
      <c r="P7" s="72"/>
      <c r="Q7" s="72"/>
      <c r="R7" s="73"/>
      <c r="S7" s="72"/>
      <c r="T7" s="74"/>
      <c r="U7" s="186"/>
      <c r="V7" s="186"/>
      <c r="W7" s="187"/>
      <c r="X7" s="187"/>
      <c r="Y7" s="187"/>
      <c r="Z7" s="187"/>
      <c r="AA7" s="187"/>
    </row>
    <row r="8" spans="1:31" s="17" customFormat="1" ht="18.75" x14ac:dyDescent="0.3">
      <c r="B8" s="89" t="s">
        <v>176</v>
      </c>
      <c r="C8" s="76"/>
      <c r="D8" s="76"/>
      <c r="E8" s="76"/>
      <c r="F8" s="76"/>
      <c r="G8" s="75"/>
      <c r="H8" s="75"/>
      <c r="I8" s="75"/>
      <c r="J8" s="76"/>
      <c r="K8" s="75"/>
      <c r="L8" s="75"/>
      <c r="M8" s="75"/>
      <c r="N8" s="76"/>
      <c r="O8" s="75"/>
      <c r="P8" s="75"/>
      <c r="Q8" s="75"/>
      <c r="R8" s="76"/>
      <c r="S8" s="75"/>
      <c r="T8" s="75"/>
      <c r="U8" s="75"/>
      <c r="V8" s="75"/>
      <c r="W8" s="188"/>
      <c r="X8" s="188"/>
      <c r="Y8" s="188"/>
      <c r="Z8" s="188"/>
      <c r="AA8" s="188"/>
    </row>
    <row r="9" spans="1:31" s="6" customFormat="1" ht="18" x14ac:dyDescent="0.35">
      <c r="B9" s="167" t="s">
        <v>118</v>
      </c>
      <c r="C9" s="128"/>
      <c r="D9" s="128"/>
      <c r="E9" s="128"/>
      <c r="F9" s="128"/>
      <c r="G9" s="130"/>
      <c r="H9" s="130"/>
      <c r="I9" s="130"/>
      <c r="J9" s="128"/>
      <c r="K9" s="130"/>
      <c r="L9" s="130"/>
      <c r="M9" s="130"/>
      <c r="N9" s="128"/>
      <c r="O9" s="130"/>
      <c r="P9" s="130"/>
      <c r="Q9" s="130"/>
      <c r="R9" s="128"/>
      <c r="S9" s="130"/>
      <c r="T9" s="130"/>
      <c r="U9" s="130"/>
      <c r="V9" s="130"/>
      <c r="W9" s="137"/>
      <c r="X9" s="137"/>
      <c r="Y9" s="137"/>
      <c r="Z9" s="137"/>
      <c r="AA9" s="137"/>
    </row>
    <row r="10" spans="1:31" s="6" customFormat="1" ht="18" x14ac:dyDescent="0.35">
      <c r="B10" s="95" t="s">
        <v>87</v>
      </c>
      <c r="C10" s="189">
        <v>1123</v>
      </c>
      <c r="D10" s="190">
        <v>-1161</v>
      </c>
      <c r="E10" s="190">
        <v>-315</v>
      </c>
      <c r="F10" s="189">
        <v>1151</v>
      </c>
      <c r="G10" s="191">
        <v>247</v>
      </c>
      <c r="H10" s="191">
        <v>263</v>
      </c>
      <c r="I10" s="191">
        <v>1078</v>
      </c>
      <c r="J10" s="189">
        <v>1605</v>
      </c>
      <c r="K10" s="191">
        <v>477</v>
      </c>
      <c r="L10" s="191">
        <v>302</v>
      </c>
      <c r="M10" s="191">
        <v>1336</v>
      </c>
      <c r="N10" s="189">
        <v>96</v>
      </c>
      <c r="O10" s="191">
        <v>234</v>
      </c>
      <c r="P10" s="191">
        <v>188</v>
      </c>
      <c r="Q10" s="191">
        <v>335</v>
      </c>
      <c r="R10" s="192">
        <v>3148</v>
      </c>
      <c r="S10" s="193">
        <v>492</v>
      </c>
      <c r="T10" s="193">
        <v>382</v>
      </c>
      <c r="U10" s="191">
        <v>598</v>
      </c>
      <c r="V10" s="191">
        <v>1025</v>
      </c>
      <c r="W10" s="137"/>
      <c r="X10" s="137"/>
      <c r="Y10" s="137"/>
      <c r="Z10" s="137"/>
      <c r="AA10" s="137"/>
    </row>
    <row r="11" spans="1:31" s="18" customFormat="1" ht="8.25" customHeight="1" x14ac:dyDescent="0.35">
      <c r="B11" s="168"/>
      <c r="C11" s="194"/>
      <c r="D11" s="194"/>
      <c r="E11" s="194"/>
      <c r="F11" s="194"/>
      <c r="G11" s="194"/>
      <c r="H11" s="194"/>
      <c r="I11" s="194"/>
      <c r="J11" s="194"/>
      <c r="K11" s="194"/>
      <c r="L11" s="194"/>
      <c r="M11" s="194"/>
      <c r="N11" s="194"/>
      <c r="O11" s="194"/>
      <c r="P11" s="194"/>
      <c r="Q11" s="194"/>
      <c r="R11" s="194"/>
      <c r="S11" s="194"/>
      <c r="T11" s="194"/>
      <c r="U11" s="195"/>
      <c r="V11" s="195"/>
      <c r="W11" s="196"/>
      <c r="X11" s="196"/>
      <c r="Y11" s="196"/>
      <c r="Z11" s="196"/>
      <c r="AA11" s="196"/>
      <c r="AC11" s="39"/>
      <c r="AD11" s="39"/>
      <c r="AE11" s="39"/>
    </row>
    <row r="12" spans="1:31" s="6" customFormat="1" ht="18" x14ac:dyDescent="0.35">
      <c r="B12" s="167" t="s">
        <v>119</v>
      </c>
      <c r="C12" s="78"/>
      <c r="D12" s="78"/>
      <c r="E12" s="78"/>
      <c r="F12" s="78"/>
      <c r="G12" s="77"/>
      <c r="H12" s="77"/>
      <c r="I12" s="77"/>
      <c r="J12" s="78"/>
      <c r="K12" s="77"/>
      <c r="L12" s="77"/>
      <c r="M12" s="77"/>
      <c r="N12" s="78"/>
      <c r="O12" s="77"/>
      <c r="P12" s="77"/>
      <c r="Q12" s="77"/>
      <c r="R12" s="78"/>
      <c r="S12" s="77"/>
      <c r="T12" s="77"/>
      <c r="U12" s="77"/>
      <c r="V12" s="77"/>
      <c r="W12" s="137"/>
      <c r="X12" s="137"/>
      <c r="Y12" s="137"/>
      <c r="Z12" s="137"/>
      <c r="AA12" s="137"/>
    </row>
    <row r="13" spans="1:31" s="6" customFormat="1" ht="18" x14ac:dyDescent="0.35">
      <c r="B13" s="90" t="s">
        <v>96</v>
      </c>
      <c r="C13" s="197">
        <v>423</v>
      </c>
      <c r="D13" s="197">
        <v>-774</v>
      </c>
      <c r="E13" s="197">
        <v>-322</v>
      </c>
      <c r="F13" s="197">
        <v>414</v>
      </c>
      <c r="G13" s="198">
        <v>163</v>
      </c>
      <c r="H13" s="198">
        <v>180</v>
      </c>
      <c r="I13" s="198">
        <v>696</v>
      </c>
      <c r="J13" s="197">
        <v>577</v>
      </c>
      <c r="K13" s="198">
        <v>284</v>
      </c>
      <c r="L13" s="158">
        <v>186</v>
      </c>
      <c r="M13" s="158">
        <v>718</v>
      </c>
      <c r="N13" s="157">
        <v>-96</v>
      </c>
      <c r="O13" s="158">
        <v>170</v>
      </c>
      <c r="P13" s="158">
        <v>144</v>
      </c>
      <c r="Q13" s="158">
        <v>211</v>
      </c>
      <c r="R13" s="157">
        <v>400</v>
      </c>
      <c r="S13" s="158">
        <v>267</v>
      </c>
      <c r="T13" s="158">
        <v>220</v>
      </c>
      <c r="U13" s="158">
        <v>-147</v>
      </c>
      <c r="V13" s="158">
        <v>337</v>
      </c>
      <c r="W13" s="137"/>
      <c r="X13" s="137"/>
      <c r="Y13" s="137"/>
      <c r="Z13" s="137"/>
      <c r="AA13" s="137"/>
    </row>
    <row r="14" spans="1:31" s="6" customFormat="1" ht="18.75" customHeight="1" x14ac:dyDescent="0.35">
      <c r="B14" s="90" t="s">
        <v>120</v>
      </c>
      <c r="C14" s="197">
        <v>403</v>
      </c>
      <c r="D14" s="197">
        <v>471</v>
      </c>
      <c r="E14" s="197">
        <v>454</v>
      </c>
      <c r="F14" s="197">
        <v>452</v>
      </c>
      <c r="G14" s="198">
        <v>106</v>
      </c>
      <c r="H14" s="198">
        <v>107</v>
      </c>
      <c r="I14" s="198">
        <v>102</v>
      </c>
      <c r="J14" s="197">
        <v>102</v>
      </c>
      <c r="K14" s="198">
        <v>128</v>
      </c>
      <c r="L14" s="158">
        <v>127</v>
      </c>
      <c r="M14" s="158">
        <v>127</v>
      </c>
      <c r="N14" s="157">
        <v>146</v>
      </c>
      <c r="O14" s="158">
        <v>135</v>
      </c>
      <c r="P14" s="158">
        <v>136</v>
      </c>
      <c r="Q14" s="158">
        <v>132</v>
      </c>
      <c r="R14" s="157">
        <v>134</v>
      </c>
      <c r="S14" s="158">
        <v>139</v>
      </c>
      <c r="T14" s="158">
        <v>140</v>
      </c>
      <c r="U14" s="158">
        <v>144</v>
      </c>
      <c r="V14" s="158">
        <v>136</v>
      </c>
      <c r="W14" s="137"/>
      <c r="X14" s="137"/>
      <c r="Y14" s="137"/>
      <c r="Z14" s="137"/>
      <c r="AA14" s="137"/>
    </row>
    <row r="15" spans="1:31" s="6" customFormat="1" ht="18.75" customHeight="1" x14ac:dyDescent="0.35">
      <c r="B15" s="90" t="s">
        <v>175</v>
      </c>
      <c r="C15" s="197">
        <v>0</v>
      </c>
      <c r="D15" s="197">
        <v>298</v>
      </c>
      <c r="E15" s="197"/>
      <c r="F15" s="197"/>
      <c r="G15" s="198"/>
      <c r="H15" s="198"/>
      <c r="I15" s="198"/>
      <c r="J15" s="197"/>
      <c r="K15" s="198"/>
      <c r="L15" s="158"/>
      <c r="M15" s="158"/>
      <c r="N15" s="157"/>
      <c r="O15" s="158"/>
      <c r="P15" s="158"/>
      <c r="Q15" s="158"/>
      <c r="R15" s="157"/>
      <c r="S15" s="158"/>
      <c r="T15" s="158"/>
      <c r="U15" s="158"/>
      <c r="V15" s="158"/>
      <c r="W15" s="137"/>
      <c r="X15" s="137"/>
      <c r="Y15" s="137"/>
      <c r="Z15" s="137"/>
      <c r="AA15" s="137"/>
    </row>
    <row r="16" spans="1:31" s="6" customFormat="1" ht="18.75" customHeight="1" x14ac:dyDescent="0.35">
      <c r="B16" s="90" t="s">
        <v>122</v>
      </c>
      <c r="C16" s="197">
        <v>-40</v>
      </c>
      <c r="D16" s="197">
        <v>12</v>
      </c>
      <c r="E16" s="197">
        <v>-1</v>
      </c>
      <c r="F16" s="197">
        <v>34</v>
      </c>
      <c r="G16" s="198">
        <v>-1</v>
      </c>
      <c r="H16" s="198">
        <v>-9</v>
      </c>
      <c r="I16" s="198">
        <v>-16</v>
      </c>
      <c r="J16" s="197">
        <v>13</v>
      </c>
      <c r="K16" s="198">
        <v>-6</v>
      </c>
      <c r="L16" s="158">
        <v>-4</v>
      </c>
      <c r="M16" s="158">
        <v>0</v>
      </c>
      <c r="N16" s="157">
        <v>-7</v>
      </c>
      <c r="O16" s="158">
        <v>-3</v>
      </c>
      <c r="P16" s="158">
        <v>8</v>
      </c>
      <c r="Q16" s="158">
        <v>160</v>
      </c>
      <c r="R16" s="157">
        <v>-18</v>
      </c>
      <c r="S16" s="158">
        <v>-54</v>
      </c>
      <c r="T16" s="158">
        <v>-35</v>
      </c>
      <c r="U16" s="158">
        <v>30</v>
      </c>
      <c r="V16" s="158">
        <v>-39</v>
      </c>
      <c r="W16" s="137"/>
      <c r="X16" s="137"/>
      <c r="Y16" s="137"/>
      <c r="Z16" s="137"/>
      <c r="AA16" s="137"/>
    </row>
    <row r="17" spans="2:27" s="6" customFormat="1" ht="18.75" customHeight="1" x14ac:dyDescent="0.35">
      <c r="B17" s="90" t="s">
        <v>121</v>
      </c>
      <c r="C17" s="197">
        <v>1109</v>
      </c>
      <c r="D17" s="197">
        <v>2919</v>
      </c>
      <c r="E17" s="197">
        <v>676</v>
      </c>
      <c r="F17" s="197">
        <v>-40</v>
      </c>
      <c r="G17" s="198">
        <v>1</v>
      </c>
      <c r="H17" s="198">
        <v>51</v>
      </c>
      <c r="I17" s="198">
        <v>44</v>
      </c>
      <c r="J17" s="197">
        <v>-54</v>
      </c>
      <c r="K17" s="198">
        <v>23</v>
      </c>
      <c r="L17" s="158">
        <v>13</v>
      </c>
      <c r="M17" s="158">
        <v>11</v>
      </c>
      <c r="N17" s="157">
        <v>32</v>
      </c>
      <c r="O17" s="158">
        <v>39</v>
      </c>
      <c r="P17" s="158">
        <v>67</v>
      </c>
      <c r="Q17" s="158">
        <v>2</v>
      </c>
      <c r="R17" s="157">
        <v>-29</v>
      </c>
      <c r="S17" s="158">
        <v>178</v>
      </c>
      <c r="T17" s="158">
        <v>-3</v>
      </c>
      <c r="U17" s="158">
        <v>69</v>
      </c>
      <c r="V17" s="158">
        <v>68</v>
      </c>
      <c r="W17" s="137"/>
      <c r="X17" s="137"/>
      <c r="Y17" s="137"/>
      <c r="Z17" s="137"/>
      <c r="AA17" s="137"/>
    </row>
    <row r="18" spans="2:27" s="6" customFormat="1" ht="18.75" customHeight="1" x14ac:dyDescent="0.35">
      <c r="B18" s="90" t="s">
        <v>134</v>
      </c>
      <c r="C18" s="197">
        <v>2</v>
      </c>
      <c r="D18" s="197">
        <v>-3</v>
      </c>
      <c r="E18" s="197">
        <v>1</v>
      </c>
      <c r="F18" s="197">
        <v>2</v>
      </c>
      <c r="G18" s="198">
        <v>1</v>
      </c>
      <c r="H18" s="198">
        <v>0</v>
      </c>
      <c r="I18" s="198">
        <v>1</v>
      </c>
      <c r="J18" s="197">
        <v>-1</v>
      </c>
      <c r="K18" s="198">
        <v>-1</v>
      </c>
      <c r="L18" s="158">
        <v>0</v>
      </c>
      <c r="M18" s="158">
        <v>0</v>
      </c>
      <c r="N18" s="157">
        <v>-1</v>
      </c>
      <c r="O18" s="158">
        <v>1</v>
      </c>
      <c r="P18" s="158">
        <v>1</v>
      </c>
      <c r="Q18" s="158">
        <v>1</v>
      </c>
      <c r="R18" s="157">
        <v>-12</v>
      </c>
      <c r="S18" s="158">
        <v>-7</v>
      </c>
      <c r="T18" s="158">
        <v>-2</v>
      </c>
      <c r="U18" s="158">
        <v>-76</v>
      </c>
      <c r="V18" s="158">
        <v>-27</v>
      </c>
      <c r="W18" s="137"/>
      <c r="X18" s="137"/>
      <c r="Y18" s="137"/>
      <c r="Z18" s="137"/>
      <c r="AA18" s="137"/>
    </row>
    <row r="19" spans="2:27" s="6" customFormat="1" ht="18.75" customHeight="1" x14ac:dyDescent="0.35">
      <c r="B19" s="90" t="s">
        <v>135</v>
      </c>
      <c r="C19" s="197">
        <v>348</v>
      </c>
      <c r="D19" s="197">
        <v>412</v>
      </c>
      <c r="E19" s="197">
        <v>542</v>
      </c>
      <c r="F19" s="197">
        <v>545</v>
      </c>
      <c r="G19" s="198">
        <v>121</v>
      </c>
      <c r="H19" s="198">
        <v>136</v>
      </c>
      <c r="I19" s="198">
        <v>131</v>
      </c>
      <c r="J19" s="197">
        <v>134</v>
      </c>
      <c r="K19" s="198">
        <v>124</v>
      </c>
      <c r="L19" s="158">
        <v>119</v>
      </c>
      <c r="M19" s="158">
        <v>135</v>
      </c>
      <c r="N19" s="157">
        <v>141</v>
      </c>
      <c r="O19" s="158">
        <v>152</v>
      </c>
      <c r="P19" s="158">
        <v>157</v>
      </c>
      <c r="Q19" s="158">
        <v>158</v>
      </c>
      <c r="R19" s="157">
        <v>185</v>
      </c>
      <c r="S19" s="158">
        <v>194</v>
      </c>
      <c r="T19" s="158">
        <v>241</v>
      </c>
      <c r="U19" s="158">
        <v>192</v>
      </c>
      <c r="V19" s="158">
        <v>188</v>
      </c>
      <c r="W19" s="137"/>
      <c r="X19" s="137"/>
      <c r="Y19" s="137"/>
      <c r="Z19" s="137"/>
      <c r="AA19" s="137"/>
    </row>
    <row r="20" spans="2:27" s="6" customFormat="1" ht="18.75" customHeight="1" x14ac:dyDescent="0.35">
      <c r="B20" s="90" t="s">
        <v>123</v>
      </c>
      <c r="C20" s="197">
        <v>52</v>
      </c>
      <c r="D20" s="197">
        <v>68</v>
      </c>
      <c r="E20" s="197">
        <v>45</v>
      </c>
      <c r="F20" s="197">
        <v>95</v>
      </c>
      <c r="G20" s="198">
        <v>15</v>
      </c>
      <c r="H20" s="198">
        <v>21</v>
      </c>
      <c r="I20" s="198">
        <v>24</v>
      </c>
      <c r="J20" s="197">
        <v>26</v>
      </c>
      <c r="K20" s="198">
        <v>15</v>
      </c>
      <c r="L20" s="158">
        <v>15</v>
      </c>
      <c r="M20" s="158">
        <v>18</v>
      </c>
      <c r="N20" s="157">
        <v>16</v>
      </c>
      <c r="O20" s="158">
        <v>14</v>
      </c>
      <c r="P20" s="158">
        <v>15</v>
      </c>
      <c r="Q20" s="158">
        <v>15</v>
      </c>
      <c r="R20" s="157">
        <v>13</v>
      </c>
      <c r="S20" s="158">
        <v>25</v>
      </c>
      <c r="T20" s="158">
        <v>27</v>
      </c>
      <c r="U20" s="158">
        <v>30</v>
      </c>
      <c r="V20" s="158">
        <v>29</v>
      </c>
      <c r="W20" s="137"/>
      <c r="X20" s="137"/>
      <c r="Y20" s="137"/>
      <c r="Z20" s="137"/>
      <c r="AA20" s="137"/>
    </row>
    <row r="21" spans="2:27" s="6" customFormat="1" ht="18.75" customHeight="1" x14ac:dyDescent="0.35">
      <c r="B21" s="90" t="s">
        <v>124</v>
      </c>
      <c r="C21" s="197">
        <v>-215</v>
      </c>
      <c r="D21" s="197">
        <v>408</v>
      </c>
      <c r="E21" s="197">
        <v>844</v>
      </c>
      <c r="F21" s="197">
        <v>409</v>
      </c>
      <c r="G21" s="198">
        <v>43</v>
      </c>
      <c r="H21" s="198">
        <v>-294</v>
      </c>
      <c r="I21" s="198">
        <v>-420</v>
      </c>
      <c r="J21" s="197">
        <v>-1788</v>
      </c>
      <c r="K21" s="198">
        <v>-249</v>
      </c>
      <c r="L21" s="158">
        <v>-175</v>
      </c>
      <c r="M21" s="158">
        <v>-1551</v>
      </c>
      <c r="N21" s="157">
        <v>31</v>
      </c>
      <c r="O21" s="158">
        <v>619</v>
      </c>
      <c r="P21" s="158">
        <v>200</v>
      </c>
      <c r="Q21" s="158">
        <v>132</v>
      </c>
      <c r="R21" s="157">
        <v>-558</v>
      </c>
      <c r="S21" s="158">
        <v>497</v>
      </c>
      <c r="T21" s="158">
        <v>-668</v>
      </c>
      <c r="U21" s="158">
        <v>572</v>
      </c>
      <c r="V21" s="158">
        <v>-786</v>
      </c>
      <c r="W21" s="137"/>
      <c r="X21" s="137"/>
      <c r="Y21" s="137"/>
      <c r="Z21" s="137"/>
      <c r="AA21" s="137"/>
    </row>
    <row r="22" spans="2:27" s="6" customFormat="1" ht="18.75" customHeight="1" x14ac:dyDescent="0.35">
      <c r="B22" s="90" t="s">
        <v>125</v>
      </c>
      <c r="C22" s="197">
        <v>0</v>
      </c>
      <c r="D22" s="197">
        <v>0</v>
      </c>
      <c r="E22" s="197">
        <v>0</v>
      </c>
      <c r="F22" s="197">
        <v>0</v>
      </c>
      <c r="G22" s="198">
        <v>0</v>
      </c>
      <c r="H22" s="198">
        <v>0</v>
      </c>
      <c r="I22" s="198">
        <v>0</v>
      </c>
      <c r="J22" s="197">
        <v>0</v>
      </c>
      <c r="K22" s="198">
        <v>0</v>
      </c>
      <c r="L22" s="158">
        <v>0</v>
      </c>
      <c r="M22" s="158">
        <v>0</v>
      </c>
      <c r="N22" s="157">
        <v>0</v>
      </c>
      <c r="O22" s="158">
        <v>-908</v>
      </c>
      <c r="P22" s="158">
        <v>-254</v>
      </c>
      <c r="Q22" s="158">
        <v>-133</v>
      </c>
      <c r="R22" s="157">
        <v>386</v>
      </c>
      <c r="S22" s="158">
        <v>-143</v>
      </c>
      <c r="T22" s="158">
        <v>774</v>
      </c>
      <c r="U22" s="158">
        <v>-318</v>
      </c>
      <c r="V22" s="158">
        <v>-43</v>
      </c>
      <c r="W22" s="137"/>
      <c r="X22" s="137"/>
      <c r="Y22" s="137"/>
      <c r="Z22" s="137"/>
      <c r="AA22" s="137"/>
    </row>
    <row r="23" spans="2:27" s="6" customFormat="1" ht="18.75" customHeight="1" x14ac:dyDescent="0.35">
      <c r="B23" s="90" t="s">
        <v>126</v>
      </c>
      <c r="C23" s="197">
        <v>214</v>
      </c>
      <c r="D23" s="197">
        <v>317</v>
      </c>
      <c r="E23" s="197">
        <v>382</v>
      </c>
      <c r="F23" s="197">
        <v>503</v>
      </c>
      <c r="G23" s="198">
        <v>109</v>
      </c>
      <c r="H23" s="198">
        <v>110</v>
      </c>
      <c r="I23" s="198">
        <v>109</v>
      </c>
      <c r="J23" s="197">
        <v>110</v>
      </c>
      <c r="K23" s="198">
        <v>120</v>
      </c>
      <c r="L23" s="158">
        <v>121</v>
      </c>
      <c r="M23" s="158">
        <v>119</v>
      </c>
      <c r="N23" s="157">
        <v>121</v>
      </c>
      <c r="O23" s="158">
        <v>110</v>
      </c>
      <c r="P23" s="158">
        <v>126</v>
      </c>
      <c r="Q23" s="158">
        <v>91</v>
      </c>
      <c r="R23" s="157">
        <v>-2038</v>
      </c>
      <c r="S23" s="158">
        <v>39</v>
      </c>
      <c r="T23" s="158">
        <v>40</v>
      </c>
      <c r="U23" s="158">
        <v>39</v>
      </c>
      <c r="V23" s="158">
        <v>-140</v>
      </c>
      <c r="W23" s="137"/>
      <c r="X23" s="137"/>
      <c r="Y23" s="137"/>
      <c r="Z23" s="137"/>
      <c r="AA23" s="137"/>
    </row>
    <row r="24" spans="2:27" s="6" customFormat="1" ht="18.75" customHeight="1" x14ac:dyDescent="0.35">
      <c r="B24" s="90" t="s">
        <v>127</v>
      </c>
      <c r="C24" s="157">
        <v>78</v>
      </c>
      <c r="D24" s="157">
        <v>747</v>
      </c>
      <c r="E24" s="157">
        <v>985</v>
      </c>
      <c r="F24" s="157">
        <v>-11</v>
      </c>
      <c r="G24" s="158">
        <v>72</v>
      </c>
      <c r="H24" s="158">
        <v>95</v>
      </c>
      <c r="I24" s="158">
        <v>-1262</v>
      </c>
      <c r="J24" s="157">
        <v>17</v>
      </c>
      <c r="K24" s="158">
        <v>36</v>
      </c>
      <c r="L24" s="158">
        <v>50</v>
      </c>
      <c r="M24" s="158">
        <v>9</v>
      </c>
      <c r="N24" s="157">
        <v>14</v>
      </c>
      <c r="O24" s="158">
        <v>26</v>
      </c>
      <c r="P24" s="158">
        <v>-68</v>
      </c>
      <c r="Q24" s="158">
        <v>16</v>
      </c>
      <c r="R24" s="157">
        <v>-23</v>
      </c>
      <c r="S24" s="158">
        <v>32</v>
      </c>
      <c r="T24" s="158">
        <v>-54</v>
      </c>
      <c r="U24" s="158">
        <v>44</v>
      </c>
      <c r="V24" s="158">
        <v>904</v>
      </c>
      <c r="W24" s="137"/>
      <c r="X24" s="137"/>
      <c r="Y24" s="137"/>
      <c r="Z24" s="137"/>
      <c r="AA24" s="137"/>
    </row>
    <row r="25" spans="2:27" s="6" customFormat="1" ht="18.75" customHeight="1" x14ac:dyDescent="0.35">
      <c r="B25" s="90" t="s">
        <v>512</v>
      </c>
      <c r="C25" s="157">
        <v>158</v>
      </c>
      <c r="D25" s="157">
        <v>92</v>
      </c>
      <c r="E25" s="157">
        <v>434</v>
      </c>
      <c r="F25" s="157">
        <v>-144</v>
      </c>
      <c r="G25" s="158">
        <v>22</v>
      </c>
      <c r="H25" s="158">
        <v>-6</v>
      </c>
      <c r="I25" s="158">
        <v>0</v>
      </c>
      <c r="J25" s="157">
        <v>76</v>
      </c>
      <c r="K25" s="158">
        <v>-3</v>
      </c>
      <c r="L25" s="158">
        <v>-13</v>
      </c>
      <c r="M25" s="158">
        <v>-3</v>
      </c>
      <c r="N25" s="157">
        <v>-2</v>
      </c>
      <c r="O25" s="158">
        <v>0</v>
      </c>
      <c r="P25" s="158">
        <v>0</v>
      </c>
      <c r="Q25" s="158">
        <v>0</v>
      </c>
      <c r="R25" s="157">
        <v>0</v>
      </c>
      <c r="S25" s="158">
        <v>0</v>
      </c>
      <c r="T25" s="158">
        <v>0</v>
      </c>
      <c r="U25" s="158">
        <v>0</v>
      </c>
      <c r="V25" s="158">
        <v>0</v>
      </c>
      <c r="W25" s="137"/>
      <c r="X25" s="137"/>
      <c r="Y25" s="137"/>
      <c r="Z25" s="137"/>
      <c r="AA25" s="137"/>
    </row>
    <row r="26" spans="2:27" s="6" customFormat="1" ht="18.75" customHeight="1" x14ac:dyDescent="0.35">
      <c r="B26" s="90" t="s">
        <v>128</v>
      </c>
      <c r="C26" s="157">
        <v>0</v>
      </c>
      <c r="D26" s="157">
        <v>0</v>
      </c>
      <c r="E26" s="157">
        <v>0</v>
      </c>
      <c r="F26" s="157">
        <v>0</v>
      </c>
      <c r="G26" s="158">
        <v>0</v>
      </c>
      <c r="H26" s="158">
        <v>0</v>
      </c>
      <c r="I26" s="158">
        <v>0</v>
      </c>
      <c r="J26" s="157">
        <v>0</v>
      </c>
      <c r="K26" s="158">
        <v>0</v>
      </c>
      <c r="L26" s="158">
        <v>0</v>
      </c>
      <c r="M26" s="158">
        <v>0</v>
      </c>
      <c r="N26" s="157">
        <v>0</v>
      </c>
      <c r="O26" s="158">
        <v>12</v>
      </c>
      <c r="P26" s="158">
        <v>13</v>
      </c>
      <c r="Q26" s="158">
        <v>8</v>
      </c>
      <c r="R26" s="157">
        <v>30</v>
      </c>
      <c r="S26" s="158">
        <v>0</v>
      </c>
      <c r="T26" s="158">
        <v>0</v>
      </c>
      <c r="U26" s="158">
        <v>-8</v>
      </c>
      <c r="V26" s="158">
        <v>0</v>
      </c>
      <c r="W26" s="137"/>
      <c r="X26" s="137"/>
      <c r="Y26" s="137"/>
      <c r="Z26" s="137"/>
      <c r="AA26" s="137"/>
    </row>
    <row r="27" spans="2:27" s="6" customFormat="1" ht="18.75" customHeight="1" x14ac:dyDescent="0.35">
      <c r="B27" s="169" t="s">
        <v>129</v>
      </c>
      <c r="C27" s="157">
        <v>0</v>
      </c>
      <c r="D27" s="157">
        <v>0</v>
      </c>
      <c r="E27" s="157">
        <v>0</v>
      </c>
      <c r="F27" s="157">
        <v>0</v>
      </c>
      <c r="G27" s="158">
        <v>0</v>
      </c>
      <c r="H27" s="158">
        <v>0</v>
      </c>
      <c r="I27" s="158">
        <v>0</v>
      </c>
      <c r="J27" s="157">
        <v>0</v>
      </c>
      <c r="K27" s="158">
        <v>0</v>
      </c>
      <c r="L27" s="158">
        <v>0</v>
      </c>
      <c r="M27" s="158">
        <v>0</v>
      </c>
      <c r="N27" s="157">
        <v>0</v>
      </c>
      <c r="O27" s="158">
        <v>0</v>
      </c>
      <c r="P27" s="158">
        <v>0</v>
      </c>
      <c r="Q27" s="158">
        <v>111</v>
      </c>
      <c r="R27" s="157">
        <v>79</v>
      </c>
      <c r="S27" s="158">
        <v>50</v>
      </c>
      <c r="T27" s="158">
        <v>50</v>
      </c>
      <c r="U27" s="158">
        <v>59</v>
      </c>
      <c r="V27" s="158">
        <v>81</v>
      </c>
      <c r="W27" s="137"/>
      <c r="X27" s="137"/>
      <c r="Y27" s="137"/>
      <c r="Z27" s="137"/>
      <c r="AA27" s="137"/>
    </row>
    <row r="28" spans="2:27" s="6" customFormat="1" ht="18.75" customHeight="1" x14ac:dyDescent="0.35">
      <c r="B28" s="90" t="s">
        <v>130</v>
      </c>
      <c r="C28" s="157">
        <v>0</v>
      </c>
      <c r="D28" s="157">
        <v>0</v>
      </c>
      <c r="E28" s="157">
        <v>0</v>
      </c>
      <c r="F28" s="157">
        <v>0</v>
      </c>
      <c r="G28" s="158">
        <v>0</v>
      </c>
      <c r="H28" s="158">
        <v>0</v>
      </c>
      <c r="I28" s="158">
        <v>0</v>
      </c>
      <c r="J28" s="157">
        <v>0</v>
      </c>
      <c r="K28" s="158">
        <v>0</v>
      </c>
      <c r="L28" s="158">
        <v>0</v>
      </c>
      <c r="M28" s="158">
        <v>0</v>
      </c>
      <c r="N28" s="157">
        <v>0</v>
      </c>
      <c r="O28" s="158">
        <v>0</v>
      </c>
      <c r="P28" s="158">
        <v>-376</v>
      </c>
      <c r="Q28" s="158">
        <v>-16</v>
      </c>
      <c r="R28" s="157">
        <v>-648</v>
      </c>
      <c r="S28" s="158">
        <v>0</v>
      </c>
      <c r="T28" s="158">
        <v>0</v>
      </c>
      <c r="U28" s="158">
        <v>0</v>
      </c>
      <c r="V28" s="158">
        <v>0</v>
      </c>
      <c r="W28" s="137"/>
      <c r="X28" s="137"/>
      <c r="Y28" s="137"/>
      <c r="Z28" s="137"/>
      <c r="AA28" s="137"/>
    </row>
    <row r="29" spans="2:27" s="6" customFormat="1" ht="18.75" customHeight="1" x14ac:dyDescent="0.35">
      <c r="B29" s="90" t="s">
        <v>131</v>
      </c>
      <c r="C29" s="157">
        <v>0</v>
      </c>
      <c r="D29" s="157">
        <v>0</v>
      </c>
      <c r="E29" s="157">
        <v>0</v>
      </c>
      <c r="F29" s="157">
        <v>0</v>
      </c>
      <c r="G29" s="158">
        <v>0</v>
      </c>
      <c r="H29" s="158">
        <v>0</v>
      </c>
      <c r="I29" s="158">
        <v>0</v>
      </c>
      <c r="J29" s="157">
        <v>0</v>
      </c>
      <c r="K29" s="158">
        <v>0</v>
      </c>
      <c r="L29" s="158">
        <v>0</v>
      </c>
      <c r="M29" s="158">
        <v>0</v>
      </c>
      <c r="N29" s="157">
        <v>0</v>
      </c>
      <c r="O29" s="158">
        <v>0</v>
      </c>
      <c r="P29" s="158">
        <v>0</v>
      </c>
      <c r="Q29" s="158">
        <v>0</v>
      </c>
      <c r="R29" s="157">
        <v>-52</v>
      </c>
      <c r="S29" s="158">
        <v>-128</v>
      </c>
      <c r="T29" s="158">
        <v>-75</v>
      </c>
      <c r="U29" s="158">
        <f>-285-S29-T29</f>
        <v>-82</v>
      </c>
      <c r="V29" s="158">
        <v>-6</v>
      </c>
      <c r="W29" s="137"/>
      <c r="X29" s="137"/>
      <c r="Y29" s="137"/>
      <c r="Z29" s="137"/>
      <c r="AA29" s="137"/>
    </row>
    <row r="30" spans="2:27" s="6" customFormat="1" ht="18.75" customHeight="1" x14ac:dyDescent="0.35">
      <c r="B30" s="90" t="s">
        <v>511</v>
      </c>
      <c r="C30" s="157">
        <v>0</v>
      </c>
      <c r="D30" s="157">
        <v>0</v>
      </c>
      <c r="E30" s="157">
        <v>0</v>
      </c>
      <c r="F30" s="157">
        <v>0</v>
      </c>
      <c r="G30" s="158">
        <v>0</v>
      </c>
      <c r="H30" s="158">
        <v>0</v>
      </c>
      <c r="I30" s="158">
        <v>0</v>
      </c>
      <c r="J30" s="157">
        <v>0</v>
      </c>
      <c r="K30" s="158">
        <v>0</v>
      </c>
      <c r="L30" s="158">
        <v>0</v>
      </c>
      <c r="M30" s="158">
        <v>0</v>
      </c>
      <c r="N30" s="157">
        <v>0</v>
      </c>
      <c r="O30" s="158">
        <v>0</v>
      </c>
      <c r="P30" s="158">
        <v>0</v>
      </c>
      <c r="Q30" s="158">
        <v>-117</v>
      </c>
      <c r="R30" s="157">
        <v>0</v>
      </c>
      <c r="S30" s="158">
        <v>0</v>
      </c>
      <c r="T30" s="158">
        <v>0</v>
      </c>
      <c r="U30" s="158">
        <v>0</v>
      </c>
      <c r="V30" s="158">
        <v>0</v>
      </c>
      <c r="W30" s="137"/>
      <c r="X30" s="137"/>
      <c r="Y30" s="137"/>
      <c r="Z30" s="137"/>
      <c r="AA30" s="137"/>
    </row>
    <row r="31" spans="2:27" s="6" customFormat="1" ht="18.75" customHeight="1" x14ac:dyDescent="0.35">
      <c r="B31" s="90" t="s">
        <v>132</v>
      </c>
      <c r="C31" s="157">
        <v>0</v>
      </c>
      <c r="D31" s="157">
        <v>0</v>
      </c>
      <c r="E31" s="157">
        <v>0</v>
      </c>
      <c r="F31" s="157">
        <v>0</v>
      </c>
      <c r="G31" s="158">
        <v>0</v>
      </c>
      <c r="H31" s="158">
        <v>0</v>
      </c>
      <c r="I31" s="158">
        <v>0</v>
      </c>
      <c r="J31" s="157">
        <v>0</v>
      </c>
      <c r="K31" s="158">
        <v>0</v>
      </c>
      <c r="L31" s="158">
        <v>0</v>
      </c>
      <c r="M31" s="158">
        <v>0</v>
      </c>
      <c r="N31" s="157">
        <v>0</v>
      </c>
      <c r="O31" s="158">
        <v>0</v>
      </c>
      <c r="P31" s="158">
        <v>0</v>
      </c>
      <c r="Q31" s="158">
        <v>0</v>
      </c>
      <c r="R31" s="157">
        <v>0</v>
      </c>
      <c r="S31" s="158">
        <v>0</v>
      </c>
      <c r="T31" s="158">
        <v>0</v>
      </c>
      <c r="U31" s="158">
        <v>0</v>
      </c>
      <c r="V31" s="158">
        <v>0</v>
      </c>
      <c r="W31" s="137"/>
      <c r="X31" s="137"/>
      <c r="Y31" s="137"/>
      <c r="Z31" s="137"/>
      <c r="AA31" s="137"/>
    </row>
    <row r="32" spans="2:27" x14ac:dyDescent="0.25">
      <c r="B32" s="90" t="s">
        <v>568</v>
      </c>
      <c r="V32" s="158">
        <v>85</v>
      </c>
    </row>
    <row r="33" spans="2:31" s="6" customFormat="1" ht="18.75" customHeight="1" x14ac:dyDescent="0.35">
      <c r="B33" s="90" t="s">
        <v>133</v>
      </c>
      <c r="C33" s="157">
        <v>37</v>
      </c>
      <c r="D33" s="157">
        <v>3</v>
      </c>
      <c r="E33" s="157">
        <v>91</v>
      </c>
      <c r="F33" s="157">
        <v>17</v>
      </c>
      <c r="G33" s="158">
        <v>-65</v>
      </c>
      <c r="H33" s="158">
        <v>71</v>
      </c>
      <c r="I33" s="158">
        <v>-10</v>
      </c>
      <c r="J33" s="157">
        <v>9</v>
      </c>
      <c r="K33" s="158">
        <v>-3</v>
      </c>
      <c r="L33" s="158">
        <v>1</v>
      </c>
      <c r="M33" s="158">
        <v>5</v>
      </c>
      <c r="N33" s="157">
        <v>-6</v>
      </c>
      <c r="O33" s="158">
        <v>-3</v>
      </c>
      <c r="P33" s="158">
        <v>3</v>
      </c>
      <c r="Q33" s="158">
        <v>-20</v>
      </c>
      <c r="R33" s="157">
        <v>34</v>
      </c>
      <c r="S33" s="158">
        <v>4</v>
      </c>
      <c r="T33" s="158">
        <v>-57</v>
      </c>
      <c r="U33" s="158">
        <v>104</v>
      </c>
      <c r="V33" s="158">
        <v>13</v>
      </c>
      <c r="W33" s="137"/>
      <c r="X33" s="137"/>
      <c r="Y33" s="137"/>
      <c r="Z33" s="137"/>
      <c r="AA33" s="137"/>
    </row>
    <row r="34" spans="2:31" s="6" customFormat="1" ht="12" customHeight="1" x14ac:dyDescent="0.35">
      <c r="B34" s="94"/>
      <c r="C34" s="78"/>
      <c r="D34" s="78"/>
      <c r="E34" s="78"/>
      <c r="F34" s="78"/>
      <c r="G34" s="77"/>
      <c r="H34" s="77"/>
      <c r="I34" s="77"/>
      <c r="J34" s="78"/>
      <c r="K34" s="77"/>
      <c r="L34" s="77"/>
      <c r="M34" s="77"/>
      <c r="N34" s="78"/>
      <c r="O34" s="77"/>
      <c r="P34" s="77"/>
      <c r="Q34" s="77"/>
      <c r="R34" s="137"/>
      <c r="S34" s="77"/>
      <c r="T34" s="77"/>
      <c r="U34" s="77"/>
      <c r="V34" s="77"/>
      <c r="W34" s="137"/>
      <c r="X34" s="137"/>
      <c r="Y34" s="137"/>
      <c r="Z34" s="137"/>
      <c r="AA34" s="137"/>
    </row>
    <row r="35" spans="2:31" s="6" customFormat="1" ht="18" x14ac:dyDescent="0.35">
      <c r="B35" s="167" t="s">
        <v>136</v>
      </c>
      <c r="C35" s="78"/>
      <c r="D35" s="78"/>
      <c r="E35" s="78"/>
      <c r="F35" s="78"/>
      <c r="G35" s="77"/>
      <c r="H35" s="77"/>
      <c r="I35" s="77"/>
      <c r="J35" s="78"/>
      <c r="K35" s="77"/>
      <c r="L35" s="77"/>
      <c r="M35" s="77"/>
      <c r="N35" s="78"/>
      <c r="O35" s="77"/>
      <c r="P35" s="77"/>
      <c r="Q35" s="77"/>
      <c r="R35" s="78"/>
      <c r="S35" s="77"/>
      <c r="T35" s="77"/>
      <c r="U35" s="77"/>
      <c r="V35" s="77"/>
      <c r="W35" s="137"/>
      <c r="X35" s="137"/>
      <c r="Y35" s="137"/>
      <c r="Z35" s="137"/>
      <c r="AA35" s="137"/>
    </row>
    <row r="36" spans="2:31" s="6" customFormat="1" ht="18" x14ac:dyDescent="0.35">
      <c r="B36" s="170" t="s">
        <v>139</v>
      </c>
      <c r="C36" s="157">
        <v>-3649</v>
      </c>
      <c r="D36" s="157">
        <v>-1038</v>
      </c>
      <c r="E36" s="157">
        <v>536</v>
      </c>
      <c r="F36" s="157">
        <v>-154</v>
      </c>
      <c r="G36" s="158">
        <v>185</v>
      </c>
      <c r="H36" s="158">
        <v>317</v>
      </c>
      <c r="I36" s="158">
        <v>42</v>
      </c>
      <c r="J36" s="157">
        <v>1184</v>
      </c>
      <c r="K36" s="158">
        <v>766</v>
      </c>
      <c r="L36" s="158">
        <v>391</v>
      </c>
      <c r="M36" s="158">
        <v>2145</v>
      </c>
      <c r="N36" s="157">
        <v>281</v>
      </c>
      <c r="O36" s="158">
        <v>838</v>
      </c>
      <c r="P36" s="158">
        <v>158</v>
      </c>
      <c r="Q36" s="158">
        <v>-148</v>
      </c>
      <c r="R36" s="157">
        <v>-215</v>
      </c>
      <c r="S36" s="158">
        <v>-150</v>
      </c>
      <c r="T36" s="158">
        <v>-408</v>
      </c>
      <c r="U36" s="158">
        <v>-851</v>
      </c>
      <c r="V36" s="158">
        <v>421</v>
      </c>
      <c r="W36" s="137"/>
      <c r="X36" s="137"/>
      <c r="Y36" s="137"/>
      <c r="Z36" s="137"/>
      <c r="AA36" s="137"/>
    </row>
    <row r="37" spans="2:31" s="6" customFormat="1" ht="18" x14ac:dyDescent="0.35">
      <c r="B37" s="170" t="s">
        <v>94</v>
      </c>
      <c r="C37" s="157">
        <v>-250</v>
      </c>
      <c r="D37" s="157">
        <v>-235</v>
      </c>
      <c r="E37" s="157">
        <v>204</v>
      </c>
      <c r="F37" s="157">
        <v>-533</v>
      </c>
      <c r="G37" s="158">
        <v>214</v>
      </c>
      <c r="H37" s="158">
        <v>-62</v>
      </c>
      <c r="I37" s="158">
        <v>-166</v>
      </c>
      <c r="J37" s="157">
        <v>407</v>
      </c>
      <c r="K37" s="158">
        <v>54</v>
      </c>
      <c r="L37" s="158">
        <v>-158</v>
      </c>
      <c r="M37" s="158">
        <v>-27</v>
      </c>
      <c r="N37" s="157">
        <v>-358</v>
      </c>
      <c r="O37" s="158">
        <v>435</v>
      </c>
      <c r="P37" s="158">
        <v>630</v>
      </c>
      <c r="Q37" s="158">
        <v>-620</v>
      </c>
      <c r="R37" s="157">
        <v>-608</v>
      </c>
      <c r="S37" s="158">
        <v>17</v>
      </c>
      <c r="T37" s="158">
        <v>-1070</v>
      </c>
      <c r="U37" s="158">
        <v>-216</v>
      </c>
      <c r="V37" s="158">
        <v>-848</v>
      </c>
      <c r="W37" s="137"/>
      <c r="X37" s="137"/>
      <c r="Y37" s="137"/>
      <c r="Z37" s="137"/>
      <c r="AA37" s="137"/>
    </row>
    <row r="38" spans="2:31" s="17" customFormat="1" ht="19.5" x14ac:dyDescent="0.35">
      <c r="B38" s="171" t="s">
        <v>140</v>
      </c>
      <c r="C38" s="157"/>
      <c r="D38" s="157">
        <v>0</v>
      </c>
      <c r="E38" s="157">
        <v>-359</v>
      </c>
      <c r="F38" s="157">
        <v>-569</v>
      </c>
      <c r="G38" s="158">
        <v>-113</v>
      </c>
      <c r="H38" s="158">
        <v>-115</v>
      </c>
      <c r="I38" s="158">
        <v>-152</v>
      </c>
      <c r="J38" s="157">
        <v>-217</v>
      </c>
      <c r="K38" s="158">
        <v>-168</v>
      </c>
      <c r="L38" s="158">
        <v>-273</v>
      </c>
      <c r="M38" s="158">
        <v>-292</v>
      </c>
      <c r="N38" s="157">
        <v>-258</v>
      </c>
      <c r="O38" s="158">
        <v>-103</v>
      </c>
      <c r="P38" s="158">
        <v>-104</v>
      </c>
      <c r="Q38" s="158">
        <v>-84</v>
      </c>
      <c r="R38" s="157">
        <v>-176</v>
      </c>
      <c r="S38" s="158">
        <v>-124</v>
      </c>
      <c r="T38" s="158">
        <v>-164</v>
      </c>
      <c r="U38" s="158">
        <v>-105</v>
      </c>
      <c r="V38" s="158">
        <v>-191</v>
      </c>
      <c r="W38" s="188"/>
      <c r="X38" s="188"/>
      <c r="Y38" s="188"/>
      <c r="Z38" s="188"/>
      <c r="AA38" s="188"/>
      <c r="AC38" s="39"/>
      <c r="AD38" s="39"/>
      <c r="AE38" s="39"/>
    </row>
    <row r="39" spans="2:31" s="17" customFormat="1" ht="19.5" x14ac:dyDescent="0.35">
      <c r="B39" s="171" t="s">
        <v>99</v>
      </c>
      <c r="C39" s="157">
        <v>-902</v>
      </c>
      <c r="D39" s="157">
        <v>-982</v>
      </c>
      <c r="E39" s="157">
        <v>-45</v>
      </c>
      <c r="F39" s="157">
        <v>-87</v>
      </c>
      <c r="G39" s="158">
        <v>-45</v>
      </c>
      <c r="H39" s="158">
        <v>-17</v>
      </c>
      <c r="I39" s="158">
        <v>-22</v>
      </c>
      <c r="J39" s="157">
        <v>-5</v>
      </c>
      <c r="K39" s="158">
        <v>-13</v>
      </c>
      <c r="L39" s="158">
        <v>-11</v>
      </c>
      <c r="M39" s="158">
        <v>-11</v>
      </c>
      <c r="N39" s="157">
        <v>-13</v>
      </c>
      <c r="O39" s="158">
        <v>-18</v>
      </c>
      <c r="P39" s="158">
        <v>-9</v>
      </c>
      <c r="Q39" s="158">
        <v>-6</v>
      </c>
      <c r="R39" s="157">
        <v>-14</v>
      </c>
      <c r="S39" s="158">
        <v>-54</v>
      </c>
      <c r="T39" s="158">
        <v>-24</v>
      </c>
      <c r="U39" s="158">
        <v>-13</v>
      </c>
      <c r="V39" s="158">
        <v>-57</v>
      </c>
      <c r="W39" s="188"/>
      <c r="X39" s="188"/>
      <c r="Y39" s="188"/>
      <c r="Z39" s="188"/>
      <c r="AA39" s="188"/>
      <c r="AC39" s="39"/>
      <c r="AD39" s="39"/>
      <c r="AE39" s="39"/>
    </row>
    <row r="40" spans="2:31" s="17" customFormat="1" ht="19.5" x14ac:dyDescent="0.35">
      <c r="B40" s="171" t="s">
        <v>137</v>
      </c>
      <c r="C40" s="157">
        <v>-83</v>
      </c>
      <c r="D40" s="157">
        <v>106</v>
      </c>
      <c r="E40" s="157">
        <v>-116</v>
      </c>
      <c r="F40" s="157">
        <v>-7</v>
      </c>
      <c r="G40" s="158">
        <v>-5</v>
      </c>
      <c r="H40" s="158">
        <v>-18</v>
      </c>
      <c r="I40" s="158">
        <v>1</v>
      </c>
      <c r="J40" s="157">
        <v>9</v>
      </c>
      <c r="K40" s="158">
        <v>-47</v>
      </c>
      <c r="L40" s="158">
        <v>-12</v>
      </c>
      <c r="M40" s="158">
        <v>-28</v>
      </c>
      <c r="N40" s="157">
        <v>-11</v>
      </c>
      <c r="O40" s="158">
        <v>-5</v>
      </c>
      <c r="P40" s="158">
        <v>-3</v>
      </c>
      <c r="Q40" s="158">
        <v>-6</v>
      </c>
      <c r="R40" s="157">
        <v>-7</v>
      </c>
      <c r="S40" s="158">
        <v>0</v>
      </c>
      <c r="T40" s="158">
        <v>-11</v>
      </c>
      <c r="U40" s="158">
        <v>7</v>
      </c>
      <c r="V40" s="158">
        <v>-10</v>
      </c>
      <c r="W40" s="188"/>
      <c r="X40" s="188"/>
      <c r="Y40" s="188"/>
      <c r="Z40" s="188"/>
      <c r="AA40" s="188"/>
      <c r="AC40" s="39"/>
      <c r="AD40" s="39"/>
      <c r="AE40" s="39"/>
    </row>
    <row r="41" spans="2:31" s="17" customFormat="1" ht="19.5" x14ac:dyDescent="0.35">
      <c r="B41" s="171" t="s">
        <v>138</v>
      </c>
      <c r="C41" s="157"/>
      <c r="D41" s="157">
        <v>0</v>
      </c>
      <c r="E41" s="157">
        <v>0</v>
      </c>
      <c r="F41" s="157">
        <v>0</v>
      </c>
      <c r="G41" s="158">
        <v>0</v>
      </c>
      <c r="H41" s="158">
        <v>0</v>
      </c>
      <c r="I41" s="158">
        <v>0</v>
      </c>
      <c r="J41" s="157">
        <v>0</v>
      </c>
      <c r="K41" s="158">
        <v>0</v>
      </c>
      <c r="L41" s="158">
        <v>0</v>
      </c>
      <c r="M41" s="158">
        <v>0</v>
      </c>
      <c r="N41" s="157">
        <v>0</v>
      </c>
      <c r="O41" s="158">
        <v>0</v>
      </c>
      <c r="P41" s="158">
        <v>0</v>
      </c>
      <c r="Q41" s="158">
        <v>-13</v>
      </c>
      <c r="R41" s="157">
        <v>-177</v>
      </c>
      <c r="S41" s="158">
        <v>-41</v>
      </c>
      <c r="T41" s="158">
        <v>-69</v>
      </c>
      <c r="U41" s="158">
        <v>-47</v>
      </c>
      <c r="V41" s="158">
        <v>-83</v>
      </c>
      <c r="W41" s="188"/>
      <c r="X41" s="188"/>
      <c r="Y41" s="188"/>
      <c r="Z41" s="188"/>
      <c r="AA41" s="188"/>
      <c r="AC41" s="39"/>
      <c r="AD41" s="39"/>
      <c r="AE41" s="39"/>
    </row>
    <row r="42" spans="2:31" s="17" customFormat="1" ht="19.5" hidden="1" x14ac:dyDescent="0.35">
      <c r="B42" s="171"/>
      <c r="C42" s="199"/>
      <c r="D42" s="199"/>
      <c r="E42" s="199"/>
      <c r="F42" s="199"/>
      <c r="G42" s="199"/>
      <c r="H42" s="188"/>
      <c r="I42" s="199"/>
      <c r="J42" s="199"/>
      <c r="K42" s="199"/>
      <c r="L42" s="188"/>
      <c r="M42" s="199"/>
      <c r="N42" s="199"/>
      <c r="O42" s="199"/>
      <c r="P42" s="188"/>
      <c r="Q42" s="199"/>
      <c r="R42" s="199"/>
      <c r="S42" s="199"/>
      <c r="T42" s="199"/>
      <c r="U42" s="77"/>
      <c r="V42" s="77"/>
      <c r="W42" s="188"/>
      <c r="X42" s="188"/>
      <c r="Y42" s="188"/>
      <c r="Z42" s="188"/>
      <c r="AA42" s="188"/>
      <c r="AC42" s="39"/>
      <c r="AD42" s="39"/>
      <c r="AE42" s="39"/>
    </row>
    <row r="43" spans="2:31" s="17" customFormat="1" ht="19.5" hidden="1" x14ac:dyDescent="0.35">
      <c r="B43" s="171"/>
      <c r="C43" s="199"/>
      <c r="D43" s="199"/>
      <c r="E43" s="199"/>
      <c r="F43" s="199"/>
      <c r="G43" s="199"/>
      <c r="H43" s="188"/>
      <c r="I43" s="199"/>
      <c r="J43" s="199"/>
      <c r="K43" s="199"/>
      <c r="L43" s="188"/>
      <c r="M43" s="199"/>
      <c r="N43" s="199"/>
      <c r="O43" s="199"/>
      <c r="P43" s="188"/>
      <c r="Q43" s="199"/>
      <c r="R43" s="199"/>
      <c r="S43" s="199"/>
      <c r="T43" s="199"/>
      <c r="U43" s="77"/>
      <c r="V43" s="77"/>
      <c r="W43" s="188"/>
      <c r="X43" s="188"/>
      <c r="Y43" s="188"/>
      <c r="Z43" s="188"/>
      <c r="AA43" s="188"/>
      <c r="AC43" s="39"/>
      <c r="AD43" s="39"/>
      <c r="AE43" s="39"/>
    </row>
    <row r="44" spans="2:31" s="17" customFormat="1" ht="19.5" x14ac:dyDescent="0.35">
      <c r="B44" s="171" t="s">
        <v>141</v>
      </c>
      <c r="C44" s="157">
        <v>124</v>
      </c>
      <c r="D44" s="157">
        <v>-259</v>
      </c>
      <c r="E44" s="157">
        <v>-531</v>
      </c>
      <c r="F44" s="157">
        <v>38</v>
      </c>
      <c r="G44" s="158">
        <v>-355</v>
      </c>
      <c r="H44" s="158">
        <v>-219</v>
      </c>
      <c r="I44" s="158">
        <v>135</v>
      </c>
      <c r="J44" s="157">
        <v>-121</v>
      </c>
      <c r="K44" s="158">
        <v>-115</v>
      </c>
      <c r="L44" s="158">
        <v>-71</v>
      </c>
      <c r="M44" s="158">
        <v>-214</v>
      </c>
      <c r="N44" s="157">
        <v>474</v>
      </c>
      <c r="O44" s="158">
        <v>-907</v>
      </c>
      <c r="P44" s="158">
        <v>-340</v>
      </c>
      <c r="Q44" s="158">
        <v>465</v>
      </c>
      <c r="R44" s="157">
        <v>437</v>
      </c>
      <c r="S44" s="158">
        <v>-705</v>
      </c>
      <c r="T44" s="158">
        <v>849</v>
      </c>
      <c r="U44" s="158">
        <v>552</v>
      </c>
      <c r="V44" s="158">
        <v>750</v>
      </c>
      <c r="W44" s="188"/>
      <c r="X44" s="188"/>
      <c r="Y44" s="188"/>
      <c r="Z44" s="188"/>
      <c r="AA44" s="188"/>
      <c r="AC44" s="39"/>
      <c r="AD44" s="39"/>
      <c r="AE44" s="39"/>
    </row>
    <row r="45" spans="2:31" s="17" customFormat="1" ht="19.5" x14ac:dyDescent="0.35">
      <c r="B45" s="171" t="s">
        <v>142</v>
      </c>
      <c r="C45" s="157">
        <v>-652</v>
      </c>
      <c r="D45" s="157">
        <v>-879</v>
      </c>
      <c r="E45" s="157">
        <v>-313</v>
      </c>
      <c r="F45" s="157">
        <v>-96</v>
      </c>
      <c r="G45" s="158">
        <v>0</v>
      </c>
      <c r="H45" s="158">
        <v>-1</v>
      </c>
      <c r="I45" s="158">
        <v>0</v>
      </c>
      <c r="J45" s="157">
        <v>-25</v>
      </c>
      <c r="K45" s="158">
        <v>-200</v>
      </c>
      <c r="L45" s="158">
        <v>-193</v>
      </c>
      <c r="M45" s="158">
        <v>-93</v>
      </c>
      <c r="N45" s="157">
        <v>-727</v>
      </c>
      <c r="O45" s="158">
        <v>-71</v>
      </c>
      <c r="P45" s="158">
        <v>0</v>
      </c>
      <c r="Q45" s="158">
        <v>-363</v>
      </c>
      <c r="R45" s="157">
        <v>-553</v>
      </c>
      <c r="S45" s="158">
        <v>0</v>
      </c>
      <c r="T45" s="158">
        <v>-1</v>
      </c>
      <c r="U45" s="158">
        <v>0</v>
      </c>
      <c r="V45" s="158">
        <v>0</v>
      </c>
      <c r="W45" s="188"/>
      <c r="X45" s="188"/>
      <c r="Y45" s="188"/>
      <c r="Z45" s="188"/>
      <c r="AA45" s="188"/>
      <c r="AC45" s="39"/>
      <c r="AD45" s="39"/>
      <c r="AE45" s="39"/>
    </row>
    <row r="46" spans="2:31" s="17" customFormat="1" ht="19.5" x14ac:dyDescent="0.35">
      <c r="B46" s="171" t="s">
        <v>143</v>
      </c>
      <c r="C46" s="157">
        <v>-226</v>
      </c>
      <c r="D46" s="157">
        <v>21</v>
      </c>
      <c r="E46" s="157">
        <v>-273</v>
      </c>
      <c r="F46" s="157">
        <v>-225</v>
      </c>
      <c r="G46" s="158">
        <v>-65</v>
      </c>
      <c r="H46" s="158">
        <v>-104</v>
      </c>
      <c r="I46" s="158">
        <v>-127</v>
      </c>
      <c r="J46" s="157">
        <v>165</v>
      </c>
      <c r="K46" s="158">
        <v>-97</v>
      </c>
      <c r="L46" s="158">
        <v>35</v>
      </c>
      <c r="M46" s="158">
        <v>-285</v>
      </c>
      <c r="N46" s="157">
        <v>-82</v>
      </c>
      <c r="O46" s="158">
        <v>-220</v>
      </c>
      <c r="P46" s="158">
        <v>47</v>
      </c>
      <c r="Q46" s="158">
        <v>82</v>
      </c>
      <c r="R46" s="157">
        <v>209</v>
      </c>
      <c r="S46" s="158">
        <v>203</v>
      </c>
      <c r="T46" s="158">
        <v>-175</v>
      </c>
      <c r="U46" s="158">
        <v>74</v>
      </c>
      <c r="V46" s="158">
        <v>-80</v>
      </c>
      <c r="W46" s="188"/>
      <c r="X46" s="188"/>
      <c r="Y46" s="188"/>
      <c r="Z46" s="188"/>
      <c r="AA46" s="188"/>
      <c r="AC46" s="39"/>
      <c r="AD46" s="39"/>
      <c r="AE46" s="39"/>
    </row>
    <row r="47" spans="2:31" s="17" customFormat="1" ht="19.5" x14ac:dyDescent="0.35">
      <c r="B47" s="171" t="s">
        <v>144</v>
      </c>
      <c r="C47" s="157">
        <v>-92</v>
      </c>
      <c r="D47" s="157">
        <v>-116</v>
      </c>
      <c r="E47" s="157">
        <v>-137</v>
      </c>
      <c r="F47" s="157">
        <v>-139</v>
      </c>
      <c r="G47" s="158">
        <v>-38</v>
      </c>
      <c r="H47" s="158">
        <v>-54</v>
      </c>
      <c r="I47" s="158">
        <v>-42</v>
      </c>
      <c r="J47" s="157">
        <v>-64</v>
      </c>
      <c r="K47" s="158">
        <v>-40</v>
      </c>
      <c r="L47" s="158">
        <v>-482</v>
      </c>
      <c r="M47" s="158">
        <v>-56</v>
      </c>
      <c r="N47" s="157">
        <v>-62</v>
      </c>
      <c r="O47" s="158">
        <v>-44</v>
      </c>
      <c r="P47" s="158">
        <v>-70</v>
      </c>
      <c r="Q47" s="158">
        <v>-50</v>
      </c>
      <c r="R47" s="157">
        <v>-207</v>
      </c>
      <c r="S47" s="158">
        <v>-42</v>
      </c>
      <c r="T47" s="158">
        <v>-69</v>
      </c>
      <c r="U47" s="158">
        <v>-46</v>
      </c>
      <c r="V47" s="158">
        <v>-52</v>
      </c>
      <c r="W47" s="188"/>
      <c r="X47" s="188"/>
      <c r="Y47" s="188"/>
      <c r="Z47" s="188"/>
      <c r="AA47" s="188"/>
      <c r="AC47" s="39"/>
      <c r="AD47" s="39"/>
      <c r="AE47" s="39"/>
    </row>
    <row r="48" spans="2:31" s="17" customFormat="1" ht="19.5" x14ac:dyDescent="0.35">
      <c r="B48" s="171" t="s">
        <v>145</v>
      </c>
      <c r="C48" s="157">
        <v>-149</v>
      </c>
      <c r="D48" s="157">
        <v>-5</v>
      </c>
      <c r="E48" s="157">
        <v>-85</v>
      </c>
      <c r="F48" s="157">
        <v>-293</v>
      </c>
      <c r="G48" s="158">
        <v>-1</v>
      </c>
      <c r="H48" s="158">
        <v>-15</v>
      </c>
      <c r="I48" s="158">
        <v>0</v>
      </c>
      <c r="J48" s="157">
        <v>-1</v>
      </c>
      <c r="K48" s="158">
        <v>-11</v>
      </c>
      <c r="L48" s="158">
        <v>-42</v>
      </c>
      <c r="M48" s="158">
        <v>-2</v>
      </c>
      <c r="N48" s="157">
        <v>-5</v>
      </c>
      <c r="O48" s="158">
        <v>-1</v>
      </c>
      <c r="P48" s="158">
        <v>-1</v>
      </c>
      <c r="Q48" s="158">
        <v>0</v>
      </c>
      <c r="R48" s="157">
        <v>0</v>
      </c>
      <c r="S48" s="158">
        <v>0</v>
      </c>
      <c r="T48" s="158">
        <v>0</v>
      </c>
      <c r="U48" s="158">
        <v>0</v>
      </c>
      <c r="V48" s="158">
        <v>0</v>
      </c>
      <c r="W48" s="188"/>
      <c r="X48" s="188"/>
      <c r="Y48" s="188"/>
      <c r="Z48" s="188"/>
      <c r="AA48" s="188"/>
      <c r="AC48" s="39"/>
      <c r="AD48" s="39"/>
      <c r="AE48" s="39"/>
    </row>
    <row r="49" spans="2:31" s="17" customFormat="1" ht="19.5" x14ac:dyDescent="0.35">
      <c r="B49" s="171" t="s">
        <v>146</v>
      </c>
      <c r="C49" s="157">
        <v>0</v>
      </c>
      <c r="D49" s="157">
        <v>0</v>
      </c>
      <c r="E49" s="157">
        <v>0</v>
      </c>
      <c r="F49" s="157">
        <v>0</v>
      </c>
      <c r="G49" s="158">
        <v>0</v>
      </c>
      <c r="H49" s="158">
        <v>0</v>
      </c>
      <c r="I49" s="158">
        <v>0</v>
      </c>
      <c r="J49" s="157">
        <v>0</v>
      </c>
      <c r="K49" s="158">
        <v>0</v>
      </c>
      <c r="L49" s="158">
        <v>0</v>
      </c>
      <c r="M49" s="158">
        <v>0</v>
      </c>
      <c r="N49" s="157">
        <v>115</v>
      </c>
      <c r="O49" s="158">
        <v>-106</v>
      </c>
      <c r="P49" s="158">
        <v>-6</v>
      </c>
      <c r="Q49" s="158">
        <v>-2</v>
      </c>
      <c r="R49" s="157">
        <v>0</v>
      </c>
      <c r="S49" s="158">
        <v>-1</v>
      </c>
      <c r="T49" s="158">
        <v>0</v>
      </c>
      <c r="U49" s="158">
        <v>0</v>
      </c>
      <c r="V49" s="158">
        <v>0</v>
      </c>
      <c r="W49" s="188"/>
      <c r="X49" s="188"/>
      <c r="Y49" s="188"/>
      <c r="Z49" s="188"/>
      <c r="AA49" s="188"/>
      <c r="AC49" s="39"/>
      <c r="AD49" s="39"/>
      <c r="AE49" s="39"/>
    </row>
    <row r="50" spans="2:31" s="17" customFormat="1" ht="19.5" x14ac:dyDescent="0.35">
      <c r="B50" s="171" t="s">
        <v>569</v>
      </c>
      <c r="C50" s="157"/>
      <c r="D50" s="157"/>
      <c r="E50" s="157"/>
      <c r="F50" s="157"/>
      <c r="G50" s="158"/>
      <c r="H50" s="158"/>
      <c r="I50" s="158"/>
      <c r="J50" s="157"/>
      <c r="K50" s="158"/>
      <c r="L50" s="158"/>
      <c r="M50" s="158"/>
      <c r="N50" s="157"/>
      <c r="O50" s="158"/>
      <c r="P50" s="158"/>
      <c r="Q50" s="158"/>
      <c r="R50" s="157"/>
      <c r="S50" s="158"/>
      <c r="T50" s="158"/>
      <c r="U50" s="158"/>
      <c r="V50" s="158">
        <v>-53</v>
      </c>
      <c r="W50" s="188"/>
      <c r="X50" s="188"/>
      <c r="Y50" s="188"/>
      <c r="Z50" s="188"/>
      <c r="AA50" s="188"/>
      <c r="AC50" s="39"/>
      <c r="AD50" s="39"/>
      <c r="AE50" s="39"/>
    </row>
    <row r="51" spans="2:31" s="17" customFormat="1" ht="19.5" x14ac:dyDescent="0.35">
      <c r="B51" s="171" t="s">
        <v>147</v>
      </c>
      <c r="C51" s="157">
        <v>0</v>
      </c>
      <c r="D51" s="157">
        <v>0</v>
      </c>
      <c r="E51" s="157">
        <v>0</v>
      </c>
      <c r="F51" s="157">
        <v>0</v>
      </c>
      <c r="G51" s="158">
        <v>0</v>
      </c>
      <c r="H51" s="158">
        <v>-9</v>
      </c>
      <c r="I51" s="158">
        <v>9</v>
      </c>
      <c r="J51" s="157">
        <v>0</v>
      </c>
      <c r="K51" s="158">
        <v>0</v>
      </c>
      <c r="L51" s="158">
        <v>-24</v>
      </c>
      <c r="M51" s="158">
        <v>-8</v>
      </c>
      <c r="N51" s="157">
        <v>-21</v>
      </c>
      <c r="O51" s="158">
        <v>-12</v>
      </c>
      <c r="P51" s="158">
        <v>-8</v>
      </c>
      <c r="Q51" s="158">
        <v>-10</v>
      </c>
      <c r="R51" s="157">
        <v>-21</v>
      </c>
      <c r="S51" s="158">
        <v>-10</v>
      </c>
      <c r="T51" s="158">
        <v>-29</v>
      </c>
      <c r="U51" s="158">
        <v>-25</v>
      </c>
      <c r="V51" s="158">
        <v>-41</v>
      </c>
      <c r="W51" s="188"/>
      <c r="X51" s="188"/>
      <c r="Y51" s="188"/>
      <c r="Z51" s="188"/>
      <c r="AA51" s="188"/>
      <c r="AC51" s="39"/>
      <c r="AD51" s="39"/>
      <c r="AE51" s="39"/>
    </row>
    <row r="52" spans="2:31" s="17" customFormat="1" ht="19.5" x14ac:dyDescent="0.35">
      <c r="B52" s="171" t="s">
        <v>148</v>
      </c>
      <c r="C52" s="157">
        <v>0</v>
      </c>
      <c r="D52" s="157">
        <v>0</v>
      </c>
      <c r="E52" s="157">
        <v>0</v>
      </c>
      <c r="F52" s="157">
        <v>0</v>
      </c>
      <c r="G52" s="158">
        <v>0</v>
      </c>
      <c r="H52" s="158">
        <v>0</v>
      </c>
      <c r="I52" s="158">
        <v>0</v>
      </c>
      <c r="J52" s="157">
        <v>0</v>
      </c>
      <c r="K52" s="158">
        <v>0</v>
      </c>
      <c r="L52" s="158">
        <v>0</v>
      </c>
      <c r="M52" s="158">
        <v>-1</v>
      </c>
      <c r="N52" s="157">
        <v>-16</v>
      </c>
      <c r="O52" s="158">
        <v>0</v>
      </c>
      <c r="P52" s="158">
        <v>0</v>
      </c>
      <c r="Q52" s="158">
        <v>274</v>
      </c>
      <c r="R52" s="157">
        <v>114</v>
      </c>
      <c r="S52" s="158">
        <v>-75</v>
      </c>
      <c r="T52" s="158">
        <v>25</v>
      </c>
      <c r="U52" s="158">
        <v>58</v>
      </c>
      <c r="V52" s="158">
        <v>-61</v>
      </c>
      <c r="W52" s="188"/>
      <c r="X52" s="188"/>
      <c r="Y52" s="188"/>
      <c r="Z52" s="188"/>
      <c r="AA52" s="188"/>
      <c r="AC52" s="39"/>
      <c r="AD52" s="39"/>
      <c r="AE52" s="39"/>
    </row>
    <row r="53" spans="2:31" s="17" customFormat="1" ht="19.5" x14ac:dyDescent="0.35">
      <c r="B53" s="171" t="s">
        <v>149</v>
      </c>
      <c r="C53" s="157">
        <v>93</v>
      </c>
      <c r="D53" s="157">
        <v>60</v>
      </c>
      <c r="E53" s="157">
        <v>-63</v>
      </c>
      <c r="F53" s="157">
        <v>-92</v>
      </c>
      <c r="G53" s="158">
        <v>18</v>
      </c>
      <c r="H53" s="158">
        <v>-54</v>
      </c>
      <c r="I53" s="158">
        <v>67</v>
      </c>
      <c r="J53" s="157">
        <v>-55</v>
      </c>
      <c r="K53" s="158">
        <v>10</v>
      </c>
      <c r="L53" s="158">
        <v>-28</v>
      </c>
      <c r="M53" s="158">
        <v>28</v>
      </c>
      <c r="N53" s="157">
        <v>59</v>
      </c>
      <c r="O53" s="158">
        <v>372</v>
      </c>
      <c r="P53" s="158">
        <v>174</v>
      </c>
      <c r="Q53" s="158">
        <v>-71</v>
      </c>
      <c r="R53" s="157">
        <v>-113</v>
      </c>
      <c r="S53" s="158">
        <v>-252</v>
      </c>
      <c r="T53" s="158">
        <v>-46</v>
      </c>
      <c r="U53" s="158">
        <v>-19</v>
      </c>
      <c r="V53" s="158">
        <v>-2</v>
      </c>
      <c r="W53" s="188"/>
      <c r="X53" s="188"/>
      <c r="Y53" s="188"/>
      <c r="Z53" s="188"/>
      <c r="AA53" s="188"/>
      <c r="AC53" s="39"/>
      <c r="AD53" s="39"/>
      <c r="AE53" s="39"/>
    </row>
    <row r="54" spans="2:31" s="6" customFormat="1" ht="8.25" customHeight="1" x14ac:dyDescent="0.35">
      <c r="B54" s="97"/>
      <c r="C54" s="200"/>
      <c r="D54" s="200"/>
      <c r="E54" s="200"/>
      <c r="F54" s="200"/>
      <c r="G54" s="200"/>
      <c r="H54" s="200"/>
      <c r="I54" s="200"/>
      <c r="J54" s="200"/>
      <c r="K54" s="200"/>
      <c r="L54" s="200"/>
      <c r="M54" s="200"/>
      <c r="N54" s="200"/>
      <c r="O54" s="200"/>
      <c r="P54" s="200"/>
      <c r="Q54" s="200"/>
      <c r="R54" s="200"/>
      <c r="S54" s="200"/>
      <c r="T54" s="200"/>
      <c r="U54" s="201"/>
      <c r="V54" s="201"/>
      <c r="W54" s="137"/>
      <c r="X54" s="137"/>
      <c r="Y54" s="137"/>
      <c r="Z54" s="137"/>
      <c r="AA54" s="137"/>
    </row>
    <row r="55" spans="2:31" s="6" customFormat="1" ht="18" x14ac:dyDescent="0.35">
      <c r="B55" s="95" t="s">
        <v>150</v>
      </c>
      <c r="C55" s="202">
        <f>SUM(C10:C53)</f>
        <v>-2094</v>
      </c>
      <c r="D55" s="202">
        <f t="shared" ref="D55:U55" si="0">SUM(D10:D53)</f>
        <v>482</v>
      </c>
      <c r="E55" s="202">
        <f>SUM(E10:E53)</f>
        <v>2634</v>
      </c>
      <c r="F55" s="202">
        <f t="shared" si="0"/>
        <v>1270</v>
      </c>
      <c r="G55" s="202">
        <f t="shared" si="0"/>
        <v>629</v>
      </c>
      <c r="H55" s="202">
        <f t="shared" si="0"/>
        <v>374</v>
      </c>
      <c r="I55" s="202">
        <f t="shared" si="0"/>
        <v>222</v>
      </c>
      <c r="J55" s="202">
        <f t="shared" si="0"/>
        <v>2103</v>
      </c>
      <c r="K55" s="202">
        <f t="shared" si="0"/>
        <v>1084</v>
      </c>
      <c r="L55" s="202">
        <f t="shared" si="0"/>
        <v>-126</v>
      </c>
      <c r="M55" s="202">
        <f t="shared" si="0"/>
        <v>2080</v>
      </c>
      <c r="N55" s="202">
        <f t="shared" si="0"/>
        <v>-139</v>
      </c>
      <c r="O55" s="202">
        <f t="shared" si="0"/>
        <v>756</v>
      </c>
      <c r="P55" s="202">
        <f t="shared" si="0"/>
        <v>828</v>
      </c>
      <c r="Q55" s="202">
        <f t="shared" si="0"/>
        <v>534</v>
      </c>
      <c r="R55" s="202">
        <f t="shared" si="0"/>
        <v>-300</v>
      </c>
      <c r="S55" s="202">
        <f t="shared" si="0"/>
        <v>351</v>
      </c>
      <c r="T55" s="202">
        <f t="shared" si="0"/>
        <v>-212</v>
      </c>
      <c r="U55" s="203">
        <f t="shared" si="0"/>
        <v>619</v>
      </c>
      <c r="V55" s="203">
        <f>SUM(V10:V53)</f>
        <v>1518</v>
      </c>
      <c r="W55" s="137"/>
      <c r="X55" s="137"/>
      <c r="Y55" s="137"/>
      <c r="Z55" s="137"/>
      <c r="AA55" s="137"/>
    </row>
    <row r="56" spans="2:31" s="6" customFormat="1" ht="18.75" customHeight="1" x14ac:dyDescent="0.35">
      <c r="B56" s="167" t="s">
        <v>151</v>
      </c>
      <c r="C56" s="78"/>
      <c r="D56" s="78"/>
      <c r="E56" s="78"/>
      <c r="F56" s="78"/>
      <c r="G56" s="77"/>
      <c r="H56" s="77"/>
      <c r="I56" s="77"/>
      <c r="J56" s="78"/>
      <c r="K56" s="77"/>
      <c r="L56" s="77"/>
      <c r="M56" s="77"/>
      <c r="N56" s="78"/>
      <c r="O56" s="77"/>
      <c r="P56" s="77"/>
      <c r="Q56" s="77"/>
      <c r="R56" s="78"/>
      <c r="S56" s="77"/>
      <c r="T56" s="77"/>
      <c r="U56" s="77"/>
      <c r="V56" s="77"/>
      <c r="W56" s="137"/>
      <c r="X56" s="137"/>
      <c r="Y56" s="137"/>
      <c r="Z56" s="137"/>
      <c r="AA56" s="137"/>
    </row>
    <row r="57" spans="2:31" s="6" customFormat="1" ht="18.75" customHeight="1" x14ac:dyDescent="0.35">
      <c r="B57" s="94" t="s">
        <v>152</v>
      </c>
      <c r="C57" s="157">
        <v>-959</v>
      </c>
      <c r="D57" s="157">
        <v>-723</v>
      </c>
      <c r="E57" s="157">
        <v>-402</v>
      </c>
      <c r="F57" s="157">
        <v>-298</v>
      </c>
      <c r="G57" s="158">
        <v>-71</v>
      </c>
      <c r="H57" s="158">
        <v>-101</v>
      </c>
      <c r="I57" s="158">
        <v>-115</v>
      </c>
      <c r="J57" s="157">
        <v>-143</v>
      </c>
      <c r="K57" s="158">
        <v>-128</v>
      </c>
      <c r="L57" s="158">
        <v>-132</v>
      </c>
      <c r="M57" s="158">
        <v>-153</v>
      </c>
      <c r="N57" s="157">
        <v>-182</v>
      </c>
      <c r="O57" s="158">
        <v>-106</v>
      </c>
      <c r="P57" s="158">
        <v>-117</v>
      </c>
      <c r="Q57" s="158">
        <v>-176</v>
      </c>
      <c r="R57" s="157">
        <v>-207</v>
      </c>
      <c r="S57" s="204">
        <v>-110</v>
      </c>
      <c r="T57" s="204">
        <v>-125</v>
      </c>
      <c r="U57" s="204">
        <v>-139</v>
      </c>
      <c r="V57" s="204">
        <v>-210</v>
      </c>
      <c r="W57" s="137"/>
      <c r="X57" s="137"/>
      <c r="Y57" s="137"/>
      <c r="Z57" s="137"/>
      <c r="AA57" s="137"/>
    </row>
    <row r="58" spans="2:31" s="6" customFormat="1" ht="18.75" customHeight="1" x14ac:dyDescent="0.35">
      <c r="B58" s="94" t="s">
        <v>153</v>
      </c>
      <c r="C58" s="157">
        <v>-27</v>
      </c>
      <c r="D58" s="157">
        <v>0</v>
      </c>
      <c r="E58" s="157">
        <v>0</v>
      </c>
      <c r="F58" s="157">
        <v>-2</v>
      </c>
      <c r="G58" s="158">
        <v>0</v>
      </c>
      <c r="H58" s="158">
        <v>0</v>
      </c>
      <c r="I58" s="158">
        <v>0</v>
      </c>
      <c r="J58" s="157">
        <v>-1</v>
      </c>
      <c r="K58" s="158">
        <v>-2</v>
      </c>
      <c r="L58" s="158">
        <v>0</v>
      </c>
      <c r="M58" s="158">
        <v>0</v>
      </c>
      <c r="N58" s="157">
        <v>-34</v>
      </c>
      <c r="O58" s="158">
        <v>0</v>
      </c>
      <c r="P58" s="158">
        <v>-1</v>
      </c>
      <c r="Q58" s="158">
        <v>-2</v>
      </c>
      <c r="R58" s="157">
        <v>-10</v>
      </c>
      <c r="S58" s="204">
        <v>-31</v>
      </c>
      <c r="T58" s="204">
        <v>-21</v>
      </c>
      <c r="U58" s="158">
        <v>0</v>
      </c>
      <c r="V58" s="158">
        <v>0</v>
      </c>
      <c r="W58" s="137"/>
      <c r="X58" s="137"/>
      <c r="Y58" s="137"/>
      <c r="Z58" s="137"/>
      <c r="AA58" s="137"/>
    </row>
    <row r="59" spans="2:31" s="6" customFormat="1" ht="18.75" customHeight="1" x14ac:dyDescent="0.35">
      <c r="B59" s="94" t="s">
        <v>154</v>
      </c>
      <c r="C59" s="157">
        <v>40</v>
      </c>
      <c r="D59" s="157">
        <v>25</v>
      </c>
      <c r="E59" s="157">
        <v>1</v>
      </c>
      <c r="F59" s="157">
        <v>13</v>
      </c>
      <c r="G59" s="158">
        <v>0</v>
      </c>
      <c r="H59" s="158">
        <v>2</v>
      </c>
      <c r="I59" s="158">
        <v>0</v>
      </c>
      <c r="J59" s="157">
        <v>0</v>
      </c>
      <c r="K59" s="158">
        <v>8</v>
      </c>
      <c r="L59" s="158">
        <v>2</v>
      </c>
      <c r="M59" s="158">
        <v>1</v>
      </c>
      <c r="N59" s="157">
        <v>5</v>
      </c>
      <c r="O59" s="158">
        <v>2</v>
      </c>
      <c r="P59" s="158">
        <v>6</v>
      </c>
      <c r="Q59" s="158">
        <v>13</v>
      </c>
      <c r="R59" s="157">
        <v>10</v>
      </c>
      <c r="S59" s="204">
        <v>43</v>
      </c>
      <c r="T59" s="204">
        <v>49</v>
      </c>
      <c r="U59" s="204">
        <v>11</v>
      </c>
      <c r="V59" s="204">
        <v>82</v>
      </c>
      <c r="W59" s="137"/>
      <c r="X59" s="137"/>
      <c r="Y59" s="137"/>
      <c r="Z59" s="137"/>
      <c r="AA59" s="137"/>
    </row>
    <row r="60" spans="2:31" s="6" customFormat="1" ht="18.75" customHeight="1" x14ac:dyDescent="0.35">
      <c r="B60" s="94" t="s">
        <v>155</v>
      </c>
      <c r="C60" s="157">
        <v>-353</v>
      </c>
      <c r="D60" s="157">
        <v>-2208</v>
      </c>
      <c r="E60" s="157">
        <v>307</v>
      </c>
      <c r="F60" s="157">
        <v>2607</v>
      </c>
      <c r="G60" s="158">
        <v>233</v>
      </c>
      <c r="H60" s="158">
        <v>33</v>
      </c>
      <c r="I60" s="158">
        <v>3</v>
      </c>
      <c r="J60" s="157">
        <v>-36</v>
      </c>
      <c r="K60" s="158">
        <v>67</v>
      </c>
      <c r="L60" s="158">
        <v>-13</v>
      </c>
      <c r="M60" s="158">
        <v>188</v>
      </c>
      <c r="N60" s="157">
        <v>0</v>
      </c>
      <c r="O60" s="158">
        <v>0</v>
      </c>
      <c r="P60" s="158">
        <v>0</v>
      </c>
      <c r="Q60" s="158">
        <v>0</v>
      </c>
      <c r="R60" s="157">
        <v>0</v>
      </c>
      <c r="S60" s="204">
        <v>2</v>
      </c>
      <c r="T60" s="158">
        <v>0</v>
      </c>
      <c r="U60" s="158">
        <v>0</v>
      </c>
      <c r="V60" s="204">
        <v>-2000</v>
      </c>
      <c r="W60" s="137"/>
      <c r="X60" s="137"/>
      <c r="Y60" s="137"/>
      <c r="Z60" s="137"/>
      <c r="AA60" s="137"/>
    </row>
    <row r="61" spans="2:31" s="6" customFormat="1" ht="18.75" customHeight="1" x14ac:dyDescent="0.35">
      <c r="B61" s="94" t="s">
        <v>156</v>
      </c>
      <c r="C61" s="157">
        <v>0</v>
      </c>
      <c r="D61" s="157">
        <v>1</v>
      </c>
      <c r="E61" s="157">
        <v>22</v>
      </c>
      <c r="F61" s="157">
        <v>1</v>
      </c>
      <c r="G61" s="158">
        <v>0</v>
      </c>
      <c r="H61" s="158">
        <v>0</v>
      </c>
      <c r="I61" s="158">
        <v>0</v>
      </c>
      <c r="J61" s="157">
        <v>0</v>
      </c>
      <c r="K61" s="158">
        <v>0</v>
      </c>
      <c r="L61" s="158">
        <v>0</v>
      </c>
      <c r="M61" s="158">
        <v>0</v>
      </c>
      <c r="N61" s="157">
        <v>0</v>
      </c>
      <c r="O61" s="158">
        <v>0</v>
      </c>
      <c r="P61" s="158">
        <v>0</v>
      </c>
      <c r="Q61" s="158">
        <v>0</v>
      </c>
      <c r="R61" s="157">
        <v>1</v>
      </c>
      <c r="S61" s="158">
        <v>0</v>
      </c>
      <c r="T61" s="204">
        <v>11</v>
      </c>
      <c r="U61" s="204">
        <v>4</v>
      </c>
      <c r="V61" s="158">
        <v>0</v>
      </c>
      <c r="W61" s="137"/>
      <c r="X61" s="137"/>
      <c r="Y61" s="137"/>
      <c r="Z61" s="137"/>
      <c r="AA61" s="137"/>
    </row>
    <row r="62" spans="2:31" s="6" customFormat="1" ht="18.75" customHeight="1" x14ac:dyDescent="0.35">
      <c r="B62" s="94" t="s">
        <v>157</v>
      </c>
      <c r="C62" s="157">
        <v>0</v>
      </c>
      <c r="D62" s="157">
        <v>0</v>
      </c>
      <c r="E62" s="157">
        <v>0</v>
      </c>
      <c r="F62" s="157">
        <v>0</v>
      </c>
      <c r="G62" s="158">
        <v>0</v>
      </c>
      <c r="H62" s="158">
        <v>0</v>
      </c>
      <c r="I62" s="158">
        <v>0</v>
      </c>
      <c r="J62" s="157">
        <v>0</v>
      </c>
      <c r="K62" s="158">
        <v>0</v>
      </c>
      <c r="L62" s="158">
        <v>0</v>
      </c>
      <c r="M62" s="158">
        <v>0</v>
      </c>
      <c r="N62" s="157">
        <v>0</v>
      </c>
      <c r="O62" s="158">
        <v>0</v>
      </c>
      <c r="P62" s="158">
        <v>0</v>
      </c>
      <c r="Q62" s="158">
        <v>4</v>
      </c>
      <c r="R62" s="157">
        <v>13</v>
      </c>
      <c r="S62" s="204">
        <v>13</v>
      </c>
      <c r="T62" s="204">
        <v>12</v>
      </c>
      <c r="U62" s="204">
        <v>4</v>
      </c>
      <c r="V62" s="158">
        <v>0</v>
      </c>
      <c r="W62" s="137"/>
      <c r="X62" s="137"/>
      <c r="Y62" s="137"/>
      <c r="Z62" s="137"/>
      <c r="AA62" s="137"/>
    </row>
    <row r="63" spans="2:31" s="6" customFormat="1" ht="18.75" customHeight="1" x14ac:dyDescent="0.35">
      <c r="B63" s="94" t="s">
        <v>158</v>
      </c>
      <c r="C63" s="157">
        <v>0</v>
      </c>
      <c r="D63" s="157">
        <v>0</v>
      </c>
      <c r="E63" s="157">
        <v>0</v>
      </c>
      <c r="F63" s="157">
        <v>0</v>
      </c>
      <c r="G63" s="158">
        <v>0</v>
      </c>
      <c r="H63" s="158">
        <v>0</v>
      </c>
      <c r="I63" s="158">
        <v>0</v>
      </c>
      <c r="J63" s="157">
        <v>0</v>
      </c>
      <c r="K63" s="158">
        <v>0</v>
      </c>
      <c r="L63" s="158">
        <v>0</v>
      </c>
      <c r="M63" s="158">
        <v>0</v>
      </c>
      <c r="N63" s="157">
        <v>0</v>
      </c>
      <c r="O63" s="158">
        <v>0</v>
      </c>
      <c r="P63" s="158">
        <v>0</v>
      </c>
      <c r="Q63" s="158">
        <v>-11</v>
      </c>
      <c r="R63" s="157">
        <v>0</v>
      </c>
      <c r="S63" s="204"/>
      <c r="T63" s="158">
        <v>0</v>
      </c>
      <c r="U63" s="204">
        <v>-10</v>
      </c>
      <c r="V63" s="158">
        <v>0</v>
      </c>
      <c r="W63" s="137"/>
      <c r="X63" s="137"/>
      <c r="Y63" s="137"/>
      <c r="Z63" s="137"/>
      <c r="AA63" s="137"/>
    </row>
    <row r="64" spans="2:31" s="6" customFormat="1" ht="8.25" customHeight="1" x14ac:dyDescent="0.35">
      <c r="B64" s="98"/>
      <c r="C64" s="128"/>
      <c r="D64" s="128"/>
      <c r="E64" s="128"/>
      <c r="F64" s="128"/>
      <c r="G64" s="130"/>
      <c r="H64" s="130"/>
      <c r="I64" s="130"/>
      <c r="J64" s="128"/>
      <c r="K64" s="130"/>
      <c r="L64" s="130"/>
      <c r="M64" s="130"/>
      <c r="N64" s="128"/>
      <c r="O64" s="130"/>
      <c r="P64" s="130"/>
      <c r="Q64" s="130"/>
      <c r="R64" s="128"/>
      <c r="S64" s="205"/>
      <c r="T64" s="205"/>
      <c r="U64" s="205"/>
      <c r="V64" s="205"/>
      <c r="W64" s="137"/>
      <c r="X64" s="137"/>
      <c r="Y64" s="137"/>
      <c r="Z64" s="137"/>
      <c r="AA64" s="137"/>
    </row>
    <row r="65" spans="2:31" s="6" customFormat="1" ht="18" x14ac:dyDescent="0.35">
      <c r="B65" s="95" t="s">
        <v>159</v>
      </c>
      <c r="C65" s="206">
        <f>SUM(C57:C63)</f>
        <v>-1299</v>
      </c>
      <c r="D65" s="206">
        <f>SUM(D57:D63)</f>
        <v>-2905</v>
      </c>
      <c r="E65" s="206">
        <f>SUM(E57:E63)</f>
        <v>-72</v>
      </c>
      <c r="F65" s="206">
        <f t="shared" ref="F65:U65" si="1">SUM(F57:F63)</f>
        <v>2321</v>
      </c>
      <c r="G65" s="206">
        <f t="shared" si="1"/>
        <v>162</v>
      </c>
      <c r="H65" s="206">
        <f t="shared" si="1"/>
        <v>-66</v>
      </c>
      <c r="I65" s="206">
        <f t="shared" si="1"/>
        <v>-112</v>
      </c>
      <c r="J65" s="206">
        <f t="shared" si="1"/>
        <v>-180</v>
      </c>
      <c r="K65" s="206">
        <f t="shared" si="1"/>
        <v>-55</v>
      </c>
      <c r="L65" s="206">
        <f t="shared" si="1"/>
        <v>-143</v>
      </c>
      <c r="M65" s="206">
        <f t="shared" si="1"/>
        <v>36</v>
      </c>
      <c r="N65" s="206">
        <f t="shared" si="1"/>
        <v>-211</v>
      </c>
      <c r="O65" s="206">
        <f t="shared" si="1"/>
        <v>-104</v>
      </c>
      <c r="P65" s="206">
        <f t="shared" si="1"/>
        <v>-112</v>
      </c>
      <c r="Q65" s="206">
        <f t="shared" si="1"/>
        <v>-172</v>
      </c>
      <c r="R65" s="206">
        <f t="shared" si="1"/>
        <v>-193</v>
      </c>
      <c r="S65" s="206">
        <f t="shared" si="1"/>
        <v>-83</v>
      </c>
      <c r="T65" s="206">
        <f t="shared" si="1"/>
        <v>-74</v>
      </c>
      <c r="U65" s="207">
        <f t="shared" si="1"/>
        <v>-130</v>
      </c>
      <c r="V65" s="207">
        <f t="shared" ref="V65" si="2">SUM(V57:V63)</f>
        <v>-2128</v>
      </c>
      <c r="W65" s="137"/>
      <c r="X65" s="137"/>
      <c r="Y65" s="137"/>
      <c r="Z65" s="137"/>
      <c r="AA65" s="137"/>
    </row>
    <row r="66" spans="2:31" s="6" customFormat="1" ht="8.25" customHeight="1" x14ac:dyDescent="0.35">
      <c r="B66" s="172"/>
      <c r="C66" s="164"/>
      <c r="D66" s="164"/>
      <c r="E66" s="164"/>
      <c r="F66" s="164"/>
      <c r="G66" s="164"/>
      <c r="H66" s="164"/>
      <c r="I66" s="164"/>
      <c r="J66" s="164"/>
      <c r="K66" s="164"/>
      <c r="L66" s="164"/>
      <c r="M66" s="164"/>
      <c r="N66" s="164"/>
      <c r="O66" s="164"/>
      <c r="P66" s="164"/>
      <c r="Q66" s="164"/>
      <c r="R66" s="164"/>
      <c r="S66" s="164"/>
      <c r="T66" s="164"/>
      <c r="U66" s="130"/>
      <c r="V66" s="130"/>
      <c r="W66" s="137"/>
      <c r="X66" s="137"/>
      <c r="Y66" s="137"/>
      <c r="Z66" s="137"/>
      <c r="AA66" s="137"/>
    </row>
    <row r="67" spans="2:31" s="6" customFormat="1" ht="18" x14ac:dyDescent="0.35">
      <c r="B67" s="167" t="s">
        <v>160</v>
      </c>
      <c r="C67" s="164"/>
      <c r="D67" s="164"/>
      <c r="E67" s="164"/>
      <c r="F67" s="164"/>
      <c r="G67" s="164"/>
      <c r="H67" s="164"/>
      <c r="I67" s="164"/>
      <c r="J67" s="164"/>
      <c r="K67" s="164"/>
      <c r="L67" s="164"/>
      <c r="M67" s="164"/>
      <c r="N67" s="164"/>
      <c r="O67" s="164"/>
      <c r="P67" s="164"/>
      <c r="Q67" s="164"/>
      <c r="R67" s="164"/>
      <c r="S67" s="164"/>
      <c r="T67" s="164"/>
      <c r="U67" s="130"/>
      <c r="V67" s="130"/>
      <c r="W67" s="137"/>
      <c r="X67" s="137"/>
      <c r="Y67" s="137"/>
      <c r="Z67" s="137"/>
      <c r="AA67" s="137"/>
    </row>
    <row r="68" spans="2:31" s="6" customFormat="1" ht="18" x14ac:dyDescent="0.35">
      <c r="B68" s="173" t="s">
        <v>513</v>
      </c>
      <c r="C68" s="208">
        <v>6186</v>
      </c>
      <c r="D68" s="208">
        <v>-6950</v>
      </c>
      <c r="E68" s="208">
        <v>0</v>
      </c>
      <c r="F68" s="208">
        <v>6313</v>
      </c>
      <c r="G68" s="157">
        <v>0</v>
      </c>
      <c r="H68" s="157">
        <v>0</v>
      </c>
      <c r="I68" s="157">
        <v>0</v>
      </c>
      <c r="J68" s="157">
        <v>0</v>
      </c>
      <c r="K68" s="157">
        <v>0</v>
      </c>
      <c r="L68" s="157">
        <v>0</v>
      </c>
      <c r="M68" s="157">
        <v>0</v>
      </c>
      <c r="N68" s="157">
        <v>0</v>
      </c>
      <c r="O68" s="157">
        <v>0</v>
      </c>
      <c r="P68" s="157">
        <v>0</v>
      </c>
      <c r="Q68" s="157">
        <v>0</v>
      </c>
      <c r="R68" s="157">
        <v>0</v>
      </c>
      <c r="S68" s="157">
        <v>0</v>
      </c>
      <c r="T68" s="157">
        <v>0</v>
      </c>
      <c r="U68" s="157">
        <v>0</v>
      </c>
      <c r="V68" s="157">
        <v>0</v>
      </c>
      <c r="W68" s="137"/>
      <c r="X68" s="137"/>
      <c r="Y68" s="137"/>
      <c r="Z68" s="137"/>
      <c r="AA68" s="137"/>
    </row>
    <row r="69" spans="2:31" s="6" customFormat="1" ht="18" x14ac:dyDescent="0.35">
      <c r="B69" s="173" t="s">
        <v>161</v>
      </c>
      <c r="C69" s="130"/>
      <c r="D69" s="130"/>
      <c r="E69" s="130"/>
      <c r="F69" s="130"/>
      <c r="G69" s="164"/>
      <c r="H69" s="164"/>
      <c r="I69" s="164"/>
      <c r="J69" s="130"/>
      <c r="K69" s="164"/>
      <c r="L69" s="164"/>
      <c r="M69" s="164"/>
      <c r="N69" s="164"/>
      <c r="O69" s="164"/>
      <c r="P69" s="164"/>
      <c r="Q69" s="164"/>
      <c r="R69" s="137"/>
      <c r="S69" s="164"/>
      <c r="T69" s="137"/>
      <c r="U69" s="137"/>
      <c r="V69" s="137"/>
      <c r="W69" s="137"/>
      <c r="X69" s="137"/>
      <c r="Y69" s="137"/>
      <c r="Z69" s="137"/>
      <c r="AA69" s="137"/>
    </row>
    <row r="70" spans="2:31" s="6" customFormat="1" ht="18" x14ac:dyDescent="0.35">
      <c r="B70" s="174" t="s">
        <v>162</v>
      </c>
      <c r="C70" s="157">
        <v>17</v>
      </c>
      <c r="D70" s="157">
        <v>11179</v>
      </c>
      <c r="E70" s="157"/>
      <c r="F70" s="157">
        <v>0</v>
      </c>
      <c r="G70" s="158">
        <v>-100</v>
      </c>
      <c r="H70" s="158">
        <v>100</v>
      </c>
      <c r="I70" s="158">
        <v>964</v>
      </c>
      <c r="J70" s="157">
        <v>0</v>
      </c>
      <c r="K70" s="158">
        <v>0</v>
      </c>
      <c r="L70" s="158">
        <v>0</v>
      </c>
      <c r="M70" s="158">
        <v>30</v>
      </c>
      <c r="N70" s="157">
        <v>500</v>
      </c>
      <c r="O70" s="158">
        <v>3213</v>
      </c>
      <c r="P70" s="158">
        <v>1500</v>
      </c>
      <c r="Q70" s="158">
        <v>0</v>
      </c>
      <c r="R70" s="157">
        <v>0</v>
      </c>
      <c r="S70" s="158">
        <v>2800</v>
      </c>
      <c r="T70" s="158">
        <v>0</v>
      </c>
      <c r="U70" s="158">
        <v>1193</v>
      </c>
      <c r="V70" s="158">
        <v>2768</v>
      </c>
      <c r="W70" s="137"/>
      <c r="X70" s="137"/>
      <c r="Y70" s="137"/>
      <c r="Z70" s="137"/>
      <c r="AA70" s="137"/>
    </row>
    <row r="71" spans="2:31" s="6" customFormat="1" ht="18" x14ac:dyDescent="0.35">
      <c r="B71" s="174" t="s">
        <v>163</v>
      </c>
      <c r="C71" s="157">
        <v>-43</v>
      </c>
      <c r="D71" s="157">
        <v>-299</v>
      </c>
      <c r="E71" s="157">
        <v>-115</v>
      </c>
      <c r="F71" s="157">
        <v>-7812</v>
      </c>
      <c r="G71" s="158">
        <v>-53</v>
      </c>
      <c r="H71" s="158">
        <v>-58</v>
      </c>
      <c r="I71" s="158">
        <v>-26</v>
      </c>
      <c r="J71" s="157">
        <v>0</v>
      </c>
      <c r="K71" s="158">
        <v>-113</v>
      </c>
      <c r="L71" s="158">
        <v>-2</v>
      </c>
      <c r="M71" s="158">
        <v>-6</v>
      </c>
      <c r="N71" s="157">
        <v>-1</v>
      </c>
      <c r="O71" s="158">
        <v>-123</v>
      </c>
      <c r="P71" s="158">
        <v>-2768</v>
      </c>
      <c r="Q71" s="158">
        <v>-5</v>
      </c>
      <c r="R71" s="157">
        <v>-500</v>
      </c>
      <c r="S71" s="158">
        <v>-1911</v>
      </c>
      <c r="T71" s="158">
        <v>-125</v>
      </c>
      <c r="U71" s="158">
        <v>0</v>
      </c>
      <c r="V71" s="158">
        <v>0</v>
      </c>
      <c r="W71" s="137"/>
      <c r="X71" s="137"/>
      <c r="Y71" s="137"/>
      <c r="Z71" s="137"/>
      <c r="AA71" s="137"/>
    </row>
    <row r="72" spans="2:31" s="6" customFormat="1" ht="18" x14ac:dyDescent="0.35">
      <c r="B72" s="174" t="s">
        <v>164</v>
      </c>
      <c r="C72" s="157">
        <v>-127</v>
      </c>
      <c r="D72" s="157">
        <v>-521</v>
      </c>
      <c r="E72" s="157">
        <v>-1875</v>
      </c>
      <c r="F72" s="157">
        <v>-1541</v>
      </c>
      <c r="G72" s="158">
        <v>0</v>
      </c>
      <c r="H72" s="158">
        <v>-192</v>
      </c>
      <c r="I72" s="158">
        <v>-3</v>
      </c>
      <c r="J72" s="157">
        <v>-125</v>
      </c>
      <c r="K72" s="158">
        <v>-75</v>
      </c>
      <c r="L72" s="158">
        <v>-123</v>
      </c>
      <c r="M72" s="158">
        <v>-42</v>
      </c>
      <c r="N72" s="157">
        <v>-121</v>
      </c>
      <c r="O72" s="158">
        <v>-69</v>
      </c>
      <c r="P72" s="158">
        <v>-96</v>
      </c>
      <c r="Q72" s="158">
        <v>-62</v>
      </c>
      <c r="R72" s="157">
        <v>-70</v>
      </c>
      <c r="S72" s="158">
        <v>-137</v>
      </c>
      <c r="T72" s="158">
        <v>-22</v>
      </c>
      <c r="U72" s="158">
        <v>-88</v>
      </c>
      <c r="V72" s="158">
        <v>-30</v>
      </c>
      <c r="W72" s="137"/>
      <c r="X72" s="137"/>
      <c r="Y72" s="137"/>
      <c r="Z72" s="137"/>
      <c r="AA72" s="137"/>
    </row>
    <row r="73" spans="2:31" s="6" customFormat="1" ht="18" x14ac:dyDescent="0.35">
      <c r="B73" s="173" t="s">
        <v>165</v>
      </c>
      <c r="C73" s="157">
        <v>-520</v>
      </c>
      <c r="D73" s="157">
        <v>-496</v>
      </c>
      <c r="E73" s="157">
        <v>-684</v>
      </c>
      <c r="F73" s="157">
        <v>-683</v>
      </c>
      <c r="G73" s="158">
        <v>0</v>
      </c>
      <c r="H73" s="158">
        <v>0</v>
      </c>
      <c r="I73" s="158">
        <v>-1034</v>
      </c>
      <c r="J73" s="157">
        <v>0</v>
      </c>
      <c r="K73" s="158"/>
      <c r="L73" s="158">
        <v>-1518</v>
      </c>
      <c r="M73" s="158">
        <v>0</v>
      </c>
      <c r="N73" s="157">
        <v>-1531</v>
      </c>
      <c r="O73" s="158">
        <v>0</v>
      </c>
      <c r="P73" s="158">
        <v>0</v>
      </c>
      <c r="Q73" s="158">
        <v>-1080</v>
      </c>
      <c r="R73" s="157">
        <v>0</v>
      </c>
      <c r="S73" s="158">
        <v>-444</v>
      </c>
      <c r="T73" s="158">
        <v>-1106</v>
      </c>
      <c r="U73" s="158">
        <v>-1080</v>
      </c>
      <c r="V73" s="158">
        <v>-131</v>
      </c>
      <c r="W73" s="137"/>
      <c r="X73" s="137"/>
      <c r="Y73" s="137"/>
      <c r="Z73" s="137"/>
      <c r="AA73" s="137"/>
    </row>
    <row r="74" spans="2:31" s="6" customFormat="1" ht="18" x14ac:dyDescent="0.35">
      <c r="B74" s="173" t="s">
        <v>166</v>
      </c>
      <c r="C74" s="157">
        <v>0</v>
      </c>
      <c r="D74" s="157">
        <v>0</v>
      </c>
      <c r="E74" s="157">
        <v>-48</v>
      </c>
      <c r="F74" s="157">
        <v>-32</v>
      </c>
      <c r="G74" s="158"/>
      <c r="H74" s="158"/>
      <c r="I74" s="158"/>
      <c r="J74" s="157"/>
      <c r="K74" s="158"/>
      <c r="L74" s="158"/>
      <c r="M74" s="158"/>
      <c r="N74" s="157"/>
      <c r="O74" s="158"/>
      <c r="P74" s="158"/>
      <c r="Q74" s="158"/>
      <c r="R74" s="157"/>
      <c r="S74" s="158"/>
      <c r="T74" s="158">
        <v>0</v>
      </c>
      <c r="U74" s="158">
        <v>0</v>
      </c>
      <c r="V74" s="158">
        <v>0</v>
      </c>
      <c r="W74" s="137"/>
      <c r="X74" s="137"/>
      <c r="Y74" s="137"/>
      <c r="Z74" s="137"/>
      <c r="AA74" s="137"/>
    </row>
    <row r="75" spans="2:31" s="6" customFormat="1" ht="18" x14ac:dyDescent="0.35">
      <c r="B75" s="174" t="s">
        <v>167</v>
      </c>
      <c r="C75" s="157">
        <v>0</v>
      </c>
      <c r="D75" s="157">
        <v>0</v>
      </c>
      <c r="E75" s="157">
        <v>0</v>
      </c>
      <c r="F75" s="157">
        <v>0</v>
      </c>
      <c r="G75" s="158">
        <v>-1</v>
      </c>
      <c r="H75" s="158">
        <v>0</v>
      </c>
      <c r="I75" s="158">
        <v>-1</v>
      </c>
      <c r="J75" s="157">
        <v>-17</v>
      </c>
      <c r="K75" s="158">
        <v>-25</v>
      </c>
      <c r="L75" s="158">
        <v>-13</v>
      </c>
      <c r="M75" s="158">
        <v>-48</v>
      </c>
      <c r="N75" s="157">
        <v>-24</v>
      </c>
      <c r="O75" s="158">
        <v>-20</v>
      </c>
      <c r="P75" s="158">
        <v>-20</v>
      </c>
      <c r="Q75" s="158">
        <v>-22</v>
      </c>
      <c r="R75" s="157">
        <v>-33</v>
      </c>
      <c r="S75" s="158">
        <v>-23</v>
      </c>
      <c r="T75" s="158">
        <v>-23</v>
      </c>
      <c r="U75" s="158">
        <v>-69</v>
      </c>
      <c r="V75" s="158">
        <v>-103</v>
      </c>
      <c r="W75" s="137"/>
      <c r="X75" s="137"/>
      <c r="Y75" s="137"/>
      <c r="Z75" s="137"/>
      <c r="AA75" s="137"/>
    </row>
    <row r="76" spans="2:31" s="10" customFormat="1" ht="18" x14ac:dyDescent="0.35">
      <c r="B76" s="174" t="s">
        <v>168</v>
      </c>
      <c r="C76" s="157">
        <v>0</v>
      </c>
      <c r="D76" s="157">
        <v>0</v>
      </c>
      <c r="E76" s="157">
        <v>0</v>
      </c>
      <c r="F76" s="157">
        <v>0</v>
      </c>
      <c r="G76" s="158">
        <v>-1</v>
      </c>
      <c r="H76" s="158">
        <v>-1</v>
      </c>
      <c r="I76" s="158">
        <v>-1</v>
      </c>
      <c r="J76" s="157">
        <v>-11</v>
      </c>
      <c r="K76" s="158">
        <v>-11</v>
      </c>
      <c r="L76" s="158">
        <v>-28</v>
      </c>
      <c r="M76" s="158">
        <v>-18</v>
      </c>
      <c r="N76" s="157">
        <v>-20</v>
      </c>
      <c r="O76" s="158">
        <v>-18</v>
      </c>
      <c r="P76" s="158">
        <v>-17</v>
      </c>
      <c r="Q76" s="158">
        <v>-18</v>
      </c>
      <c r="R76" s="157">
        <v>-17</v>
      </c>
      <c r="S76" s="158">
        <v>-17</v>
      </c>
      <c r="T76" s="158">
        <v>-18</v>
      </c>
      <c r="U76" s="158">
        <v>-22</v>
      </c>
      <c r="V76" s="158">
        <v>-17</v>
      </c>
      <c r="W76" s="209"/>
      <c r="X76" s="209"/>
      <c r="Y76" s="209"/>
      <c r="Z76" s="209"/>
      <c r="AA76" s="209"/>
      <c r="AC76" s="39"/>
      <c r="AD76" s="39"/>
      <c r="AE76" s="39"/>
    </row>
    <row r="77" spans="2:31" ht="18" x14ac:dyDescent="0.35">
      <c r="B77" s="173" t="s">
        <v>174</v>
      </c>
      <c r="C77" s="157">
        <v>-2251</v>
      </c>
      <c r="D77" s="157">
        <v>-380</v>
      </c>
      <c r="E77" s="157">
        <v>5</v>
      </c>
      <c r="F77" s="157">
        <v>-8</v>
      </c>
      <c r="G77" s="158">
        <v>-14</v>
      </c>
      <c r="H77" s="158">
        <v>90</v>
      </c>
      <c r="I77" s="158">
        <v>139</v>
      </c>
      <c r="J77" s="157">
        <v>-213</v>
      </c>
      <c r="K77" s="158">
        <v>-13</v>
      </c>
      <c r="L77" s="158">
        <v>-11</v>
      </c>
      <c r="M77" s="158">
        <v>-8</v>
      </c>
      <c r="N77" s="157">
        <v>0</v>
      </c>
      <c r="O77" s="158">
        <v>0</v>
      </c>
      <c r="P77" s="158">
        <v>0</v>
      </c>
      <c r="Q77" s="158">
        <v>0</v>
      </c>
      <c r="R77" s="157">
        <v>0</v>
      </c>
      <c r="S77" s="158">
        <v>0</v>
      </c>
      <c r="T77" s="158">
        <v>0</v>
      </c>
      <c r="U77" s="158">
        <v>-658</v>
      </c>
      <c r="V77" s="158">
        <v>-258</v>
      </c>
      <c r="AC77" s="39"/>
      <c r="AD77" s="39"/>
      <c r="AE77" s="39"/>
    </row>
    <row r="78" spans="2:31" ht="18" x14ac:dyDescent="0.35">
      <c r="B78" s="173" t="s">
        <v>169</v>
      </c>
      <c r="C78" s="157">
        <v>-43</v>
      </c>
      <c r="D78" s="157">
        <v>-42</v>
      </c>
      <c r="E78" s="157"/>
      <c r="F78" s="157">
        <v>0</v>
      </c>
      <c r="G78" s="158">
        <v>0</v>
      </c>
      <c r="H78" s="158">
        <v>0</v>
      </c>
      <c r="I78" s="158">
        <v>0</v>
      </c>
      <c r="J78" s="157">
        <v>0</v>
      </c>
      <c r="K78" s="158">
        <v>0</v>
      </c>
      <c r="L78" s="158">
        <v>0</v>
      </c>
      <c r="M78" s="158">
        <v>0</v>
      </c>
      <c r="N78" s="157">
        <v>0</v>
      </c>
      <c r="O78" s="158">
        <v>0</v>
      </c>
      <c r="P78" s="158">
        <v>-5</v>
      </c>
      <c r="Q78" s="158">
        <v>-6</v>
      </c>
      <c r="R78" s="157">
        <v>-5</v>
      </c>
      <c r="S78" s="158">
        <v>-1</v>
      </c>
      <c r="T78" s="158">
        <v>-2</v>
      </c>
      <c r="U78" s="158">
        <v>-46</v>
      </c>
      <c r="V78" s="158">
        <v>-24</v>
      </c>
      <c r="AC78" s="39"/>
      <c r="AD78" s="39"/>
      <c r="AE78" s="39"/>
    </row>
    <row r="79" spans="2:31" ht="10.5" customHeight="1" x14ac:dyDescent="0.25">
      <c r="B79" s="175"/>
      <c r="C79" s="130"/>
      <c r="D79" s="130"/>
      <c r="E79" s="130"/>
      <c r="F79" s="130"/>
      <c r="G79" s="130"/>
      <c r="H79" s="130"/>
      <c r="I79" s="130"/>
      <c r="J79" s="130"/>
      <c r="K79" s="136"/>
      <c r="L79" s="136"/>
      <c r="M79" s="136"/>
      <c r="N79" s="136"/>
      <c r="O79" s="136"/>
      <c r="P79" s="136"/>
      <c r="Q79" s="136"/>
      <c r="R79" s="136"/>
    </row>
    <row r="80" spans="2:31" s="6" customFormat="1" ht="18" x14ac:dyDescent="0.35">
      <c r="B80" s="95" t="s">
        <v>170</v>
      </c>
      <c r="C80" s="210">
        <f>SUM(C68:C79)</f>
        <v>3219</v>
      </c>
      <c r="D80" s="210">
        <f>SUM(D68:D79)</f>
        <v>2491</v>
      </c>
      <c r="E80" s="210">
        <f>SUM(E68:E79)</f>
        <v>-2717</v>
      </c>
      <c r="F80" s="210">
        <f>SUM(F68:F79)</f>
        <v>-3763</v>
      </c>
      <c r="G80" s="210">
        <f t="shared" ref="G80:U80" si="3">SUM(G70:G79)</f>
        <v>-169</v>
      </c>
      <c r="H80" s="210">
        <f t="shared" si="3"/>
        <v>-61</v>
      </c>
      <c r="I80" s="210">
        <f t="shared" si="3"/>
        <v>38</v>
      </c>
      <c r="J80" s="210">
        <f t="shared" si="3"/>
        <v>-366</v>
      </c>
      <c r="K80" s="211">
        <f t="shared" si="3"/>
        <v>-237</v>
      </c>
      <c r="L80" s="211">
        <f t="shared" si="3"/>
        <v>-1695</v>
      </c>
      <c r="M80" s="211">
        <f t="shared" si="3"/>
        <v>-92</v>
      </c>
      <c r="N80" s="211">
        <f t="shared" si="3"/>
        <v>-1197</v>
      </c>
      <c r="O80" s="211">
        <f t="shared" si="3"/>
        <v>2983</v>
      </c>
      <c r="P80" s="211">
        <f t="shared" si="3"/>
        <v>-1406</v>
      </c>
      <c r="Q80" s="211">
        <f t="shared" si="3"/>
        <v>-1193</v>
      </c>
      <c r="R80" s="211">
        <f t="shared" si="3"/>
        <v>-625</v>
      </c>
      <c r="S80" s="211">
        <f t="shared" si="3"/>
        <v>267</v>
      </c>
      <c r="T80" s="211">
        <f t="shared" si="3"/>
        <v>-1296</v>
      </c>
      <c r="U80" s="210">
        <f t="shared" si="3"/>
        <v>-770</v>
      </c>
      <c r="V80" s="210">
        <f t="shared" ref="V80" si="4">SUM(V70:V79)</f>
        <v>2205</v>
      </c>
      <c r="W80" s="137"/>
      <c r="X80" s="137"/>
      <c r="Y80" s="137"/>
      <c r="Z80" s="137"/>
      <c r="AA80" s="137"/>
    </row>
    <row r="81" spans="2:27" s="6" customFormat="1" ht="8.1" customHeight="1" x14ac:dyDescent="0.35">
      <c r="B81" s="95"/>
      <c r="C81" s="193"/>
      <c r="D81" s="193"/>
      <c r="E81" s="193"/>
      <c r="F81" s="193"/>
      <c r="G81" s="193"/>
      <c r="H81" s="193"/>
      <c r="I81" s="193"/>
      <c r="J81" s="193"/>
      <c r="K81" s="211"/>
      <c r="L81" s="211"/>
      <c r="M81" s="211"/>
      <c r="N81" s="211"/>
      <c r="O81" s="211"/>
      <c r="P81" s="211"/>
      <c r="Q81" s="211"/>
      <c r="R81" s="211"/>
      <c r="S81" s="211"/>
      <c r="T81" s="211"/>
      <c r="U81" s="210"/>
      <c r="V81" s="210"/>
      <c r="W81" s="137"/>
      <c r="X81" s="137"/>
      <c r="Y81" s="137"/>
      <c r="Z81" s="137"/>
      <c r="AA81" s="137"/>
    </row>
    <row r="82" spans="2:27" s="6" customFormat="1" ht="18" x14ac:dyDescent="0.35">
      <c r="B82" s="95" t="s">
        <v>171</v>
      </c>
      <c r="C82" s="210">
        <f t="shared" ref="C82:U82" si="5">SUM(C80,C65,C55)</f>
        <v>-174</v>
      </c>
      <c r="D82" s="210">
        <f t="shared" si="5"/>
        <v>68</v>
      </c>
      <c r="E82" s="210">
        <f t="shared" si="5"/>
        <v>-155</v>
      </c>
      <c r="F82" s="210">
        <f t="shared" si="5"/>
        <v>-172</v>
      </c>
      <c r="G82" s="210">
        <f t="shared" si="5"/>
        <v>622</v>
      </c>
      <c r="H82" s="210">
        <f t="shared" si="5"/>
        <v>247</v>
      </c>
      <c r="I82" s="210">
        <f t="shared" si="5"/>
        <v>148</v>
      </c>
      <c r="J82" s="210">
        <f t="shared" si="5"/>
        <v>1557</v>
      </c>
      <c r="K82" s="211">
        <f t="shared" si="5"/>
        <v>792</v>
      </c>
      <c r="L82" s="211">
        <f t="shared" si="5"/>
        <v>-1964</v>
      </c>
      <c r="M82" s="211">
        <f t="shared" si="5"/>
        <v>2024</v>
      </c>
      <c r="N82" s="211">
        <f t="shared" si="5"/>
        <v>-1547</v>
      </c>
      <c r="O82" s="211">
        <f t="shared" si="5"/>
        <v>3635</v>
      </c>
      <c r="P82" s="211">
        <f t="shared" si="5"/>
        <v>-690</v>
      </c>
      <c r="Q82" s="211">
        <f t="shared" si="5"/>
        <v>-831</v>
      </c>
      <c r="R82" s="211">
        <f t="shared" si="5"/>
        <v>-1118</v>
      </c>
      <c r="S82" s="211">
        <f t="shared" si="5"/>
        <v>535</v>
      </c>
      <c r="T82" s="211">
        <f t="shared" si="5"/>
        <v>-1582</v>
      </c>
      <c r="U82" s="210">
        <f t="shared" si="5"/>
        <v>-281</v>
      </c>
      <c r="V82" s="210">
        <f t="shared" ref="V82" si="6">SUM(V80,V65,V55)</f>
        <v>1595</v>
      </c>
      <c r="W82" s="137"/>
      <c r="X82" s="137"/>
      <c r="Y82" s="137"/>
      <c r="Z82" s="137"/>
      <c r="AA82" s="137"/>
    </row>
    <row r="83" spans="2:27" s="6" customFormat="1" ht="8.1" customHeight="1" x14ac:dyDescent="0.35">
      <c r="B83" s="95"/>
      <c r="C83" s="193"/>
      <c r="D83" s="193"/>
      <c r="E83" s="193"/>
      <c r="F83" s="193"/>
      <c r="G83" s="193"/>
      <c r="H83" s="193"/>
      <c r="I83" s="193"/>
      <c r="J83" s="193"/>
      <c r="K83" s="211"/>
      <c r="L83" s="211"/>
      <c r="M83" s="211"/>
      <c r="N83" s="211"/>
      <c r="O83" s="211"/>
      <c r="P83" s="211"/>
      <c r="Q83" s="211"/>
      <c r="R83" s="211"/>
      <c r="S83" s="211"/>
      <c r="T83" s="211"/>
      <c r="U83" s="210"/>
      <c r="V83" s="210"/>
      <c r="W83" s="137"/>
      <c r="X83" s="137"/>
      <c r="Y83" s="137"/>
      <c r="Z83" s="137"/>
      <c r="AA83" s="137"/>
    </row>
    <row r="84" spans="2:27" s="6" customFormat="1" ht="18" x14ac:dyDescent="0.35">
      <c r="B84" s="95" t="s">
        <v>172</v>
      </c>
      <c r="C84" s="193">
        <v>916</v>
      </c>
      <c r="D84" s="193">
        <v>742</v>
      </c>
      <c r="E84" s="193">
        <v>810</v>
      </c>
      <c r="F84" s="193">
        <v>655</v>
      </c>
      <c r="G84" s="193">
        <v>483</v>
      </c>
      <c r="H84" s="193">
        <f>G86</f>
        <v>1105</v>
      </c>
      <c r="I84" s="193">
        <f>H86</f>
        <v>1352</v>
      </c>
      <c r="J84" s="193">
        <f>I86</f>
        <v>1500</v>
      </c>
      <c r="K84" s="211">
        <v>3057</v>
      </c>
      <c r="L84" s="211">
        <f t="shared" ref="L84:V84" si="7">K86</f>
        <v>3849</v>
      </c>
      <c r="M84" s="211">
        <f t="shared" si="7"/>
        <v>1885</v>
      </c>
      <c r="N84" s="211">
        <f t="shared" si="7"/>
        <v>3909</v>
      </c>
      <c r="O84" s="211">
        <f t="shared" si="7"/>
        <v>2362</v>
      </c>
      <c r="P84" s="211">
        <f t="shared" si="7"/>
        <v>5997</v>
      </c>
      <c r="Q84" s="211">
        <f t="shared" si="7"/>
        <v>5307</v>
      </c>
      <c r="R84" s="211">
        <f t="shared" si="7"/>
        <v>4476</v>
      </c>
      <c r="S84" s="211">
        <f t="shared" si="7"/>
        <v>3358</v>
      </c>
      <c r="T84" s="211">
        <f t="shared" si="7"/>
        <v>3893</v>
      </c>
      <c r="U84" s="210">
        <f t="shared" si="7"/>
        <v>2311</v>
      </c>
      <c r="V84" s="210">
        <f t="shared" si="7"/>
        <v>2030</v>
      </c>
      <c r="W84" s="137"/>
      <c r="X84" s="137"/>
      <c r="Y84" s="137"/>
      <c r="Z84" s="137"/>
      <c r="AA84" s="137"/>
    </row>
    <row r="85" spans="2:27" s="6" customFormat="1" ht="8.1" customHeight="1" x14ac:dyDescent="0.35">
      <c r="B85" s="95"/>
      <c r="C85" s="193"/>
      <c r="D85" s="193"/>
      <c r="E85" s="193"/>
      <c r="F85" s="193"/>
      <c r="G85" s="193"/>
      <c r="H85" s="193"/>
      <c r="I85" s="193"/>
      <c r="J85" s="193"/>
      <c r="K85" s="211"/>
      <c r="L85" s="211"/>
      <c r="M85" s="211"/>
      <c r="N85" s="211"/>
      <c r="O85" s="211"/>
      <c r="P85" s="211"/>
      <c r="Q85" s="211"/>
      <c r="R85" s="211"/>
      <c r="S85" s="211"/>
      <c r="T85" s="211"/>
      <c r="U85" s="210"/>
      <c r="V85" s="210"/>
      <c r="W85" s="137"/>
      <c r="X85" s="137"/>
      <c r="Y85" s="137"/>
      <c r="Z85" s="137"/>
      <c r="AA85" s="137"/>
    </row>
    <row r="86" spans="2:27" s="6" customFormat="1" ht="18" x14ac:dyDescent="0.35">
      <c r="B86" s="95" t="s">
        <v>173</v>
      </c>
      <c r="C86" s="193">
        <v>742</v>
      </c>
      <c r="D86" s="193">
        <v>810</v>
      </c>
      <c r="E86" s="193">
        <v>655</v>
      </c>
      <c r="F86" s="193">
        <v>483</v>
      </c>
      <c r="G86" s="193">
        <v>1105</v>
      </c>
      <c r="H86" s="193">
        <v>1352</v>
      </c>
      <c r="I86" s="193">
        <v>1500</v>
      </c>
      <c r="J86" s="193">
        <v>3057</v>
      </c>
      <c r="K86" s="211">
        <v>3849</v>
      </c>
      <c r="L86" s="211">
        <v>1885</v>
      </c>
      <c r="M86" s="211">
        <v>3909</v>
      </c>
      <c r="N86" s="211">
        <v>2362</v>
      </c>
      <c r="O86" s="211">
        <v>5997</v>
      </c>
      <c r="P86" s="211">
        <v>5307</v>
      </c>
      <c r="Q86" s="211">
        <v>4476</v>
      </c>
      <c r="R86" s="211">
        <v>3358</v>
      </c>
      <c r="S86" s="211">
        <f>S84+S82</f>
        <v>3893</v>
      </c>
      <c r="T86" s="211">
        <f>T84+T82</f>
        <v>2311</v>
      </c>
      <c r="U86" s="211">
        <v>2030</v>
      </c>
      <c r="V86" s="211">
        <v>3625</v>
      </c>
      <c r="W86" s="137"/>
      <c r="X86" s="137"/>
      <c r="Y86" s="137"/>
      <c r="Z86" s="137"/>
      <c r="AA86" s="137"/>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Z66"/>
  <sheetViews>
    <sheetView showGridLines="0" zoomScale="70" zoomScaleNormal="70" workbookViewId="0">
      <pane xSplit="2" ySplit="5" topLeftCell="W30" activePane="bottomRight" state="frozen"/>
      <selection pane="topRight"/>
      <selection pane="bottomLeft"/>
      <selection pane="bottomRight" activeCell="Y35" sqref="Y35"/>
    </sheetView>
  </sheetViews>
  <sheetFormatPr defaultColWidth="9.140625" defaultRowHeight="15" outlineLevelRow="1" outlineLevelCol="1" x14ac:dyDescent="0.2"/>
  <cols>
    <col min="1" max="1" width="1.5703125" style="107" customWidth="1"/>
    <col min="2" max="2" width="68.85546875" style="84" customWidth="1"/>
    <col min="3" max="3" width="10.7109375" style="137" customWidth="1" outlineLevel="1"/>
    <col min="4" max="8" width="10.7109375" style="63" customWidth="1" outlineLevel="1"/>
    <col min="9" max="9" width="10.7109375" style="64" customWidth="1" outlineLevel="1"/>
    <col min="10" max="12" width="10.7109375" style="63" customWidth="1" outlineLevel="1"/>
    <col min="13" max="13" width="10.7109375" style="64" customWidth="1" outlineLevel="1"/>
    <col min="14" max="16" width="10.7109375" style="63" customWidth="1" outlineLevel="1"/>
    <col min="17" max="17" width="10.7109375" style="64" customWidth="1" outlineLevel="1"/>
    <col min="18" max="20" width="10.7109375" style="63" customWidth="1" outlineLevel="1"/>
    <col min="21" max="21" width="10.7109375" style="64" customWidth="1" outlineLevel="1"/>
    <col min="22" max="25" width="10.7109375" style="63" customWidth="1"/>
    <col min="26" max="26" width="12.85546875" style="213" customWidth="1"/>
    <col min="27" max="16384" width="9.140625" style="107"/>
  </cols>
  <sheetData>
    <row r="1" spans="1:26" ht="41.25" customHeight="1" x14ac:dyDescent="0.2">
      <c r="A1" s="212"/>
      <c r="C1" s="108"/>
      <c r="D1" s="59"/>
      <c r="E1" s="59"/>
      <c r="F1" s="59"/>
      <c r="G1" s="59"/>
      <c r="H1" s="59"/>
      <c r="I1" s="60"/>
      <c r="J1" s="59"/>
      <c r="K1" s="59"/>
      <c r="L1" s="59"/>
      <c r="M1" s="60"/>
      <c r="N1" s="59"/>
      <c r="O1" s="59"/>
      <c r="P1" s="59"/>
      <c r="Q1" s="60"/>
      <c r="R1" s="59"/>
      <c r="S1" s="59"/>
      <c r="T1" s="59"/>
      <c r="U1" s="60"/>
      <c r="V1" s="59"/>
      <c r="W1" s="59"/>
      <c r="X1" s="59"/>
      <c r="Y1" s="59"/>
    </row>
    <row r="2" spans="1:26" ht="18" x14ac:dyDescent="0.2">
      <c r="A2" s="214"/>
      <c r="B2" s="85" t="s">
        <v>297</v>
      </c>
      <c r="C2" s="218"/>
      <c r="D2" s="61"/>
      <c r="E2" s="62"/>
      <c r="F2" s="61"/>
      <c r="G2" s="61"/>
      <c r="H2" s="61"/>
      <c r="I2" s="62"/>
      <c r="J2" s="61"/>
      <c r="K2" s="61"/>
      <c r="L2" s="61"/>
      <c r="M2" s="62"/>
      <c r="N2" s="61"/>
      <c r="O2" s="61"/>
      <c r="P2" s="61"/>
      <c r="Q2" s="62"/>
      <c r="R2" s="61"/>
      <c r="S2" s="61"/>
      <c r="T2" s="61"/>
      <c r="U2" s="61"/>
      <c r="V2" s="61"/>
      <c r="W2" s="61"/>
      <c r="X2" s="61"/>
      <c r="Y2" s="61"/>
    </row>
    <row r="3" spans="1:26" ht="9.75" customHeight="1" x14ac:dyDescent="0.2">
      <c r="C3" s="63"/>
      <c r="E3" s="64"/>
      <c r="Z3" s="107"/>
    </row>
    <row r="4" spans="1:26" ht="15.75" x14ac:dyDescent="0.2">
      <c r="B4" s="86"/>
      <c r="C4" s="66">
        <v>2014</v>
      </c>
      <c r="D4" s="66">
        <v>2015</v>
      </c>
      <c r="E4" s="67">
        <v>2016</v>
      </c>
      <c r="F4" s="65" t="s">
        <v>293</v>
      </c>
      <c r="G4" s="66" t="s">
        <v>294</v>
      </c>
      <c r="H4" s="66" t="s">
        <v>295</v>
      </c>
      <c r="I4" s="67" t="s">
        <v>277</v>
      </c>
      <c r="J4" s="65" t="s">
        <v>278</v>
      </c>
      <c r="K4" s="66" t="s">
        <v>279</v>
      </c>
      <c r="L4" s="66" t="s">
        <v>280</v>
      </c>
      <c r="M4" s="67" t="s">
        <v>281</v>
      </c>
      <c r="N4" s="66" t="s">
        <v>282</v>
      </c>
      <c r="O4" s="66" t="s">
        <v>283</v>
      </c>
      <c r="P4" s="66" t="s">
        <v>284</v>
      </c>
      <c r="Q4" s="67" t="s">
        <v>285</v>
      </c>
      <c r="R4" s="66" t="s">
        <v>286</v>
      </c>
      <c r="S4" s="66" t="s">
        <v>287</v>
      </c>
      <c r="T4" s="66" t="s">
        <v>288</v>
      </c>
      <c r="U4" s="67" t="s">
        <v>289</v>
      </c>
      <c r="V4" s="66" t="s">
        <v>290</v>
      </c>
      <c r="W4" s="66" t="s">
        <v>291</v>
      </c>
      <c r="X4" s="66" t="s">
        <v>292</v>
      </c>
      <c r="Y4" s="66" t="s">
        <v>570</v>
      </c>
      <c r="Z4" s="107"/>
    </row>
    <row r="5" spans="1:26" ht="15.75" x14ac:dyDescent="0.25">
      <c r="B5" s="87"/>
      <c r="C5" s="68" t="s">
        <v>298</v>
      </c>
      <c r="D5" s="68" t="s">
        <v>298</v>
      </c>
      <c r="E5" s="68" t="s">
        <v>298</v>
      </c>
      <c r="F5" s="68" t="s">
        <v>65</v>
      </c>
      <c r="G5" s="68" t="s">
        <v>275</v>
      </c>
      <c r="H5" s="68" t="s">
        <v>276</v>
      </c>
      <c r="I5" s="69" t="s">
        <v>510</v>
      </c>
      <c r="J5" s="68" t="s">
        <v>65</v>
      </c>
      <c r="K5" s="68" t="s">
        <v>275</v>
      </c>
      <c r="L5" s="68" t="s">
        <v>276</v>
      </c>
      <c r="M5" s="69" t="s">
        <v>274</v>
      </c>
      <c r="N5" s="68" t="s">
        <v>65</v>
      </c>
      <c r="O5" s="68" t="s">
        <v>275</v>
      </c>
      <c r="P5" s="68" t="s">
        <v>276</v>
      </c>
      <c r="Q5" s="69" t="s">
        <v>274</v>
      </c>
      <c r="R5" s="68" t="s">
        <v>65</v>
      </c>
      <c r="S5" s="68" t="s">
        <v>275</v>
      </c>
      <c r="T5" s="68" t="s">
        <v>276</v>
      </c>
      <c r="U5" s="69" t="s">
        <v>274</v>
      </c>
      <c r="V5" s="68" t="s">
        <v>65</v>
      </c>
      <c r="W5" s="68" t="s">
        <v>275</v>
      </c>
      <c r="X5" s="68" t="s">
        <v>276</v>
      </c>
      <c r="Y5" s="68" t="s">
        <v>274</v>
      </c>
      <c r="Z5" s="107"/>
    </row>
    <row r="6" spans="1:26" ht="8.25" customHeight="1" x14ac:dyDescent="0.2">
      <c r="C6" s="59"/>
      <c r="D6" s="59"/>
      <c r="E6" s="60"/>
      <c r="F6" s="59"/>
      <c r="G6" s="59"/>
      <c r="H6" s="59"/>
      <c r="I6" s="60"/>
      <c r="J6" s="59"/>
      <c r="K6" s="59"/>
      <c r="L6" s="59"/>
      <c r="M6" s="60"/>
      <c r="N6" s="59"/>
      <c r="O6" s="59"/>
      <c r="P6" s="59"/>
      <c r="Q6" s="60"/>
      <c r="R6" s="59"/>
      <c r="S6" s="59"/>
      <c r="T6" s="59"/>
      <c r="U6" s="60"/>
      <c r="V6" s="59"/>
      <c r="W6" s="59"/>
      <c r="X6" s="59"/>
      <c r="Y6" s="59"/>
      <c r="Z6" s="107"/>
    </row>
    <row r="7" spans="1:26" s="180" customFormat="1" ht="18" x14ac:dyDescent="0.25">
      <c r="B7" s="88" t="s">
        <v>90</v>
      </c>
      <c r="C7" s="219"/>
      <c r="D7" s="70"/>
      <c r="E7" s="71"/>
      <c r="F7" s="70"/>
      <c r="G7" s="70"/>
      <c r="H7" s="70"/>
      <c r="I7" s="71"/>
      <c r="J7" s="70"/>
      <c r="K7" s="70"/>
      <c r="L7" s="70"/>
      <c r="M7" s="71"/>
      <c r="N7" s="70"/>
      <c r="O7" s="72"/>
      <c r="P7" s="72"/>
      <c r="Q7" s="73"/>
      <c r="R7" s="72"/>
      <c r="S7" s="72"/>
      <c r="T7" s="72"/>
      <c r="U7" s="73"/>
      <c r="V7" s="72"/>
      <c r="W7" s="74"/>
      <c r="X7" s="72"/>
      <c r="Y7" s="72"/>
      <c r="Z7" s="216"/>
    </row>
    <row r="8" spans="1:26" s="181" customFormat="1" ht="18" x14ac:dyDescent="0.25">
      <c r="B8" s="89" t="s">
        <v>176</v>
      </c>
      <c r="C8" s="75"/>
      <c r="D8" s="75"/>
      <c r="E8" s="76"/>
      <c r="F8" s="75"/>
      <c r="G8" s="75"/>
      <c r="H8" s="75"/>
      <c r="I8" s="76"/>
      <c r="J8" s="75"/>
      <c r="K8" s="75"/>
      <c r="L8" s="75"/>
      <c r="M8" s="76"/>
      <c r="N8" s="75"/>
      <c r="O8" s="75"/>
      <c r="P8" s="75"/>
      <c r="Q8" s="76"/>
      <c r="R8" s="75"/>
      <c r="S8" s="75"/>
      <c r="T8" s="75"/>
      <c r="U8" s="76"/>
      <c r="V8" s="75"/>
      <c r="W8" s="75"/>
      <c r="X8" s="75"/>
      <c r="Y8" s="75"/>
    </row>
    <row r="9" spans="1:26" s="84" customFormat="1" ht="15.75" x14ac:dyDescent="0.2">
      <c r="B9" s="95" t="s">
        <v>186</v>
      </c>
      <c r="C9" s="220">
        <f t="shared" ref="C9:V9" si="0">SUM(C10:C14)</f>
        <v>98528</v>
      </c>
      <c r="D9" s="220">
        <f t="shared" si="0"/>
        <v>97280</v>
      </c>
      <c r="E9" s="220">
        <f t="shared" si="0"/>
        <v>86637</v>
      </c>
      <c r="F9" s="220">
        <f>SUM(F10:F14)</f>
        <v>20049</v>
      </c>
      <c r="G9" s="220">
        <f t="shared" si="0"/>
        <v>19475</v>
      </c>
      <c r="H9" s="220">
        <f t="shared" si="0"/>
        <v>21839</v>
      </c>
      <c r="I9" s="220">
        <f t="shared" si="0"/>
        <v>23204</v>
      </c>
      <c r="J9" s="220">
        <f t="shared" si="0"/>
        <v>22499</v>
      </c>
      <c r="K9" s="220">
        <f t="shared" si="0"/>
        <v>23597</v>
      </c>
      <c r="L9" s="220">
        <f t="shared" si="0"/>
        <v>26455</v>
      </c>
      <c r="M9" s="220">
        <f t="shared" si="0"/>
        <v>25219</v>
      </c>
      <c r="N9" s="220">
        <f t="shared" si="0"/>
        <v>22432</v>
      </c>
      <c r="O9" s="220">
        <f t="shared" si="0"/>
        <v>24045</v>
      </c>
      <c r="P9" s="220">
        <f t="shared" si="0"/>
        <v>24360</v>
      </c>
      <c r="Q9" s="220">
        <f t="shared" si="0"/>
        <v>24148</v>
      </c>
      <c r="R9" s="220">
        <f t="shared" si="0"/>
        <v>21188</v>
      </c>
      <c r="S9" s="220">
        <f t="shared" si="0"/>
        <v>14882</v>
      </c>
      <c r="T9" s="220">
        <f t="shared" si="0"/>
        <v>21137</v>
      </c>
      <c r="U9" s="220">
        <f t="shared" si="0"/>
        <v>24294</v>
      </c>
      <c r="V9" s="220">
        <f t="shared" si="0"/>
        <v>26133</v>
      </c>
      <c r="W9" s="220">
        <f>SUM(W10:W14)</f>
        <v>29023</v>
      </c>
      <c r="X9" s="220">
        <f>SUM(X10:X14)</f>
        <v>35694</v>
      </c>
      <c r="Y9" s="220">
        <v>39271</v>
      </c>
    </row>
    <row r="10" spans="1:26" s="84" customFormat="1" ht="18" customHeight="1" outlineLevel="1" x14ac:dyDescent="0.2">
      <c r="B10" s="94" t="s">
        <v>187</v>
      </c>
      <c r="C10" s="221">
        <v>49990</v>
      </c>
      <c r="D10" s="221">
        <v>53791</v>
      </c>
      <c r="E10" s="222">
        <v>52634</v>
      </c>
      <c r="F10" s="221">
        <v>12157</v>
      </c>
      <c r="G10" s="221">
        <v>11756</v>
      </c>
      <c r="H10" s="221">
        <v>12995</v>
      </c>
      <c r="I10" s="221">
        <v>14091</v>
      </c>
      <c r="J10" s="221">
        <v>13432</v>
      </c>
      <c r="K10" s="223">
        <v>14240</v>
      </c>
      <c r="L10" s="221">
        <v>14729</v>
      </c>
      <c r="M10" s="221">
        <v>14910</v>
      </c>
      <c r="N10" s="221">
        <v>13061</v>
      </c>
      <c r="O10" s="221">
        <v>14268</v>
      </c>
      <c r="P10" s="221">
        <v>14295</v>
      </c>
      <c r="Q10" s="221">
        <v>14900</v>
      </c>
      <c r="R10" s="221">
        <v>12601</v>
      </c>
      <c r="S10" s="221">
        <v>9137</v>
      </c>
      <c r="T10" s="221">
        <v>13563</v>
      </c>
      <c r="U10" s="221">
        <v>15512</v>
      </c>
      <c r="V10" s="221">
        <v>16142</v>
      </c>
      <c r="W10" s="221">
        <v>18245</v>
      </c>
      <c r="X10" s="221">
        <v>21069</v>
      </c>
      <c r="Y10" s="221">
        <v>23614</v>
      </c>
    </row>
    <row r="11" spans="1:26" s="84" customFormat="1" ht="18" customHeight="1" outlineLevel="1" x14ac:dyDescent="0.2">
      <c r="B11" s="94" t="s">
        <v>6</v>
      </c>
      <c r="C11" s="221">
        <v>39293</v>
      </c>
      <c r="D11" s="221">
        <v>36003</v>
      </c>
      <c r="E11" s="222">
        <f>23247+5109</f>
        <v>28356</v>
      </c>
      <c r="F11" s="221">
        <v>6307</v>
      </c>
      <c r="G11" s="223">
        <v>6275</v>
      </c>
      <c r="H11" s="221">
        <v>7306</v>
      </c>
      <c r="I11" s="221">
        <v>7277</v>
      </c>
      <c r="J11" s="221">
        <v>7110</v>
      </c>
      <c r="K11" s="223">
        <v>7295</v>
      </c>
      <c r="L11" s="221">
        <v>9166</v>
      </c>
      <c r="M11" s="221">
        <v>7824</v>
      </c>
      <c r="N11" s="221">
        <v>7279</v>
      </c>
      <c r="O11" s="221">
        <v>7729</v>
      </c>
      <c r="P11" s="221">
        <v>7944</v>
      </c>
      <c r="Q11" s="221">
        <v>7049</v>
      </c>
      <c r="R11" s="221">
        <v>6580</v>
      </c>
      <c r="S11" s="221">
        <v>5600</v>
      </c>
      <c r="T11" s="221">
        <v>6895</v>
      </c>
      <c r="U11" s="221">
        <v>7402</v>
      </c>
      <c r="V11" s="221">
        <v>8330</v>
      </c>
      <c r="W11" s="221">
        <v>9278</v>
      </c>
      <c r="X11" s="221">
        <v>12320</v>
      </c>
      <c r="Y11" s="221">
        <v>12245</v>
      </c>
    </row>
    <row r="12" spans="1:26" s="84" customFormat="1" ht="18" customHeight="1" outlineLevel="1" x14ac:dyDescent="0.2">
      <c r="B12" s="94" t="s">
        <v>188</v>
      </c>
      <c r="C12" s="221">
        <v>9610</v>
      </c>
      <c r="D12" s="221">
        <v>7900</v>
      </c>
      <c r="E12" s="222">
        <v>6189</v>
      </c>
      <c r="F12" s="221">
        <v>1709</v>
      </c>
      <c r="G12" s="221">
        <v>1584</v>
      </c>
      <c r="H12" s="221">
        <v>1691</v>
      </c>
      <c r="I12" s="221">
        <v>1963</v>
      </c>
      <c r="J12" s="221">
        <v>2078</v>
      </c>
      <c r="K12" s="221">
        <v>2198</v>
      </c>
      <c r="L12" s="221">
        <v>2691</v>
      </c>
      <c r="M12" s="221">
        <v>2619</v>
      </c>
      <c r="N12" s="221">
        <v>2216</v>
      </c>
      <c r="O12" s="221">
        <v>2163</v>
      </c>
      <c r="P12" s="221">
        <v>2256</v>
      </c>
      <c r="Q12" s="221">
        <v>2338</v>
      </c>
      <c r="R12" s="221">
        <v>2157</v>
      </c>
      <c r="S12" s="221">
        <v>302</v>
      </c>
      <c r="T12" s="221">
        <v>827</v>
      </c>
      <c r="U12" s="221">
        <v>1563</v>
      </c>
      <c r="V12" s="221">
        <v>1854</v>
      </c>
      <c r="W12" s="221">
        <v>1740</v>
      </c>
      <c r="X12" s="221">
        <v>2493</v>
      </c>
      <c r="Y12" s="221">
        <v>3596</v>
      </c>
    </row>
    <row r="13" spans="1:26" s="84" customFormat="1" ht="18" customHeight="1" outlineLevel="1" x14ac:dyDescent="0.2">
      <c r="B13" s="94" t="s">
        <v>189</v>
      </c>
      <c r="C13" s="224">
        <v>-17</v>
      </c>
      <c r="D13" s="224">
        <v>-2</v>
      </c>
      <c r="E13" s="224">
        <v>0</v>
      </c>
      <c r="F13" s="224">
        <v>1</v>
      </c>
      <c r="G13" s="224">
        <v>0</v>
      </c>
      <c r="H13" s="224">
        <v>0</v>
      </c>
      <c r="I13" s="224">
        <v>0</v>
      </c>
      <c r="J13" s="224">
        <v>0</v>
      </c>
      <c r="K13" s="224">
        <v>0</v>
      </c>
      <c r="L13" s="224">
        <v>0</v>
      </c>
      <c r="M13" s="224">
        <v>0</v>
      </c>
      <c r="N13" s="224">
        <v>0</v>
      </c>
      <c r="O13" s="224">
        <v>0</v>
      </c>
      <c r="P13" s="224">
        <v>0</v>
      </c>
      <c r="Q13" s="224">
        <v>0</v>
      </c>
      <c r="R13" s="224">
        <v>0</v>
      </c>
      <c r="S13" s="224">
        <v>0</v>
      </c>
      <c r="T13" s="224">
        <v>0</v>
      </c>
      <c r="U13" s="224">
        <v>0</v>
      </c>
      <c r="V13" s="224">
        <v>0</v>
      </c>
      <c r="W13" s="224">
        <v>0</v>
      </c>
      <c r="X13" s="224">
        <v>0</v>
      </c>
      <c r="Y13" s="224">
        <v>0</v>
      </c>
    </row>
    <row r="14" spans="1:26" s="84" customFormat="1" ht="18" customHeight="1" outlineLevel="1" x14ac:dyDescent="0.2">
      <c r="B14" s="94" t="s">
        <v>190</v>
      </c>
      <c r="C14" s="221">
        <v>-348</v>
      </c>
      <c r="D14" s="221">
        <v>-412</v>
      </c>
      <c r="E14" s="222">
        <v>-542</v>
      </c>
      <c r="F14" s="221">
        <v>-125</v>
      </c>
      <c r="G14" s="221">
        <v>-140</v>
      </c>
      <c r="H14" s="221">
        <v>-153</v>
      </c>
      <c r="I14" s="222">
        <f>-545+418</f>
        <v>-127</v>
      </c>
      <c r="J14" s="221">
        <v>-121</v>
      </c>
      <c r="K14" s="221">
        <v>-136</v>
      </c>
      <c r="L14" s="221">
        <v>-131</v>
      </c>
      <c r="M14" s="222">
        <v>-134</v>
      </c>
      <c r="N14" s="221">
        <v>-124</v>
      </c>
      <c r="O14" s="221">
        <v>-115</v>
      </c>
      <c r="P14" s="221">
        <v>-135</v>
      </c>
      <c r="Q14" s="222">
        <v>-139</v>
      </c>
      <c r="R14" s="221">
        <v>-150</v>
      </c>
      <c r="S14" s="221">
        <v>-157</v>
      </c>
      <c r="T14" s="221">
        <v>-148</v>
      </c>
      <c r="U14" s="222">
        <v>-183</v>
      </c>
      <c r="V14" s="221">
        <v>-193</v>
      </c>
      <c r="W14" s="221">
        <v>-240</v>
      </c>
      <c r="X14" s="221">
        <v>-188</v>
      </c>
      <c r="Y14" s="221">
        <v>-184</v>
      </c>
    </row>
    <row r="15" spans="1:26" s="84" customFormat="1" ht="15.75" x14ac:dyDescent="0.2">
      <c r="B15" s="95" t="s">
        <v>195</v>
      </c>
      <c r="C15" s="225">
        <f t="shared" ref="C15:V15" si="1">SUM(C16:C20)</f>
        <v>-91237</v>
      </c>
      <c r="D15" s="225">
        <f t="shared" si="1"/>
        <v>-89967</v>
      </c>
      <c r="E15" s="225">
        <f t="shared" si="1"/>
        <v>-80172</v>
      </c>
      <c r="F15" s="225">
        <f t="shared" si="1"/>
        <v>-18568</v>
      </c>
      <c r="G15" s="225">
        <f t="shared" si="1"/>
        <v>-18199</v>
      </c>
      <c r="H15" s="225">
        <f t="shared" si="1"/>
        <v>-20035</v>
      </c>
      <c r="I15" s="225">
        <f t="shared" si="1"/>
        <v>-21398</v>
      </c>
      <c r="J15" s="225">
        <f t="shared" si="1"/>
        <v>-20982</v>
      </c>
      <c r="K15" s="225">
        <f t="shared" si="1"/>
        <v>-22281</v>
      </c>
      <c r="L15" s="225">
        <f t="shared" si="1"/>
        <v>-24936</v>
      </c>
      <c r="M15" s="225">
        <f t="shared" si="1"/>
        <v>-23715</v>
      </c>
      <c r="N15" s="225">
        <f t="shared" si="1"/>
        <v>-20842</v>
      </c>
      <c r="O15" s="225">
        <f t="shared" si="1"/>
        <v>-22756</v>
      </c>
      <c r="P15" s="225">
        <f t="shared" si="1"/>
        <v>-22966</v>
      </c>
      <c r="Q15" s="225">
        <f t="shared" si="1"/>
        <v>-22463</v>
      </c>
      <c r="R15" s="225">
        <f t="shared" si="1"/>
        <v>-20242</v>
      </c>
      <c r="S15" s="225">
        <f t="shared" si="1"/>
        <v>-14286</v>
      </c>
      <c r="T15" s="225">
        <f t="shared" si="1"/>
        <v>-19751</v>
      </c>
      <c r="U15" s="225">
        <f t="shared" si="1"/>
        <v>-22765</v>
      </c>
      <c r="V15" s="225">
        <f t="shared" si="1"/>
        <v>-24260</v>
      </c>
      <c r="W15" s="225">
        <f>SUM(W16:W20)</f>
        <v>-27750</v>
      </c>
      <c r="X15" s="225">
        <f>SUM(X16:X20)</f>
        <v>-34161</v>
      </c>
      <c r="Y15" s="225">
        <f>SUM(Y16:Y20)</f>
        <v>-37099</v>
      </c>
    </row>
    <row r="16" spans="1:26" s="84" customFormat="1" ht="18.75" customHeight="1" outlineLevel="1" x14ac:dyDescent="0.2">
      <c r="B16" s="94" t="s">
        <v>191</v>
      </c>
      <c r="C16" s="221">
        <v>-46968</v>
      </c>
      <c r="D16" s="221">
        <v>-49986</v>
      </c>
      <c r="E16" s="222">
        <v>-48698</v>
      </c>
      <c r="F16" s="221">
        <v>-11273</v>
      </c>
      <c r="G16" s="221">
        <v>-11028</v>
      </c>
      <c r="H16" s="221">
        <v>-11895</v>
      </c>
      <c r="I16" s="222">
        <f>-47227+34196</f>
        <v>-13031</v>
      </c>
      <c r="J16" s="221">
        <v>-12586</v>
      </c>
      <c r="K16" s="221">
        <v>-13535</v>
      </c>
      <c r="L16" s="221">
        <v>-14018</v>
      </c>
      <c r="M16" s="222">
        <v>-14062</v>
      </c>
      <c r="N16" s="221">
        <v>-12172</v>
      </c>
      <c r="O16" s="221">
        <v>-13626</v>
      </c>
      <c r="P16" s="221">
        <v>-13549</v>
      </c>
      <c r="Q16" s="222">
        <v>-13907</v>
      </c>
      <c r="R16" s="221">
        <v>-12119</v>
      </c>
      <c r="S16" s="221">
        <v>-8836</v>
      </c>
      <c r="T16" s="221">
        <v>-12769</v>
      </c>
      <c r="U16" s="222">
        <v>-14562</v>
      </c>
      <c r="V16" s="221">
        <v>-15024</v>
      </c>
      <c r="W16" s="221">
        <v>-17521</v>
      </c>
      <c r="X16" s="221">
        <v>-20267</v>
      </c>
      <c r="Y16" s="221">
        <v>-22369</v>
      </c>
    </row>
    <row r="17" spans="2:25" s="84" customFormat="1" ht="18.75" customHeight="1" outlineLevel="1" x14ac:dyDescent="0.2">
      <c r="B17" s="94" t="s">
        <v>7</v>
      </c>
      <c r="C17" s="221">
        <v>-35324</v>
      </c>
      <c r="D17" s="221">
        <v>-32736</v>
      </c>
      <c r="E17" s="222">
        <f>-21521-4310</f>
        <v>-25831</v>
      </c>
      <c r="F17" s="221">
        <v>-5750</v>
      </c>
      <c r="G17" s="221">
        <v>-5744</v>
      </c>
      <c r="H17" s="221">
        <v>-6619</v>
      </c>
      <c r="I17" s="222">
        <f>-24736+18113</f>
        <v>-6623</v>
      </c>
      <c r="J17" s="221">
        <v>-6521</v>
      </c>
      <c r="K17" s="221">
        <v>-6790</v>
      </c>
      <c r="L17" s="221">
        <v>-8481</v>
      </c>
      <c r="M17" s="222">
        <v>-7240</v>
      </c>
      <c r="N17" s="221">
        <v>-6634</v>
      </c>
      <c r="O17" s="221">
        <v>-7179</v>
      </c>
      <c r="P17" s="221">
        <v>-7349</v>
      </c>
      <c r="Q17" s="222">
        <v>-6424</v>
      </c>
      <c r="R17" s="221">
        <v>-6158</v>
      </c>
      <c r="S17" s="221">
        <v>-5173</v>
      </c>
      <c r="T17" s="221">
        <v>-6254</v>
      </c>
      <c r="U17" s="222">
        <v>-6798</v>
      </c>
      <c r="V17" s="221">
        <v>-7599</v>
      </c>
      <c r="W17" s="221">
        <v>-8658</v>
      </c>
      <c r="X17" s="221">
        <v>-11584</v>
      </c>
      <c r="Y17" s="221">
        <v>-11429</v>
      </c>
    </row>
    <row r="18" spans="2:25" s="84" customFormat="1" ht="18.75" customHeight="1" outlineLevel="1" x14ac:dyDescent="0.2">
      <c r="B18" s="94" t="s">
        <v>192</v>
      </c>
      <c r="C18" s="221">
        <v>-8929</v>
      </c>
      <c r="D18" s="221">
        <v>-7230</v>
      </c>
      <c r="E18" s="222">
        <v>-5627</v>
      </c>
      <c r="F18" s="221">
        <v>-1537</v>
      </c>
      <c r="G18" s="221">
        <v>-1424</v>
      </c>
      <c r="H18" s="221">
        <v>-1518</v>
      </c>
      <c r="I18" s="222">
        <f>-6224+4479</f>
        <v>-1745</v>
      </c>
      <c r="J18" s="221">
        <v>-1872</v>
      </c>
      <c r="K18" s="221">
        <v>-1953</v>
      </c>
      <c r="L18" s="221">
        <v>-2434</v>
      </c>
      <c r="M18" s="222">
        <v>-2410</v>
      </c>
      <c r="N18" s="221">
        <v>-2033</v>
      </c>
      <c r="O18" s="221">
        <v>-1948</v>
      </c>
      <c r="P18" s="221">
        <v>-2064</v>
      </c>
      <c r="Q18" s="222">
        <v>-2130</v>
      </c>
      <c r="R18" s="221">
        <v>-1962</v>
      </c>
      <c r="S18" s="221">
        <v>-274</v>
      </c>
      <c r="T18" s="221">
        <v>-725</v>
      </c>
      <c r="U18" s="222">
        <v>-1414</v>
      </c>
      <c r="V18" s="221">
        <v>-1634</v>
      </c>
      <c r="W18" s="221">
        <v>-1568</v>
      </c>
      <c r="X18" s="221">
        <v>-2307</v>
      </c>
      <c r="Y18" s="221">
        <v>-3301</v>
      </c>
    </row>
    <row r="19" spans="2:25" s="84" customFormat="1" ht="18.75" customHeight="1" outlineLevel="1" x14ac:dyDescent="0.2">
      <c r="B19" s="94" t="s">
        <v>193</v>
      </c>
      <c r="C19" s="221">
        <v>-6</v>
      </c>
      <c r="D19" s="221">
        <v>-3</v>
      </c>
      <c r="E19" s="221">
        <v>-4</v>
      </c>
      <c r="F19" s="221">
        <v>-4</v>
      </c>
      <c r="G19" s="221">
        <v>0</v>
      </c>
      <c r="H19" s="221">
        <v>0</v>
      </c>
      <c r="I19" s="221">
        <v>4</v>
      </c>
      <c r="J19" s="221">
        <v>0</v>
      </c>
      <c r="K19" s="221">
        <v>0</v>
      </c>
      <c r="L19" s="221">
        <v>0</v>
      </c>
      <c r="M19" s="221">
        <v>0</v>
      </c>
      <c r="N19" s="221">
        <v>0</v>
      </c>
      <c r="O19" s="221">
        <v>0</v>
      </c>
      <c r="P19" s="221">
        <v>0</v>
      </c>
      <c r="Q19" s="221">
        <v>0</v>
      </c>
      <c r="R19" s="221">
        <v>0</v>
      </c>
      <c r="S19" s="221">
        <v>0</v>
      </c>
      <c r="T19" s="221">
        <v>0</v>
      </c>
      <c r="U19" s="221">
        <v>0</v>
      </c>
      <c r="V19" s="221">
        <v>0</v>
      </c>
      <c r="W19" s="221">
        <v>0</v>
      </c>
      <c r="X19" s="221">
        <v>0</v>
      </c>
      <c r="Y19" s="221">
        <v>0</v>
      </c>
    </row>
    <row r="20" spans="2:25" s="84" customFormat="1" ht="18.75" customHeight="1" outlineLevel="1" x14ac:dyDescent="0.2">
      <c r="B20" s="94" t="s">
        <v>194</v>
      </c>
      <c r="C20" s="221">
        <v>-10</v>
      </c>
      <c r="D20" s="221">
        <v>-12</v>
      </c>
      <c r="E20" s="222">
        <v>-12</v>
      </c>
      <c r="F20" s="221">
        <v>-4</v>
      </c>
      <c r="G20" s="221">
        <v>-3</v>
      </c>
      <c r="H20" s="221">
        <v>-3</v>
      </c>
      <c r="I20" s="222">
        <v>-3</v>
      </c>
      <c r="J20" s="221">
        <v>-3</v>
      </c>
      <c r="K20" s="221">
        <v>-3</v>
      </c>
      <c r="L20" s="221">
        <v>-3</v>
      </c>
      <c r="M20" s="222">
        <v>-3</v>
      </c>
      <c r="N20" s="221">
        <v>-3</v>
      </c>
      <c r="O20" s="221">
        <v>-3</v>
      </c>
      <c r="P20" s="221">
        <v>-4</v>
      </c>
      <c r="Q20" s="222">
        <v>-2</v>
      </c>
      <c r="R20" s="221">
        <v>-3</v>
      </c>
      <c r="S20" s="221">
        <v>-3</v>
      </c>
      <c r="T20" s="221">
        <v>-3</v>
      </c>
      <c r="U20" s="222">
        <v>9</v>
      </c>
      <c r="V20" s="221">
        <v>-3</v>
      </c>
      <c r="W20" s="221">
        <v>-3</v>
      </c>
      <c r="X20" s="221">
        <v>-3</v>
      </c>
      <c r="Y20" s="221">
        <v>0</v>
      </c>
    </row>
    <row r="21" spans="2:25" s="84" customFormat="1" ht="15.75" x14ac:dyDescent="0.2">
      <c r="B21" s="95" t="s">
        <v>233</v>
      </c>
      <c r="C21" s="225">
        <f t="shared" ref="C21:V21" si="2">SUM(C22:C26)</f>
        <v>7291</v>
      </c>
      <c r="D21" s="225">
        <f t="shared" si="2"/>
        <v>7313</v>
      </c>
      <c r="E21" s="225">
        <f t="shared" si="2"/>
        <v>6465</v>
      </c>
      <c r="F21" s="225">
        <f t="shared" si="2"/>
        <v>1481</v>
      </c>
      <c r="G21" s="225">
        <f t="shared" si="2"/>
        <v>1276</v>
      </c>
      <c r="H21" s="225">
        <f t="shared" si="2"/>
        <v>1804</v>
      </c>
      <c r="I21" s="225">
        <f t="shared" si="2"/>
        <v>1806</v>
      </c>
      <c r="J21" s="225">
        <f t="shared" si="2"/>
        <v>1517</v>
      </c>
      <c r="K21" s="225">
        <f t="shared" si="2"/>
        <v>1316</v>
      </c>
      <c r="L21" s="225">
        <f t="shared" si="2"/>
        <v>1519</v>
      </c>
      <c r="M21" s="225">
        <f t="shared" si="2"/>
        <v>1504</v>
      </c>
      <c r="N21" s="225">
        <f t="shared" si="2"/>
        <v>1590</v>
      </c>
      <c r="O21" s="225">
        <f t="shared" si="2"/>
        <v>1289</v>
      </c>
      <c r="P21" s="225">
        <f t="shared" si="2"/>
        <v>1394</v>
      </c>
      <c r="Q21" s="225">
        <f t="shared" si="2"/>
        <v>1685</v>
      </c>
      <c r="R21" s="225">
        <f t="shared" si="2"/>
        <v>946</v>
      </c>
      <c r="S21" s="225">
        <f t="shared" si="2"/>
        <v>596</v>
      </c>
      <c r="T21" s="225">
        <f>SUM(T22:T26)</f>
        <v>1386</v>
      </c>
      <c r="U21" s="225">
        <f t="shared" si="2"/>
        <v>1529</v>
      </c>
      <c r="V21" s="225">
        <f t="shared" si="2"/>
        <v>1873</v>
      </c>
      <c r="W21" s="225">
        <f>SUM(W22:W26)</f>
        <v>1273</v>
      </c>
      <c r="X21" s="225">
        <f>SUM(X22:X26)</f>
        <v>1533</v>
      </c>
      <c r="Y21" s="225">
        <f>SUM(Y22:Y26)</f>
        <v>2172</v>
      </c>
    </row>
    <row r="22" spans="2:25" s="181" customFormat="1" ht="18" outlineLevel="1" x14ac:dyDescent="0.25">
      <c r="B22" s="97" t="s">
        <v>196</v>
      </c>
      <c r="C22" s="226">
        <f t="shared" ref="C22:V22" si="3">C10+C16</f>
        <v>3022</v>
      </c>
      <c r="D22" s="226">
        <f t="shared" si="3"/>
        <v>3805</v>
      </c>
      <c r="E22" s="226">
        <f t="shared" si="3"/>
        <v>3936</v>
      </c>
      <c r="F22" s="226">
        <f t="shared" si="3"/>
        <v>884</v>
      </c>
      <c r="G22" s="226">
        <f t="shared" si="3"/>
        <v>728</v>
      </c>
      <c r="H22" s="226">
        <f t="shared" si="3"/>
        <v>1100</v>
      </c>
      <c r="I22" s="226">
        <f t="shared" si="3"/>
        <v>1060</v>
      </c>
      <c r="J22" s="226">
        <f t="shared" si="3"/>
        <v>846</v>
      </c>
      <c r="K22" s="226">
        <f t="shared" si="3"/>
        <v>705</v>
      </c>
      <c r="L22" s="226">
        <f t="shared" si="3"/>
        <v>711</v>
      </c>
      <c r="M22" s="226">
        <f t="shared" si="3"/>
        <v>848</v>
      </c>
      <c r="N22" s="226">
        <f t="shared" si="3"/>
        <v>889</v>
      </c>
      <c r="O22" s="226">
        <f t="shared" si="3"/>
        <v>642</v>
      </c>
      <c r="P22" s="226">
        <f t="shared" si="3"/>
        <v>746</v>
      </c>
      <c r="Q22" s="226">
        <f t="shared" si="3"/>
        <v>993</v>
      </c>
      <c r="R22" s="226">
        <f t="shared" si="3"/>
        <v>482</v>
      </c>
      <c r="S22" s="226">
        <f t="shared" si="3"/>
        <v>301</v>
      </c>
      <c r="T22" s="226">
        <f t="shared" si="3"/>
        <v>794</v>
      </c>
      <c r="U22" s="226">
        <f t="shared" si="3"/>
        <v>950</v>
      </c>
      <c r="V22" s="226">
        <f t="shared" si="3"/>
        <v>1118</v>
      </c>
      <c r="W22" s="226">
        <f>W10+W16</f>
        <v>724</v>
      </c>
      <c r="X22" s="226">
        <f>X10+X16</f>
        <v>802</v>
      </c>
      <c r="Y22" s="226">
        <v>1245</v>
      </c>
    </row>
    <row r="23" spans="2:25" s="181" customFormat="1" ht="18" outlineLevel="1" x14ac:dyDescent="0.25">
      <c r="B23" s="97" t="s">
        <v>8</v>
      </c>
      <c r="C23" s="226">
        <f t="shared" ref="C23:V23" si="4">C11+C17</f>
        <v>3969</v>
      </c>
      <c r="D23" s="226">
        <f t="shared" si="4"/>
        <v>3267</v>
      </c>
      <c r="E23" s="226">
        <f t="shared" si="4"/>
        <v>2525</v>
      </c>
      <c r="F23" s="226">
        <f t="shared" si="4"/>
        <v>557</v>
      </c>
      <c r="G23" s="226">
        <f t="shared" si="4"/>
        <v>531</v>
      </c>
      <c r="H23" s="226">
        <f t="shared" si="4"/>
        <v>687</v>
      </c>
      <c r="I23" s="226">
        <f t="shared" si="4"/>
        <v>654</v>
      </c>
      <c r="J23" s="226">
        <f t="shared" si="4"/>
        <v>589</v>
      </c>
      <c r="K23" s="226">
        <f t="shared" si="4"/>
        <v>505</v>
      </c>
      <c r="L23" s="226">
        <f t="shared" si="4"/>
        <v>685</v>
      </c>
      <c r="M23" s="226">
        <f t="shared" si="4"/>
        <v>584</v>
      </c>
      <c r="N23" s="226">
        <f t="shared" si="4"/>
        <v>645</v>
      </c>
      <c r="O23" s="226">
        <f t="shared" si="4"/>
        <v>550</v>
      </c>
      <c r="P23" s="226">
        <f t="shared" si="4"/>
        <v>595</v>
      </c>
      <c r="Q23" s="226">
        <f t="shared" si="4"/>
        <v>625</v>
      </c>
      <c r="R23" s="226">
        <f t="shared" si="4"/>
        <v>422</v>
      </c>
      <c r="S23" s="226">
        <f t="shared" si="4"/>
        <v>427</v>
      </c>
      <c r="T23" s="226">
        <f t="shared" si="4"/>
        <v>641</v>
      </c>
      <c r="U23" s="226">
        <f t="shared" si="4"/>
        <v>604</v>
      </c>
      <c r="V23" s="226">
        <f t="shared" si="4"/>
        <v>731</v>
      </c>
      <c r="W23" s="226">
        <f t="shared" ref="W23:X26" si="5">W11+W17</f>
        <v>620</v>
      </c>
      <c r="X23" s="226">
        <f t="shared" si="5"/>
        <v>736</v>
      </c>
      <c r="Y23" s="226">
        <v>816</v>
      </c>
    </row>
    <row r="24" spans="2:25" s="181" customFormat="1" ht="18" outlineLevel="1" x14ac:dyDescent="0.25">
      <c r="B24" s="97" t="s">
        <v>197</v>
      </c>
      <c r="C24" s="226">
        <f t="shared" ref="C24:V24" si="6">C12+C18</f>
        <v>681</v>
      </c>
      <c r="D24" s="226">
        <f t="shared" si="6"/>
        <v>670</v>
      </c>
      <c r="E24" s="226">
        <f t="shared" si="6"/>
        <v>562</v>
      </c>
      <c r="F24" s="226">
        <f t="shared" si="6"/>
        <v>172</v>
      </c>
      <c r="G24" s="226">
        <f t="shared" si="6"/>
        <v>160</v>
      </c>
      <c r="H24" s="226">
        <f t="shared" si="6"/>
        <v>173</v>
      </c>
      <c r="I24" s="226">
        <f t="shared" si="6"/>
        <v>218</v>
      </c>
      <c r="J24" s="226">
        <f t="shared" si="6"/>
        <v>206</v>
      </c>
      <c r="K24" s="226">
        <f t="shared" si="6"/>
        <v>245</v>
      </c>
      <c r="L24" s="226">
        <f t="shared" si="6"/>
        <v>257</v>
      </c>
      <c r="M24" s="226">
        <f t="shared" si="6"/>
        <v>209</v>
      </c>
      <c r="N24" s="226">
        <f t="shared" si="6"/>
        <v>183</v>
      </c>
      <c r="O24" s="226">
        <f t="shared" si="6"/>
        <v>215</v>
      </c>
      <c r="P24" s="226">
        <f t="shared" si="6"/>
        <v>192</v>
      </c>
      <c r="Q24" s="226">
        <f t="shared" si="6"/>
        <v>208</v>
      </c>
      <c r="R24" s="226">
        <f t="shared" si="6"/>
        <v>195</v>
      </c>
      <c r="S24" s="226">
        <f t="shared" si="6"/>
        <v>28</v>
      </c>
      <c r="T24" s="226">
        <f t="shared" si="6"/>
        <v>102</v>
      </c>
      <c r="U24" s="226">
        <f t="shared" si="6"/>
        <v>149</v>
      </c>
      <c r="V24" s="226">
        <f t="shared" si="6"/>
        <v>220</v>
      </c>
      <c r="W24" s="226">
        <f t="shared" si="5"/>
        <v>172</v>
      </c>
      <c r="X24" s="226">
        <f t="shared" si="5"/>
        <v>186</v>
      </c>
      <c r="Y24" s="226">
        <v>295</v>
      </c>
    </row>
    <row r="25" spans="2:25" s="181" customFormat="1" ht="18" outlineLevel="1" x14ac:dyDescent="0.25">
      <c r="B25" s="97" t="s">
        <v>198</v>
      </c>
      <c r="C25" s="226">
        <f t="shared" ref="C25:V25" si="7">C13+C19</f>
        <v>-23</v>
      </c>
      <c r="D25" s="226">
        <f t="shared" si="7"/>
        <v>-5</v>
      </c>
      <c r="E25" s="226">
        <f t="shared" si="7"/>
        <v>-4</v>
      </c>
      <c r="F25" s="226">
        <f t="shared" si="7"/>
        <v>-3</v>
      </c>
      <c r="G25" s="226">
        <f t="shared" si="7"/>
        <v>0</v>
      </c>
      <c r="H25" s="226">
        <f t="shared" si="7"/>
        <v>0</v>
      </c>
      <c r="I25" s="226">
        <f t="shared" si="7"/>
        <v>4</v>
      </c>
      <c r="J25" s="226">
        <f t="shared" si="7"/>
        <v>0</v>
      </c>
      <c r="K25" s="226">
        <f t="shared" si="7"/>
        <v>0</v>
      </c>
      <c r="L25" s="226">
        <f t="shared" si="7"/>
        <v>0</v>
      </c>
      <c r="M25" s="226">
        <f t="shared" si="7"/>
        <v>0</v>
      </c>
      <c r="N25" s="226">
        <f t="shared" si="7"/>
        <v>0</v>
      </c>
      <c r="O25" s="226">
        <f t="shared" si="7"/>
        <v>0</v>
      </c>
      <c r="P25" s="226">
        <f t="shared" si="7"/>
        <v>0</v>
      </c>
      <c r="Q25" s="226">
        <f t="shared" si="7"/>
        <v>0</v>
      </c>
      <c r="R25" s="226">
        <f t="shared" si="7"/>
        <v>0</v>
      </c>
      <c r="S25" s="226">
        <f t="shared" si="7"/>
        <v>0</v>
      </c>
      <c r="T25" s="226">
        <f>T13+T19</f>
        <v>0</v>
      </c>
      <c r="U25" s="226">
        <f t="shared" si="7"/>
        <v>0</v>
      </c>
      <c r="V25" s="226">
        <f t="shared" si="7"/>
        <v>0</v>
      </c>
      <c r="W25" s="226">
        <f t="shared" si="5"/>
        <v>0</v>
      </c>
      <c r="X25" s="226">
        <f t="shared" si="5"/>
        <v>0</v>
      </c>
      <c r="Y25" s="226">
        <v>0</v>
      </c>
    </row>
    <row r="26" spans="2:25" s="181" customFormat="1" ht="18" outlineLevel="1" x14ac:dyDescent="0.25">
      <c r="B26" s="97" t="s">
        <v>199</v>
      </c>
      <c r="C26" s="226">
        <f t="shared" ref="C26:V26" si="8">C14+C20</f>
        <v>-358</v>
      </c>
      <c r="D26" s="226">
        <f t="shared" si="8"/>
        <v>-424</v>
      </c>
      <c r="E26" s="226">
        <f t="shared" si="8"/>
        <v>-554</v>
      </c>
      <c r="F26" s="226">
        <f t="shared" si="8"/>
        <v>-129</v>
      </c>
      <c r="G26" s="226">
        <f t="shared" si="8"/>
        <v>-143</v>
      </c>
      <c r="H26" s="226">
        <f t="shared" si="8"/>
        <v>-156</v>
      </c>
      <c r="I26" s="226">
        <f t="shared" si="8"/>
        <v>-130</v>
      </c>
      <c r="J26" s="226">
        <f t="shared" si="8"/>
        <v>-124</v>
      </c>
      <c r="K26" s="226">
        <f t="shared" si="8"/>
        <v>-139</v>
      </c>
      <c r="L26" s="226">
        <f t="shared" si="8"/>
        <v>-134</v>
      </c>
      <c r="M26" s="226">
        <f t="shared" si="8"/>
        <v>-137</v>
      </c>
      <c r="N26" s="226">
        <f t="shared" si="8"/>
        <v>-127</v>
      </c>
      <c r="O26" s="226">
        <f t="shared" si="8"/>
        <v>-118</v>
      </c>
      <c r="P26" s="226">
        <f t="shared" si="8"/>
        <v>-139</v>
      </c>
      <c r="Q26" s="226">
        <f t="shared" si="8"/>
        <v>-141</v>
      </c>
      <c r="R26" s="226">
        <f t="shared" si="8"/>
        <v>-153</v>
      </c>
      <c r="S26" s="226">
        <f t="shared" si="8"/>
        <v>-160</v>
      </c>
      <c r="T26" s="226">
        <f t="shared" si="8"/>
        <v>-151</v>
      </c>
      <c r="U26" s="226">
        <f t="shared" si="8"/>
        <v>-174</v>
      </c>
      <c r="V26" s="226">
        <f t="shared" si="8"/>
        <v>-196</v>
      </c>
      <c r="W26" s="226">
        <f t="shared" si="5"/>
        <v>-243</v>
      </c>
      <c r="X26" s="226">
        <f t="shared" si="5"/>
        <v>-191</v>
      </c>
      <c r="Y26" s="226">
        <v>-184</v>
      </c>
    </row>
    <row r="27" spans="2:25" s="84" customFormat="1" ht="15.75" x14ac:dyDescent="0.2">
      <c r="B27" s="95" t="s">
        <v>232</v>
      </c>
      <c r="C27" s="225">
        <f t="shared" ref="C27:V27" si="9">C28+C34+C40</f>
        <v>-6033</v>
      </c>
      <c r="D27" s="225">
        <f t="shared" si="9"/>
        <v>-8952</v>
      </c>
      <c r="E27" s="225">
        <f t="shared" si="9"/>
        <v>-6479</v>
      </c>
      <c r="F27" s="225">
        <f t="shared" si="9"/>
        <v>-1055</v>
      </c>
      <c r="G27" s="225">
        <f t="shared" si="9"/>
        <v>-1047</v>
      </c>
      <c r="H27" s="225">
        <f t="shared" si="9"/>
        <v>-972</v>
      </c>
      <c r="I27" s="225">
        <f t="shared" si="9"/>
        <v>-1169</v>
      </c>
      <c r="J27" s="225">
        <f t="shared" si="9"/>
        <v>-1060</v>
      </c>
      <c r="K27" s="225">
        <f t="shared" si="9"/>
        <v>-1142</v>
      </c>
      <c r="L27" s="225">
        <f t="shared" si="9"/>
        <v>-97</v>
      </c>
      <c r="M27" s="225">
        <f t="shared" si="9"/>
        <v>-1170</v>
      </c>
      <c r="N27" s="225">
        <f t="shared" si="9"/>
        <v>-1057</v>
      </c>
      <c r="O27" s="225">
        <f t="shared" si="9"/>
        <v>-1013</v>
      </c>
      <c r="P27" s="225">
        <f t="shared" si="9"/>
        <v>-919</v>
      </c>
      <c r="Q27" s="225">
        <f>Q28+Q34+Q40</f>
        <v>-1618</v>
      </c>
      <c r="R27" s="225">
        <f t="shared" si="9"/>
        <v>-445</v>
      </c>
      <c r="S27" s="225">
        <f t="shared" si="9"/>
        <v>-340</v>
      </c>
      <c r="T27" s="225">
        <f t="shared" si="9"/>
        <v>-861</v>
      </c>
      <c r="U27" s="225">
        <f t="shared" si="9"/>
        <v>1746</v>
      </c>
      <c r="V27" s="225">
        <f t="shared" si="9"/>
        <v>-1003</v>
      </c>
      <c r="W27" s="225">
        <f>W28+W34+W40</f>
        <v>-600</v>
      </c>
      <c r="X27" s="225">
        <f>X28+X34+X40</f>
        <v>-1110</v>
      </c>
      <c r="Y27" s="225">
        <f>Y28+Y34+Y40</f>
        <v>-1644</v>
      </c>
    </row>
    <row r="28" spans="2:25" s="217" customFormat="1" ht="18.75" customHeight="1" x14ac:dyDescent="0.25">
      <c r="B28" s="173" t="s">
        <v>227</v>
      </c>
      <c r="C28" s="227">
        <f t="shared" ref="C28:V28" si="10">SUM(C29:C33)</f>
        <v>-5272</v>
      </c>
      <c r="D28" s="227">
        <f t="shared" si="10"/>
        <v>-7274</v>
      </c>
      <c r="E28" s="227">
        <f t="shared" si="10"/>
        <v>-4673</v>
      </c>
      <c r="F28" s="227">
        <f t="shared" si="10"/>
        <v>-908</v>
      </c>
      <c r="G28" s="227">
        <f t="shared" si="10"/>
        <v>-965</v>
      </c>
      <c r="H28" s="227">
        <f t="shared" si="10"/>
        <v>-956</v>
      </c>
      <c r="I28" s="227">
        <f t="shared" si="10"/>
        <v>-958</v>
      </c>
      <c r="J28" s="227">
        <f t="shared" si="10"/>
        <v>-898</v>
      </c>
      <c r="K28" s="227">
        <f t="shared" si="10"/>
        <v>-958</v>
      </c>
      <c r="L28" s="227">
        <f t="shared" si="10"/>
        <v>-970</v>
      </c>
      <c r="M28" s="227">
        <f t="shared" si="10"/>
        <v>-887</v>
      </c>
      <c r="N28" s="227">
        <f t="shared" si="10"/>
        <v>-928</v>
      </c>
      <c r="O28" s="227">
        <f t="shared" si="10"/>
        <v>-912</v>
      </c>
      <c r="P28" s="227">
        <f t="shared" si="10"/>
        <v>-933</v>
      </c>
      <c r="Q28" s="227">
        <f t="shared" si="10"/>
        <v>-1112</v>
      </c>
      <c r="R28" s="227">
        <f t="shared" si="10"/>
        <v>-768</v>
      </c>
      <c r="S28" s="227">
        <f t="shared" si="10"/>
        <v>-723</v>
      </c>
      <c r="T28" s="227">
        <f t="shared" si="10"/>
        <v>-683</v>
      </c>
      <c r="U28" s="227">
        <f t="shared" si="10"/>
        <v>-575</v>
      </c>
      <c r="V28" s="227">
        <f t="shared" si="10"/>
        <v>-878</v>
      </c>
      <c r="W28" s="227">
        <f>SUM(W29:W33)</f>
        <v>-743</v>
      </c>
      <c r="X28" s="227">
        <f>SUM(X29:X33)</f>
        <v>-866</v>
      </c>
      <c r="Y28" s="227">
        <f>SUM(Y29:Y33)</f>
        <v>-810</v>
      </c>
    </row>
    <row r="29" spans="2:25" s="84" customFormat="1" ht="18.75" customHeight="1" outlineLevel="1" x14ac:dyDescent="0.2">
      <c r="B29" s="174" t="s">
        <v>228</v>
      </c>
      <c r="C29" s="221">
        <v>-1518</v>
      </c>
      <c r="D29" s="221">
        <v>-1631</v>
      </c>
      <c r="E29" s="222">
        <v>-1617</v>
      </c>
      <c r="F29" s="221">
        <v>-396</v>
      </c>
      <c r="G29" s="221">
        <v>-419</v>
      </c>
      <c r="H29" s="221">
        <v>-416</v>
      </c>
      <c r="I29" s="228">
        <f>-1624+1231</f>
        <v>-393</v>
      </c>
      <c r="J29" s="224">
        <v>-396</v>
      </c>
      <c r="K29" s="224">
        <v>-395</v>
      </c>
      <c r="L29" s="224">
        <v>-462</v>
      </c>
      <c r="M29" s="228">
        <v>-421</v>
      </c>
      <c r="N29" s="224">
        <v>-389</v>
      </c>
      <c r="O29" s="224">
        <v>-383</v>
      </c>
      <c r="P29" s="224">
        <v>-385</v>
      </c>
      <c r="Q29" s="228">
        <v>-366</v>
      </c>
      <c r="R29" s="224">
        <v>-294</v>
      </c>
      <c r="S29" s="224">
        <v>-243</v>
      </c>
      <c r="T29" s="224">
        <v>-279</v>
      </c>
      <c r="U29" s="228">
        <v>-264</v>
      </c>
      <c r="V29" s="224">
        <v>-239</v>
      </c>
      <c r="W29" s="224">
        <v>-253</v>
      </c>
      <c r="X29" s="224">
        <v>-281</v>
      </c>
      <c r="Y29" s="224">
        <v>-304</v>
      </c>
    </row>
    <row r="30" spans="2:25" s="84" customFormat="1" ht="18.75" customHeight="1" outlineLevel="1" x14ac:dyDescent="0.2">
      <c r="B30" s="174" t="s">
        <v>22</v>
      </c>
      <c r="C30" s="221">
        <v>-1563</v>
      </c>
      <c r="D30" s="221">
        <v>-1617</v>
      </c>
      <c r="E30" s="222">
        <f>-1091-422</f>
        <v>-1513</v>
      </c>
      <c r="F30" s="221">
        <v>-329</v>
      </c>
      <c r="G30" s="221">
        <v>-311</v>
      </c>
      <c r="H30" s="221">
        <v>-300</v>
      </c>
      <c r="I30" s="228">
        <f>-1263+940</f>
        <v>-323</v>
      </c>
      <c r="J30" s="224">
        <v>-242</v>
      </c>
      <c r="K30" s="224">
        <v>-291</v>
      </c>
      <c r="L30" s="224">
        <v>-267</v>
      </c>
      <c r="M30" s="228">
        <v>-269</v>
      </c>
      <c r="N30" s="224">
        <v>-259</v>
      </c>
      <c r="O30" s="224">
        <v>-265</v>
      </c>
      <c r="P30" s="224">
        <v>-267</v>
      </c>
      <c r="Q30" s="228">
        <v>-264</v>
      </c>
      <c r="R30" s="224">
        <v>-217</v>
      </c>
      <c r="S30" s="224">
        <v>-225</v>
      </c>
      <c r="T30" s="224">
        <v>-232</v>
      </c>
      <c r="U30" s="228">
        <v>-223</v>
      </c>
      <c r="V30" s="224">
        <v>-365</v>
      </c>
      <c r="W30" s="224">
        <v>-228</v>
      </c>
      <c r="X30" s="224">
        <v>-239</v>
      </c>
      <c r="Y30" s="224">
        <v>-269</v>
      </c>
    </row>
    <row r="31" spans="2:25" s="84" customFormat="1" ht="18.75" customHeight="1" outlineLevel="1" x14ac:dyDescent="0.2">
      <c r="B31" s="174" t="s">
        <v>229</v>
      </c>
      <c r="C31" s="221">
        <v>-486</v>
      </c>
      <c r="D31" s="221">
        <v>-507</v>
      </c>
      <c r="E31" s="222">
        <v>-462</v>
      </c>
      <c r="F31" s="221">
        <v>-122</v>
      </c>
      <c r="G31" s="221">
        <v>-115</v>
      </c>
      <c r="H31" s="221">
        <v>-113</v>
      </c>
      <c r="I31" s="228">
        <f>-467+350</f>
        <v>-117</v>
      </c>
      <c r="J31" s="224">
        <v>-116</v>
      </c>
      <c r="K31" s="224">
        <v>-123</v>
      </c>
      <c r="L31" s="224">
        <v>-119</v>
      </c>
      <c r="M31" s="228">
        <v>-166</v>
      </c>
      <c r="N31" s="224">
        <v>-123</v>
      </c>
      <c r="O31" s="224">
        <v>-106</v>
      </c>
      <c r="P31" s="224">
        <v>-102</v>
      </c>
      <c r="Q31" s="228">
        <v>-113</v>
      </c>
      <c r="R31" s="224">
        <v>-110</v>
      </c>
      <c r="S31" s="224">
        <v>-112</v>
      </c>
      <c r="T31" s="224">
        <v>-69</v>
      </c>
      <c r="U31" s="228">
        <v>-79</v>
      </c>
      <c r="V31" s="224">
        <v>-116</v>
      </c>
      <c r="W31" s="224">
        <v>-64</v>
      </c>
      <c r="X31" s="224">
        <v>-53</v>
      </c>
      <c r="Y31" s="224">
        <v>-116</v>
      </c>
    </row>
    <row r="32" spans="2:25" s="84" customFormat="1" ht="18.75" customHeight="1" outlineLevel="1" x14ac:dyDescent="0.2">
      <c r="B32" s="174" t="s">
        <v>230</v>
      </c>
      <c r="C32" s="221">
        <v>-216</v>
      </c>
      <c r="D32" s="221">
        <v>-197</v>
      </c>
      <c r="E32" s="222">
        <v>-228</v>
      </c>
      <c r="F32" s="221">
        <v>-41</v>
      </c>
      <c r="G32" s="221">
        <v>-36</v>
      </c>
      <c r="H32" s="221">
        <v>-42</v>
      </c>
      <c r="I32" s="228">
        <f>-149+119</f>
        <v>-30</v>
      </c>
      <c r="J32" s="224">
        <v>-60</v>
      </c>
      <c r="K32" s="224">
        <v>-45</v>
      </c>
      <c r="L32" s="224">
        <v>-28</v>
      </c>
      <c r="M32" s="228">
        <v>-28</v>
      </c>
      <c r="N32" s="224">
        <v>-39</v>
      </c>
      <c r="O32" s="224">
        <v>-38</v>
      </c>
      <c r="P32" s="224">
        <v>-57</v>
      </c>
      <c r="Q32" s="228">
        <v>-41</v>
      </c>
      <c r="R32" s="224">
        <v>-15</v>
      </c>
      <c r="S32" s="224">
        <v>-11</v>
      </c>
      <c r="T32" s="224">
        <v>26</v>
      </c>
      <c r="U32" s="228">
        <v>-71</v>
      </c>
      <c r="V32" s="224">
        <v>-23</v>
      </c>
      <c r="W32" s="224">
        <v>-62</v>
      </c>
      <c r="X32" s="224">
        <v>-150</v>
      </c>
      <c r="Y32" s="224">
        <v>-46</v>
      </c>
    </row>
    <row r="33" spans="2:25" s="84" customFormat="1" ht="18.75" customHeight="1" outlineLevel="1" x14ac:dyDescent="0.2">
      <c r="B33" s="174" t="s">
        <v>231</v>
      </c>
      <c r="C33" s="221">
        <v>-1489</v>
      </c>
      <c r="D33" s="221">
        <v>-3322</v>
      </c>
      <c r="E33" s="222">
        <v>-853</v>
      </c>
      <c r="F33" s="221">
        <v>-20</v>
      </c>
      <c r="G33" s="221">
        <v>-84</v>
      </c>
      <c r="H33" s="221">
        <v>-85</v>
      </c>
      <c r="I33" s="228">
        <f>-284+189</f>
        <v>-95</v>
      </c>
      <c r="J33" s="224">
        <v>-84</v>
      </c>
      <c r="K33" s="224">
        <v>-104</v>
      </c>
      <c r="L33" s="224">
        <v>-94</v>
      </c>
      <c r="M33" s="228">
        <v>-3</v>
      </c>
      <c r="N33" s="224">
        <v>-118</v>
      </c>
      <c r="O33" s="224">
        <v>-120</v>
      </c>
      <c r="P33" s="224">
        <v>-122</v>
      </c>
      <c r="Q33" s="228">
        <v>-328</v>
      </c>
      <c r="R33" s="224">
        <v>-132</v>
      </c>
      <c r="S33" s="224">
        <v>-132</v>
      </c>
      <c r="T33" s="224">
        <v>-129</v>
      </c>
      <c r="U33" s="228">
        <v>62</v>
      </c>
      <c r="V33" s="224">
        <v>-135</v>
      </c>
      <c r="W33" s="224">
        <v>-136</v>
      </c>
      <c r="X33" s="224">
        <v>-143</v>
      </c>
      <c r="Y33" s="224">
        <v>-75</v>
      </c>
    </row>
    <row r="34" spans="2:25" s="217" customFormat="1" ht="18.75" customHeight="1" x14ac:dyDescent="0.25">
      <c r="B34" s="173" t="s">
        <v>222</v>
      </c>
      <c r="C34" s="227">
        <f t="shared" ref="C34:V34" si="11">SUM(C35:C39)</f>
        <v>-160</v>
      </c>
      <c r="D34" s="227">
        <f t="shared" si="11"/>
        <v>-208</v>
      </c>
      <c r="E34" s="227">
        <f t="shared" si="11"/>
        <v>-137</v>
      </c>
      <c r="F34" s="227">
        <f t="shared" si="11"/>
        <v>-37</v>
      </c>
      <c r="G34" s="227">
        <f t="shared" si="11"/>
        <v>-25</v>
      </c>
      <c r="H34" s="227">
        <f t="shared" si="11"/>
        <v>-92</v>
      </c>
      <c r="I34" s="227">
        <f t="shared" si="11"/>
        <v>-18</v>
      </c>
      <c r="J34" s="227">
        <f t="shared" si="11"/>
        <v>-27</v>
      </c>
      <c r="K34" s="227">
        <f t="shared" si="11"/>
        <v>-22</v>
      </c>
      <c r="L34" s="227">
        <f t="shared" si="11"/>
        <v>-209</v>
      </c>
      <c r="M34" s="227">
        <f t="shared" si="11"/>
        <v>-57</v>
      </c>
      <c r="N34" s="227">
        <f t="shared" si="11"/>
        <v>-37</v>
      </c>
      <c r="O34" s="227">
        <f t="shared" si="11"/>
        <v>-13</v>
      </c>
      <c r="P34" s="227">
        <f t="shared" si="11"/>
        <v>-36</v>
      </c>
      <c r="Q34" s="227">
        <f t="shared" si="11"/>
        <v>-22</v>
      </c>
      <c r="R34" s="227">
        <f t="shared" si="11"/>
        <v>-41</v>
      </c>
      <c r="S34" s="227">
        <f t="shared" si="11"/>
        <v>-17</v>
      </c>
      <c r="T34" s="227">
        <f t="shared" si="11"/>
        <v>-58</v>
      </c>
      <c r="U34" s="227">
        <f t="shared" si="11"/>
        <v>-31</v>
      </c>
      <c r="V34" s="227">
        <f t="shared" si="11"/>
        <v>-65</v>
      </c>
      <c r="W34" s="227">
        <f>SUM(W35:W39)</f>
        <v>-22</v>
      </c>
      <c r="X34" s="227">
        <f>SUM(X35:X39)</f>
        <v>-224</v>
      </c>
      <c r="Y34" s="227">
        <f>SUM(Y35:Y39)</f>
        <v>-34</v>
      </c>
    </row>
    <row r="35" spans="2:25" s="84" customFormat="1" ht="18.75" customHeight="1" outlineLevel="1" x14ac:dyDescent="0.2">
      <c r="B35" s="174" t="s">
        <v>223</v>
      </c>
      <c r="C35" s="221">
        <v>-4</v>
      </c>
      <c r="D35" s="221">
        <v>-4</v>
      </c>
      <c r="E35" s="222">
        <v>-6</v>
      </c>
      <c r="F35" s="221">
        <v>-7</v>
      </c>
      <c r="G35" s="221">
        <v>0</v>
      </c>
      <c r="H35" s="221">
        <v>2</v>
      </c>
      <c r="I35" s="228">
        <v>0</v>
      </c>
      <c r="J35" s="224">
        <v>-4</v>
      </c>
      <c r="K35" s="224">
        <v>-2</v>
      </c>
      <c r="L35" s="224">
        <v>2</v>
      </c>
      <c r="M35" s="228">
        <v>0</v>
      </c>
      <c r="N35" s="224">
        <v>-10</v>
      </c>
      <c r="O35" s="224">
        <v>4</v>
      </c>
      <c r="P35" s="224">
        <v>1</v>
      </c>
      <c r="Q35" s="228">
        <v>0</v>
      </c>
      <c r="R35" s="224">
        <v>-8</v>
      </c>
      <c r="S35" s="224">
        <v>0</v>
      </c>
      <c r="T35" s="224">
        <v>2</v>
      </c>
      <c r="U35" s="228">
        <v>0</v>
      </c>
      <c r="V35" s="224">
        <v>-12</v>
      </c>
      <c r="W35" s="224">
        <v>2</v>
      </c>
      <c r="X35" s="224">
        <v>0</v>
      </c>
      <c r="Y35" s="224">
        <v>-3</v>
      </c>
    </row>
    <row r="36" spans="2:25" s="84" customFormat="1" ht="18.75" customHeight="1" outlineLevel="1" x14ac:dyDescent="0.2">
      <c r="B36" s="174" t="s">
        <v>63</v>
      </c>
      <c r="C36" s="221">
        <v>-9</v>
      </c>
      <c r="D36" s="221">
        <v>-10</v>
      </c>
      <c r="E36" s="222">
        <v>-12</v>
      </c>
      <c r="F36" s="221">
        <v>-3</v>
      </c>
      <c r="G36" s="221">
        <v>-1</v>
      </c>
      <c r="H36" s="221">
        <v>-2</v>
      </c>
      <c r="I36" s="228">
        <v>-6</v>
      </c>
      <c r="J36" s="224">
        <v>-2</v>
      </c>
      <c r="K36" s="224">
        <v>-1</v>
      </c>
      <c r="L36" s="224">
        <v>-4</v>
      </c>
      <c r="M36" s="228">
        <v>-1</v>
      </c>
      <c r="N36" s="224">
        <v>-3</v>
      </c>
      <c r="O36" s="224">
        <v>-1</v>
      </c>
      <c r="P36" s="224">
        <v>-1</v>
      </c>
      <c r="Q36" s="228">
        <v>-8</v>
      </c>
      <c r="R36" s="224">
        <v>-2</v>
      </c>
      <c r="S36" s="224">
        <v>-3</v>
      </c>
      <c r="T36" s="224">
        <v>0</v>
      </c>
      <c r="U36" s="228">
        <v>-1</v>
      </c>
      <c r="V36" s="224">
        <v>0</v>
      </c>
      <c r="W36" s="224">
        <v>-4</v>
      </c>
      <c r="X36" s="224">
        <v>1</v>
      </c>
      <c r="Y36" s="224">
        <v>-3</v>
      </c>
    </row>
    <row r="37" spans="2:25" s="84" customFormat="1" ht="18.75" customHeight="1" outlineLevel="1" x14ac:dyDescent="0.2">
      <c r="B37" s="174" t="s">
        <v>224</v>
      </c>
      <c r="C37" s="221">
        <v>0</v>
      </c>
      <c r="D37" s="221">
        <v>-1</v>
      </c>
      <c r="E37" s="222">
        <v>-2</v>
      </c>
      <c r="F37" s="221">
        <v>-1</v>
      </c>
      <c r="G37" s="221">
        <v>-1</v>
      </c>
      <c r="H37" s="221">
        <v>-1</v>
      </c>
      <c r="I37" s="228">
        <v>0</v>
      </c>
      <c r="J37" s="224">
        <v>-1</v>
      </c>
      <c r="K37" s="224">
        <v>0</v>
      </c>
      <c r="L37" s="224">
        <v>-1</v>
      </c>
      <c r="M37" s="228">
        <v>0</v>
      </c>
      <c r="N37" s="224">
        <v>-1</v>
      </c>
      <c r="O37" s="224">
        <v>-1</v>
      </c>
      <c r="P37" s="224">
        <v>0</v>
      </c>
      <c r="Q37" s="228">
        <v>-1</v>
      </c>
      <c r="R37" s="224">
        <v>-2</v>
      </c>
      <c r="S37" s="224">
        <v>0</v>
      </c>
      <c r="T37" s="224">
        <v>0</v>
      </c>
      <c r="U37" s="228">
        <v>0</v>
      </c>
      <c r="V37" s="224">
        <v>-1</v>
      </c>
      <c r="W37" s="224">
        <v>0</v>
      </c>
      <c r="X37" s="224">
        <v>-1</v>
      </c>
      <c r="Y37" s="224">
        <v>0</v>
      </c>
    </row>
    <row r="38" spans="2:25" s="84" customFormat="1" ht="18.75" customHeight="1" outlineLevel="1" x14ac:dyDescent="0.2">
      <c r="B38" s="174" t="s">
        <v>225</v>
      </c>
      <c r="C38" s="221">
        <v>-15</v>
      </c>
      <c r="D38" s="221">
        <v>-26</v>
      </c>
      <c r="E38" s="222">
        <v>-27</v>
      </c>
      <c r="F38" s="221">
        <v>-11</v>
      </c>
      <c r="G38" s="221">
        <v>-6</v>
      </c>
      <c r="H38" s="221">
        <v>-3</v>
      </c>
      <c r="I38" s="228">
        <v>-4</v>
      </c>
      <c r="J38" s="224">
        <v>-11</v>
      </c>
      <c r="K38" s="224">
        <v>-11</v>
      </c>
      <c r="L38" s="224">
        <v>-14</v>
      </c>
      <c r="M38" s="228">
        <v>-13</v>
      </c>
      <c r="N38" s="224">
        <v>-13</v>
      </c>
      <c r="O38" s="224">
        <v>-6</v>
      </c>
      <c r="P38" s="224">
        <v>-7</v>
      </c>
      <c r="Q38" s="228">
        <v>3</v>
      </c>
      <c r="R38" s="224">
        <v>-9</v>
      </c>
      <c r="S38" s="224">
        <v>2</v>
      </c>
      <c r="T38" s="224">
        <v>-18</v>
      </c>
      <c r="U38" s="228">
        <v>-2</v>
      </c>
      <c r="V38" s="224">
        <v>-3</v>
      </c>
      <c r="W38" s="224">
        <v>3</v>
      </c>
      <c r="X38" s="224">
        <v>5</v>
      </c>
      <c r="Y38" s="224">
        <v>-6</v>
      </c>
    </row>
    <row r="39" spans="2:25" s="84" customFormat="1" ht="18.75" customHeight="1" outlineLevel="1" x14ac:dyDescent="0.2">
      <c r="B39" s="174" t="s">
        <v>226</v>
      </c>
      <c r="C39" s="221">
        <v>-132</v>
      </c>
      <c r="D39" s="221">
        <v>-167</v>
      </c>
      <c r="E39" s="222">
        <v>-90</v>
      </c>
      <c r="F39" s="221">
        <v>-15</v>
      </c>
      <c r="G39" s="221">
        <v>-17</v>
      </c>
      <c r="H39" s="221">
        <v>-88</v>
      </c>
      <c r="I39" s="228">
        <v>-8</v>
      </c>
      <c r="J39" s="224">
        <v>-9</v>
      </c>
      <c r="K39" s="224">
        <v>-8</v>
      </c>
      <c r="L39" s="224">
        <v>-192</v>
      </c>
      <c r="M39" s="228">
        <v>-43</v>
      </c>
      <c r="N39" s="224">
        <v>-10</v>
      </c>
      <c r="O39" s="224">
        <v>-9</v>
      </c>
      <c r="P39" s="224">
        <v>-29</v>
      </c>
      <c r="Q39" s="228">
        <v>-16</v>
      </c>
      <c r="R39" s="224">
        <v>-20</v>
      </c>
      <c r="S39" s="224">
        <v>-16</v>
      </c>
      <c r="T39" s="224">
        <v>-42</v>
      </c>
      <c r="U39" s="228">
        <v>-28</v>
      </c>
      <c r="V39" s="224">
        <v>-49</v>
      </c>
      <c r="W39" s="224">
        <v>-23</v>
      </c>
      <c r="X39" s="224">
        <v>-229</v>
      </c>
      <c r="Y39" s="224">
        <v>-22</v>
      </c>
    </row>
    <row r="40" spans="2:25" s="217" customFormat="1" ht="18.75" customHeight="1" x14ac:dyDescent="0.25">
      <c r="B40" s="173" t="s">
        <v>217</v>
      </c>
      <c r="C40" s="227">
        <f t="shared" ref="C40:U40" si="12">SUM(C41:C45)</f>
        <v>-601</v>
      </c>
      <c r="D40" s="227">
        <f t="shared" si="12"/>
        <v>-1470</v>
      </c>
      <c r="E40" s="227">
        <f t="shared" si="12"/>
        <v>-1669</v>
      </c>
      <c r="F40" s="227">
        <f t="shared" si="12"/>
        <v>-110</v>
      </c>
      <c r="G40" s="227">
        <f t="shared" si="12"/>
        <v>-57</v>
      </c>
      <c r="H40" s="227">
        <f t="shared" si="12"/>
        <v>76</v>
      </c>
      <c r="I40" s="227">
        <f t="shared" si="12"/>
        <v>-193</v>
      </c>
      <c r="J40" s="227">
        <f t="shared" si="12"/>
        <v>-135</v>
      </c>
      <c r="K40" s="227">
        <f t="shared" si="12"/>
        <v>-162</v>
      </c>
      <c r="L40" s="227">
        <f t="shared" si="12"/>
        <v>1082</v>
      </c>
      <c r="M40" s="227">
        <f t="shared" si="12"/>
        <v>-226</v>
      </c>
      <c r="N40" s="227">
        <f t="shared" si="12"/>
        <v>-92</v>
      </c>
      <c r="O40" s="227">
        <f t="shared" si="12"/>
        <v>-88</v>
      </c>
      <c r="P40" s="227">
        <f t="shared" si="12"/>
        <v>50</v>
      </c>
      <c r="Q40" s="227">
        <f t="shared" si="12"/>
        <v>-484</v>
      </c>
      <c r="R40" s="227">
        <f t="shared" si="12"/>
        <v>364</v>
      </c>
      <c r="S40" s="227">
        <f t="shared" si="12"/>
        <v>400</v>
      </c>
      <c r="T40" s="227">
        <f t="shared" si="12"/>
        <v>-120</v>
      </c>
      <c r="U40" s="227">
        <f t="shared" si="12"/>
        <v>2352</v>
      </c>
      <c r="V40" s="227">
        <f>SUM(V41:V45)</f>
        <v>-60</v>
      </c>
      <c r="W40" s="227">
        <f>SUM(W41:W45)</f>
        <v>165</v>
      </c>
      <c r="X40" s="227">
        <f>SUM(X41:X45)</f>
        <v>-20</v>
      </c>
      <c r="Y40" s="227">
        <f>SUM(Y41:Y45)</f>
        <v>-800</v>
      </c>
    </row>
    <row r="41" spans="2:25" s="84" customFormat="1" ht="18.75" customHeight="1" outlineLevel="1" x14ac:dyDescent="0.2">
      <c r="B41" s="174" t="s">
        <v>218</v>
      </c>
      <c r="C41" s="221">
        <v>139</v>
      </c>
      <c r="D41" s="221">
        <v>236</v>
      </c>
      <c r="E41" s="222">
        <v>225</v>
      </c>
      <c r="F41" s="221">
        <v>62</v>
      </c>
      <c r="G41" s="221">
        <v>56</v>
      </c>
      <c r="H41" s="221">
        <v>38</v>
      </c>
      <c r="I41" s="228">
        <v>30</v>
      </c>
      <c r="J41" s="224">
        <v>47</v>
      </c>
      <c r="K41" s="224">
        <v>11</v>
      </c>
      <c r="L41" s="224">
        <v>12</v>
      </c>
      <c r="M41" s="228">
        <v>78</v>
      </c>
      <c r="N41" s="224">
        <v>50</v>
      </c>
      <c r="O41" s="224">
        <v>57</v>
      </c>
      <c r="P41" s="224">
        <v>102</v>
      </c>
      <c r="Q41" s="228">
        <v>44</v>
      </c>
      <c r="R41" s="224">
        <v>125</v>
      </c>
      <c r="S41" s="224">
        <v>225</v>
      </c>
      <c r="T41" s="224">
        <v>-47</v>
      </c>
      <c r="U41" s="228">
        <v>-35</v>
      </c>
      <c r="V41" s="224">
        <v>-146</v>
      </c>
      <c r="W41" s="224">
        <v>-39</v>
      </c>
      <c r="X41" s="224">
        <v>1</v>
      </c>
      <c r="Y41" s="224">
        <v>-30</v>
      </c>
    </row>
    <row r="42" spans="2:25" s="84" customFormat="1" ht="18.75" customHeight="1" outlineLevel="1" x14ac:dyDescent="0.2">
      <c r="B42" s="174" t="s">
        <v>64</v>
      </c>
      <c r="C42" s="221">
        <v>69</v>
      </c>
      <c r="D42" s="221">
        <v>48</v>
      </c>
      <c r="E42" s="222">
        <f>28+31</f>
        <v>59</v>
      </c>
      <c r="F42" s="221">
        <v>14</v>
      </c>
      <c r="G42" s="221">
        <v>9</v>
      </c>
      <c r="H42" s="221">
        <v>29</v>
      </c>
      <c r="I42" s="228">
        <v>-29</v>
      </c>
      <c r="J42" s="224">
        <v>3</v>
      </c>
      <c r="K42" s="224">
        <v>9</v>
      </c>
      <c r="L42" s="224">
        <v>-1</v>
      </c>
      <c r="M42" s="228">
        <v>20</v>
      </c>
      <c r="N42" s="224">
        <v>20</v>
      </c>
      <c r="O42" s="224">
        <v>1</v>
      </c>
      <c r="P42" s="224">
        <v>55</v>
      </c>
      <c r="Q42" s="228">
        <f>14-5</f>
        <v>9</v>
      </c>
      <c r="R42" s="224">
        <v>64</v>
      </c>
      <c r="S42" s="224">
        <v>116</v>
      </c>
      <c r="T42" s="224">
        <v>-37</v>
      </c>
      <c r="U42" s="228">
        <v>25</v>
      </c>
      <c r="V42" s="224">
        <v>-95</v>
      </c>
      <c r="W42" s="224">
        <v>-30</v>
      </c>
      <c r="X42" s="224">
        <v>-23</v>
      </c>
      <c r="Y42" s="224">
        <v>-59</v>
      </c>
    </row>
    <row r="43" spans="2:25" s="84" customFormat="1" ht="18.75" customHeight="1" outlineLevel="1" x14ac:dyDescent="0.2">
      <c r="B43" s="174" t="s">
        <v>219</v>
      </c>
      <c r="C43" s="221">
        <v>0</v>
      </c>
      <c r="D43" s="221">
        <v>17</v>
      </c>
      <c r="E43" s="222">
        <v>-35</v>
      </c>
      <c r="F43" s="221">
        <v>3</v>
      </c>
      <c r="G43" s="221">
        <v>5</v>
      </c>
      <c r="H43" s="221">
        <v>2</v>
      </c>
      <c r="I43" s="228">
        <v>9</v>
      </c>
      <c r="J43" s="224">
        <v>1</v>
      </c>
      <c r="K43" s="224">
        <v>1</v>
      </c>
      <c r="L43" s="224">
        <v>5</v>
      </c>
      <c r="M43" s="228">
        <v>-5</v>
      </c>
      <c r="N43" s="224">
        <v>10</v>
      </c>
      <c r="O43" s="224">
        <v>3</v>
      </c>
      <c r="P43" s="224">
        <v>3</v>
      </c>
      <c r="Q43" s="228">
        <v>6</v>
      </c>
      <c r="R43" s="224">
        <v>3</v>
      </c>
      <c r="S43" s="224">
        <v>4</v>
      </c>
      <c r="T43" s="224">
        <v>-1</v>
      </c>
      <c r="U43" s="228">
        <v>2</v>
      </c>
      <c r="V43" s="224">
        <v>3</v>
      </c>
      <c r="W43" s="224">
        <v>-1</v>
      </c>
      <c r="X43" s="224">
        <v>2</v>
      </c>
      <c r="Y43" s="224">
        <v>-2</v>
      </c>
    </row>
    <row r="44" spans="2:25" s="84" customFormat="1" ht="18.75" customHeight="1" outlineLevel="1" x14ac:dyDescent="0.2">
      <c r="B44" s="174" t="s">
        <v>220</v>
      </c>
      <c r="C44" s="221">
        <v>-517</v>
      </c>
      <c r="D44" s="221">
        <v>-596</v>
      </c>
      <c r="E44" s="222">
        <v>-405</v>
      </c>
      <c r="F44" s="221">
        <v>-130</v>
      </c>
      <c r="G44" s="221">
        <v>-119</v>
      </c>
      <c r="H44" s="221">
        <v>-99</v>
      </c>
      <c r="I44" s="228">
        <f>-537+348</f>
        <v>-189</v>
      </c>
      <c r="J44" s="224">
        <v>-86</v>
      </c>
      <c r="K44" s="224">
        <v>-100</v>
      </c>
      <c r="L44" s="224">
        <v>-144</v>
      </c>
      <c r="M44" s="228">
        <v>-191</v>
      </c>
      <c r="N44" s="224">
        <v>-120</v>
      </c>
      <c r="O44" s="224">
        <v>-131</v>
      </c>
      <c r="P44" s="224">
        <v>-104</v>
      </c>
      <c r="Q44" s="228">
        <v>-144</v>
      </c>
      <c r="R44" s="224">
        <v>-88</v>
      </c>
      <c r="S44" s="224">
        <v>308</v>
      </c>
      <c r="T44" s="224">
        <v>-47</v>
      </c>
      <c r="U44" s="228">
        <v>549</v>
      </c>
      <c r="V44" s="224">
        <v>103</v>
      </c>
      <c r="W44" s="224">
        <v>176</v>
      </c>
      <c r="X44" s="224">
        <v>123</v>
      </c>
      <c r="Y44" s="224">
        <v>53</v>
      </c>
    </row>
    <row r="45" spans="2:25" s="84" customFormat="1" ht="18.75" customHeight="1" outlineLevel="1" x14ac:dyDescent="0.2">
      <c r="B45" s="174" t="s">
        <v>221</v>
      </c>
      <c r="C45" s="221">
        <v>-292</v>
      </c>
      <c r="D45" s="221">
        <v>-1175</v>
      </c>
      <c r="E45" s="222">
        <v>-1513</v>
      </c>
      <c r="F45" s="221">
        <v>-59</v>
      </c>
      <c r="G45" s="221">
        <v>-8</v>
      </c>
      <c r="H45" s="221">
        <v>106</v>
      </c>
      <c r="I45" s="228">
        <v>-14</v>
      </c>
      <c r="J45" s="224">
        <v>-100</v>
      </c>
      <c r="K45" s="224">
        <v>-83</v>
      </c>
      <c r="L45" s="224">
        <v>1210</v>
      </c>
      <c r="M45" s="228">
        <v>-128</v>
      </c>
      <c r="N45" s="224">
        <v>-52</v>
      </c>
      <c r="O45" s="224">
        <v>-18</v>
      </c>
      <c r="P45" s="224">
        <v>-6</v>
      </c>
      <c r="Q45" s="228">
        <v>-399</v>
      </c>
      <c r="R45" s="224">
        <v>260</v>
      </c>
      <c r="S45" s="224">
        <v>-253</v>
      </c>
      <c r="T45" s="224">
        <v>12</v>
      </c>
      <c r="U45" s="228">
        <v>1811</v>
      </c>
      <c r="V45" s="224">
        <v>75</v>
      </c>
      <c r="W45" s="224">
        <v>59</v>
      </c>
      <c r="X45" s="224">
        <v>-123</v>
      </c>
      <c r="Y45" s="224">
        <v>-762</v>
      </c>
    </row>
    <row r="46" spans="2:25" s="84" customFormat="1" ht="15.75" x14ac:dyDescent="0.2">
      <c r="B46" s="95" t="s">
        <v>212</v>
      </c>
      <c r="C46" s="225">
        <f t="shared" ref="C46:V46" si="13">SUM(C47:C51)</f>
        <v>-2</v>
      </c>
      <c r="D46" s="225">
        <f t="shared" si="13"/>
        <v>3</v>
      </c>
      <c r="E46" s="225">
        <f t="shared" si="13"/>
        <v>-1</v>
      </c>
      <c r="F46" s="225">
        <f t="shared" si="13"/>
        <v>-2</v>
      </c>
      <c r="G46" s="225">
        <f t="shared" si="13"/>
        <v>0</v>
      </c>
      <c r="H46" s="225">
        <f t="shared" si="13"/>
        <v>1</v>
      </c>
      <c r="I46" s="225">
        <f t="shared" si="13"/>
        <v>-1</v>
      </c>
      <c r="J46" s="225">
        <f t="shared" si="13"/>
        <v>-1</v>
      </c>
      <c r="K46" s="225">
        <f t="shared" si="13"/>
        <v>0</v>
      </c>
      <c r="L46" s="225">
        <f t="shared" si="13"/>
        <v>-1</v>
      </c>
      <c r="M46" s="225">
        <f t="shared" si="13"/>
        <v>1</v>
      </c>
      <c r="N46" s="225">
        <f t="shared" si="13"/>
        <v>1</v>
      </c>
      <c r="O46" s="225">
        <f t="shared" si="13"/>
        <v>0</v>
      </c>
      <c r="P46" s="225">
        <f t="shared" si="13"/>
        <v>0</v>
      </c>
      <c r="Q46" s="225">
        <f t="shared" si="13"/>
        <v>1</v>
      </c>
      <c r="R46" s="225">
        <f t="shared" si="13"/>
        <v>-1</v>
      </c>
      <c r="S46" s="225">
        <f t="shared" si="13"/>
        <v>-1</v>
      </c>
      <c r="T46" s="225">
        <f t="shared" si="13"/>
        <v>-1</v>
      </c>
      <c r="U46" s="225">
        <f t="shared" si="13"/>
        <v>12</v>
      </c>
      <c r="V46" s="225">
        <f t="shared" si="13"/>
        <v>7</v>
      </c>
      <c r="W46" s="225">
        <f>SUM(W47:W51)</f>
        <v>2</v>
      </c>
      <c r="X46" s="225">
        <f>SUM(X47:X51)</f>
        <v>76</v>
      </c>
      <c r="Y46" s="225">
        <f>SUM(Y47:Y51)</f>
        <v>27</v>
      </c>
    </row>
    <row r="47" spans="2:25" s="84" customFormat="1" ht="18.75" customHeight="1" outlineLevel="1" x14ac:dyDescent="0.2">
      <c r="B47" s="174" t="s">
        <v>213</v>
      </c>
      <c r="C47" s="221">
        <v>0</v>
      </c>
      <c r="D47" s="221">
        <v>0</v>
      </c>
      <c r="E47" s="222">
        <v>0</v>
      </c>
      <c r="F47" s="221">
        <v>0</v>
      </c>
      <c r="G47" s="221">
        <v>0</v>
      </c>
      <c r="H47" s="224">
        <v>0</v>
      </c>
      <c r="I47" s="228">
        <v>0</v>
      </c>
      <c r="J47" s="224">
        <v>0</v>
      </c>
      <c r="K47" s="224">
        <v>0</v>
      </c>
      <c r="L47" s="224">
        <v>0</v>
      </c>
      <c r="M47" s="224">
        <v>0</v>
      </c>
      <c r="N47" s="224">
        <v>0</v>
      </c>
      <c r="O47" s="224">
        <v>0</v>
      </c>
      <c r="P47" s="224">
        <v>0</v>
      </c>
      <c r="Q47" s="224">
        <v>0</v>
      </c>
      <c r="R47" s="224">
        <v>0</v>
      </c>
      <c r="S47" s="224">
        <v>0</v>
      </c>
      <c r="T47" s="224">
        <v>0</v>
      </c>
      <c r="U47" s="228">
        <v>0</v>
      </c>
      <c r="V47" s="224">
        <v>0</v>
      </c>
      <c r="W47" s="224">
        <v>0</v>
      </c>
      <c r="X47" s="224">
        <v>0</v>
      </c>
      <c r="Y47" s="224">
        <v>0</v>
      </c>
    </row>
    <row r="48" spans="2:25" s="84" customFormat="1" ht="18.75" customHeight="1" outlineLevel="1" x14ac:dyDescent="0.2">
      <c r="B48" s="174" t="s">
        <v>14</v>
      </c>
      <c r="C48" s="221">
        <v>-3</v>
      </c>
      <c r="D48" s="221">
        <v>3</v>
      </c>
      <c r="E48" s="222">
        <v>5</v>
      </c>
      <c r="F48" s="221">
        <v>1</v>
      </c>
      <c r="G48" s="221">
        <v>1</v>
      </c>
      <c r="H48" s="224">
        <v>0</v>
      </c>
      <c r="I48" s="228">
        <v>3</v>
      </c>
      <c r="J48" s="224">
        <v>1</v>
      </c>
      <c r="K48" s="224">
        <v>-1</v>
      </c>
      <c r="L48" s="224">
        <v>0</v>
      </c>
      <c r="M48" s="224">
        <v>0</v>
      </c>
      <c r="N48" s="224">
        <v>0</v>
      </c>
      <c r="O48" s="224">
        <v>0</v>
      </c>
      <c r="P48" s="224">
        <v>0</v>
      </c>
      <c r="Q48" s="224">
        <v>0</v>
      </c>
      <c r="R48" s="224">
        <v>0</v>
      </c>
      <c r="S48" s="224">
        <v>0</v>
      </c>
      <c r="T48" s="224">
        <v>-1</v>
      </c>
      <c r="U48" s="228">
        <v>13</v>
      </c>
      <c r="V48" s="224">
        <v>7</v>
      </c>
      <c r="W48" s="224">
        <v>6</v>
      </c>
      <c r="X48" s="224">
        <v>76</v>
      </c>
      <c r="Y48" s="224">
        <v>28</v>
      </c>
    </row>
    <row r="49" spans="2:25" s="84" customFormat="1" ht="18.75" customHeight="1" outlineLevel="1" x14ac:dyDescent="0.2">
      <c r="B49" s="174" t="s">
        <v>214</v>
      </c>
      <c r="C49" s="221">
        <v>0</v>
      </c>
      <c r="D49" s="221">
        <v>0</v>
      </c>
      <c r="E49" s="222">
        <v>0</v>
      </c>
      <c r="F49" s="221">
        <v>0</v>
      </c>
      <c r="G49" s="221">
        <v>0</v>
      </c>
      <c r="H49" s="224">
        <v>0</v>
      </c>
      <c r="I49" s="228">
        <v>0</v>
      </c>
      <c r="J49" s="224">
        <v>0</v>
      </c>
      <c r="K49" s="224">
        <v>0</v>
      </c>
      <c r="L49" s="224">
        <v>0</v>
      </c>
      <c r="M49" s="224">
        <v>0</v>
      </c>
      <c r="N49" s="224">
        <v>0</v>
      </c>
      <c r="O49" s="224">
        <v>0</v>
      </c>
      <c r="P49" s="224">
        <v>0</v>
      </c>
      <c r="Q49" s="224">
        <v>0</v>
      </c>
      <c r="R49" s="224">
        <v>0</v>
      </c>
      <c r="S49" s="224">
        <v>0</v>
      </c>
      <c r="T49" s="224">
        <v>0</v>
      </c>
      <c r="U49" s="228">
        <v>0</v>
      </c>
      <c r="V49" s="224">
        <v>0</v>
      </c>
      <c r="W49" s="224">
        <v>0</v>
      </c>
      <c r="X49" s="224">
        <v>0</v>
      </c>
      <c r="Y49" s="224">
        <v>0</v>
      </c>
    </row>
    <row r="50" spans="2:25" s="84" customFormat="1" ht="18.75" customHeight="1" outlineLevel="1" x14ac:dyDescent="0.2">
      <c r="B50" s="174" t="s">
        <v>215</v>
      </c>
      <c r="C50" s="221">
        <v>1</v>
      </c>
      <c r="D50" s="221">
        <v>0</v>
      </c>
      <c r="E50" s="222">
        <v>-6</v>
      </c>
      <c r="F50" s="221">
        <v>-3</v>
      </c>
      <c r="G50" s="221">
        <v>-1</v>
      </c>
      <c r="H50" s="228">
        <v>1</v>
      </c>
      <c r="I50" s="228">
        <v>-4</v>
      </c>
      <c r="J50" s="224">
        <v>-2</v>
      </c>
      <c r="K50" s="224">
        <v>1</v>
      </c>
      <c r="L50" s="224">
        <v>-1</v>
      </c>
      <c r="M50" s="228">
        <v>1</v>
      </c>
      <c r="N50" s="228">
        <v>1</v>
      </c>
      <c r="O50" s="228">
        <v>0</v>
      </c>
      <c r="P50" s="228">
        <v>0</v>
      </c>
      <c r="Q50" s="228">
        <v>1</v>
      </c>
      <c r="R50" s="224">
        <v>-1</v>
      </c>
      <c r="S50" s="224">
        <v>-1</v>
      </c>
      <c r="T50" s="224">
        <v>0</v>
      </c>
      <c r="U50" s="228">
        <v>-1</v>
      </c>
      <c r="V50" s="224">
        <v>0</v>
      </c>
      <c r="W50" s="224">
        <v>-4</v>
      </c>
      <c r="X50" s="224">
        <v>0</v>
      </c>
      <c r="Y50" s="224">
        <v>-1</v>
      </c>
    </row>
    <row r="51" spans="2:25" s="84" customFormat="1" ht="18.75" customHeight="1" outlineLevel="1" x14ac:dyDescent="0.2">
      <c r="B51" s="174" t="s">
        <v>216</v>
      </c>
      <c r="C51" s="221">
        <v>0</v>
      </c>
      <c r="D51" s="221">
        <v>0</v>
      </c>
      <c r="E51" s="222"/>
      <c r="F51" s="221">
        <v>0</v>
      </c>
      <c r="G51" s="221">
        <v>0</v>
      </c>
      <c r="H51" s="228">
        <v>0</v>
      </c>
      <c r="I51" s="228"/>
      <c r="J51" s="224">
        <v>0</v>
      </c>
      <c r="K51" s="224">
        <v>0</v>
      </c>
      <c r="L51" s="224">
        <v>0</v>
      </c>
      <c r="M51" s="228">
        <v>0</v>
      </c>
      <c r="N51" s="228">
        <v>0</v>
      </c>
      <c r="O51" s="228">
        <v>0</v>
      </c>
      <c r="P51" s="228">
        <v>0</v>
      </c>
      <c r="Q51" s="228">
        <v>0</v>
      </c>
      <c r="R51" s="224">
        <v>0</v>
      </c>
      <c r="S51" s="224">
        <v>0</v>
      </c>
      <c r="T51" s="224">
        <v>0</v>
      </c>
      <c r="U51" s="228">
        <v>0</v>
      </c>
      <c r="V51" s="224">
        <v>0</v>
      </c>
      <c r="W51" s="224">
        <v>0</v>
      </c>
      <c r="X51" s="224">
        <v>0</v>
      </c>
      <c r="Y51" s="224">
        <v>0</v>
      </c>
    </row>
    <row r="52" spans="2:25" s="84" customFormat="1" ht="15.75" x14ac:dyDescent="0.2">
      <c r="B52" s="95" t="s">
        <v>207</v>
      </c>
      <c r="C52" s="225">
        <f t="shared" ref="C52:V52" si="14">SUM(C53:C57)</f>
        <v>290</v>
      </c>
      <c r="D52" s="225">
        <f t="shared" si="14"/>
        <v>-299</v>
      </c>
      <c r="E52" s="225">
        <f t="shared" si="14"/>
        <v>-622</v>
      </c>
      <c r="F52" s="225">
        <f t="shared" si="14"/>
        <v>-148</v>
      </c>
      <c r="G52" s="225">
        <f t="shared" si="14"/>
        <v>-88</v>
      </c>
      <c r="H52" s="225">
        <f t="shared" si="14"/>
        <v>-232</v>
      </c>
      <c r="I52" s="225">
        <f t="shared" si="14"/>
        <v>-89</v>
      </c>
      <c r="J52" s="225">
        <f t="shared" si="14"/>
        <v>-46</v>
      </c>
      <c r="K52" s="225">
        <f t="shared" si="14"/>
        <v>269</v>
      </c>
      <c r="L52" s="225">
        <f t="shared" si="14"/>
        <v>353</v>
      </c>
      <c r="M52" s="225">
        <f t="shared" si="14"/>
        <v>1847</v>
      </c>
      <c r="N52" s="225">
        <f t="shared" si="14"/>
        <v>227</v>
      </c>
      <c r="O52" s="225">
        <f t="shared" si="14"/>
        <v>212</v>
      </c>
      <c r="P52" s="225">
        <f t="shared" si="14"/>
        <v>1579</v>
      </c>
      <c r="Q52" s="225">
        <f t="shared" si="14"/>
        <v>-68</v>
      </c>
      <c r="R52" s="225">
        <f t="shared" si="14"/>
        <v>-96</v>
      </c>
      <c r="S52" s="225">
        <f t="shared" si="14"/>
        <v>77</v>
      </c>
      <c r="T52" s="225">
        <f t="shared" si="14"/>
        <v>22</v>
      </c>
      <c r="U52" s="225">
        <f t="shared" si="14"/>
        <v>261</v>
      </c>
      <c r="V52" s="225">
        <f t="shared" si="14"/>
        <v>-118</v>
      </c>
      <c r="W52" s="225">
        <f>SUM(W53:W57)</f>
        <v>-73</v>
      </c>
      <c r="X52" s="225">
        <f>SUM(X53:X57)</f>
        <v>-48</v>
      </c>
      <c r="Y52" s="225">
        <f>SUM(Y53:Y57)</f>
        <v>807</v>
      </c>
    </row>
    <row r="53" spans="2:25" s="84" customFormat="1" ht="18.75" customHeight="1" outlineLevel="1" x14ac:dyDescent="0.2">
      <c r="B53" s="174" t="s">
        <v>208</v>
      </c>
      <c r="C53" s="224">
        <v>0</v>
      </c>
      <c r="D53" s="224">
        <v>0</v>
      </c>
      <c r="E53" s="224">
        <v>0</v>
      </c>
      <c r="F53" s="224">
        <v>0</v>
      </c>
      <c r="G53" s="224">
        <v>0</v>
      </c>
      <c r="H53" s="224">
        <v>0</v>
      </c>
      <c r="I53" s="224">
        <v>0</v>
      </c>
      <c r="J53" s="224">
        <v>0</v>
      </c>
      <c r="K53" s="224">
        <v>0</v>
      </c>
      <c r="L53" s="224">
        <v>0</v>
      </c>
      <c r="M53" s="224">
        <v>0</v>
      </c>
      <c r="N53" s="224">
        <v>0</v>
      </c>
      <c r="O53" s="224">
        <v>0</v>
      </c>
      <c r="P53" s="224">
        <v>0</v>
      </c>
      <c r="Q53" s="224">
        <v>0</v>
      </c>
      <c r="R53" s="224">
        <v>0</v>
      </c>
      <c r="S53" s="224">
        <v>0</v>
      </c>
      <c r="T53" s="224">
        <v>0</v>
      </c>
      <c r="U53" s="224">
        <v>0</v>
      </c>
      <c r="V53" s="224">
        <v>0</v>
      </c>
      <c r="W53" s="224">
        <v>0</v>
      </c>
      <c r="X53" s="224">
        <v>0</v>
      </c>
      <c r="Y53" s="224">
        <v>0</v>
      </c>
    </row>
    <row r="54" spans="2:25" s="84" customFormat="1" ht="18.75" customHeight="1" outlineLevel="1" x14ac:dyDescent="0.2">
      <c r="B54" s="174" t="s">
        <v>10</v>
      </c>
      <c r="C54" s="224">
        <v>0</v>
      </c>
      <c r="D54" s="224">
        <v>0</v>
      </c>
      <c r="E54" s="224">
        <v>0</v>
      </c>
      <c r="F54" s="224">
        <v>0</v>
      </c>
      <c r="G54" s="224">
        <v>0</v>
      </c>
      <c r="H54" s="224">
        <v>0</v>
      </c>
      <c r="I54" s="224">
        <v>0</v>
      </c>
      <c r="J54" s="224">
        <v>0</v>
      </c>
      <c r="K54" s="224">
        <v>0</v>
      </c>
      <c r="L54" s="224">
        <v>0</v>
      </c>
      <c r="M54" s="224">
        <v>0</v>
      </c>
      <c r="N54" s="224">
        <v>0</v>
      </c>
      <c r="O54" s="224">
        <v>0</v>
      </c>
      <c r="P54" s="224">
        <v>0</v>
      </c>
      <c r="Q54" s="224">
        <v>0</v>
      </c>
      <c r="R54" s="224">
        <v>0</v>
      </c>
      <c r="S54" s="224">
        <v>0</v>
      </c>
      <c r="T54" s="224">
        <v>0</v>
      </c>
      <c r="U54" s="224">
        <v>0</v>
      </c>
      <c r="V54" s="224">
        <v>0</v>
      </c>
      <c r="W54" s="224">
        <v>0</v>
      </c>
      <c r="X54" s="224">
        <v>0</v>
      </c>
      <c r="Y54" s="224">
        <v>0</v>
      </c>
    </row>
    <row r="55" spans="2:25" s="84" customFormat="1" ht="18.75" customHeight="1" outlineLevel="1" x14ac:dyDescent="0.2">
      <c r="B55" s="174" t="s">
        <v>209</v>
      </c>
      <c r="C55" s="224">
        <v>0</v>
      </c>
      <c r="D55" s="224">
        <v>0</v>
      </c>
      <c r="E55" s="224">
        <v>0</v>
      </c>
      <c r="F55" s="224">
        <v>0</v>
      </c>
      <c r="G55" s="224">
        <v>0</v>
      </c>
      <c r="H55" s="224">
        <v>0</v>
      </c>
      <c r="I55" s="224">
        <v>0</v>
      </c>
      <c r="J55" s="224">
        <v>0</v>
      </c>
      <c r="K55" s="224">
        <v>0</v>
      </c>
      <c r="L55" s="224">
        <v>0</v>
      </c>
      <c r="M55" s="224">
        <v>0</v>
      </c>
      <c r="N55" s="224">
        <v>0</v>
      </c>
      <c r="O55" s="224">
        <v>0</v>
      </c>
      <c r="P55" s="224">
        <v>0</v>
      </c>
      <c r="Q55" s="224">
        <v>0</v>
      </c>
      <c r="R55" s="224">
        <v>0</v>
      </c>
      <c r="S55" s="224">
        <v>0</v>
      </c>
      <c r="T55" s="224">
        <v>0</v>
      </c>
      <c r="U55" s="224">
        <v>0</v>
      </c>
      <c r="V55" s="224">
        <v>0</v>
      </c>
      <c r="W55" s="224">
        <v>0</v>
      </c>
      <c r="X55" s="224">
        <v>0</v>
      </c>
      <c r="Y55" s="224">
        <v>0</v>
      </c>
    </row>
    <row r="56" spans="2:25" s="84" customFormat="1" ht="18.75" customHeight="1" outlineLevel="1" x14ac:dyDescent="0.2">
      <c r="B56" s="174" t="s">
        <v>210</v>
      </c>
      <c r="C56" s="224">
        <v>0</v>
      </c>
      <c r="D56" s="224">
        <v>0</v>
      </c>
      <c r="E56" s="224">
        <v>0</v>
      </c>
      <c r="F56" s="224">
        <v>0</v>
      </c>
      <c r="G56" s="224">
        <v>0</v>
      </c>
      <c r="H56" s="224">
        <v>0</v>
      </c>
      <c r="I56" s="224">
        <v>0</v>
      </c>
      <c r="J56" s="224">
        <v>0</v>
      </c>
      <c r="K56" s="224">
        <v>0</v>
      </c>
      <c r="L56" s="224">
        <v>0</v>
      </c>
      <c r="M56" s="224">
        <v>0</v>
      </c>
      <c r="N56" s="224">
        <v>0</v>
      </c>
      <c r="O56" s="224">
        <v>0</v>
      </c>
      <c r="P56" s="224">
        <v>0</v>
      </c>
      <c r="Q56" s="224">
        <v>0</v>
      </c>
      <c r="R56" s="224">
        <v>0</v>
      </c>
      <c r="S56" s="224">
        <v>0</v>
      </c>
      <c r="T56" s="224">
        <v>0</v>
      </c>
      <c r="U56" s="224">
        <v>0</v>
      </c>
      <c r="V56" s="224">
        <v>0</v>
      </c>
      <c r="W56" s="224">
        <v>0</v>
      </c>
      <c r="X56" s="224">
        <v>0</v>
      </c>
      <c r="Y56" s="224">
        <v>0</v>
      </c>
    </row>
    <row r="57" spans="2:25" s="84" customFormat="1" ht="18.75" customHeight="1" outlineLevel="1" x14ac:dyDescent="0.2">
      <c r="B57" s="174" t="s">
        <v>211</v>
      </c>
      <c r="C57" s="221">
        <v>290</v>
      </c>
      <c r="D57" s="221">
        <v>-299</v>
      </c>
      <c r="E57" s="222">
        <v>-622</v>
      </c>
      <c r="F57" s="221">
        <v>-148</v>
      </c>
      <c r="G57" s="221">
        <v>-88</v>
      </c>
      <c r="H57" s="221">
        <v>-232</v>
      </c>
      <c r="I57" s="228">
        <f>-557+468</f>
        <v>-89</v>
      </c>
      <c r="J57" s="224">
        <v>-46</v>
      </c>
      <c r="K57" s="224">
        <v>269</v>
      </c>
      <c r="L57" s="224">
        <v>353</v>
      </c>
      <c r="M57" s="228">
        <v>1847</v>
      </c>
      <c r="N57" s="229">
        <v>227</v>
      </c>
      <c r="O57" s="229">
        <v>212</v>
      </c>
      <c r="P57" s="229">
        <v>1579</v>
      </c>
      <c r="Q57" s="230">
        <v>-68</v>
      </c>
      <c r="R57" s="224">
        <v>-96</v>
      </c>
      <c r="S57" s="224">
        <v>77</v>
      </c>
      <c r="T57" s="224">
        <v>22</v>
      </c>
      <c r="U57" s="228">
        <v>261</v>
      </c>
      <c r="V57" s="224">
        <v>-118</v>
      </c>
      <c r="W57" s="224">
        <v>-73</v>
      </c>
      <c r="X57" s="224">
        <v>-48</v>
      </c>
      <c r="Y57" s="224">
        <v>807</v>
      </c>
    </row>
    <row r="58" spans="2:25" s="84" customFormat="1" ht="15.75" x14ac:dyDescent="0.2">
      <c r="B58" s="95" t="s">
        <v>202</v>
      </c>
      <c r="C58" s="225">
        <f t="shared" ref="C58:V58" si="15">SUM(C59:C63)</f>
        <v>3527</v>
      </c>
      <c r="D58" s="225">
        <f t="shared" si="15"/>
        <v>3452</v>
      </c>
      <c r="E58" s="225">
        <f t="shared" si="15"/>
        <v>2995</v>
      </c>
      <c r="F58" s="225">
        <f t="shared" si="15"/>
        <v>647</v>
      </c>
      <c r="G58" s="225">
        <f t="shared" si="15"/>
        <v>481</v>
      </c>
      <c r="H58" s="225">
        <f t="shared" si="15"/>
        <v>1056</v>
      </c>
      <c r="I58" s="225">
        <f t="shared" si="15"/>
        <v>883</v>
      </c>
      <c r="J58" s="225">
        <f t="shared" si="15"/>
        <v>773</v>
      </c>
      <c r="K58" s="225">
        <f t="shared" si="15"/>
        <v>508</v>
      </c>
      <c r="L58" s="225">
        <f t="shared" si="15"/>
        <v>631</v>
      </c>
      <c r="M58" s="225">
        <f t="shared" si="15"/>
        <v>646</v>
      </c>
      <c r="N58" s="225">
        <f>SUM(N59:N63)</f>
        <v>841</v>
      </c>
      <c r="O58" s="225">
        <f t="shared" si="15"/>
        <v>541</v>
      </c>
      <c r="P58" s="225">
        <f t="shared" si="15"/>
        <v>771</v>
      </c>
      <c r="Q58" s="225">
        <f t="shared" si="15"/>
        <v>952</v>
      </c>
      <c r="R58" s="225">
        <f t="shared" si="15"/>
        <v>545</v>
      </c>
      <c r="S58" s="225">
        <f t="shared" si="15"/>
        <v>816</v>
      </c>
      <c r="T58" s="225">
        <f t="shared" si="15"/>
        <v>834</v>
      </c>
      <c r="U58" s="225">
        <f t="shared" si="15"/>
        <v>1616</v>
      </c>
      <c r="V58" s="225">
        <f t="shared" si="15"/>
        <v>1182</v>
      </c>
      <c r="W58" s="225">
        <f>SUM(W59:W63)</f>
        <v>1018</v>
      </c>
      <c r="X58" s="225">
        <f>SUM(X59:X63)</f>
        <v>1185</v>
      </c>
      <c r="Y58" s="225">
        <f>SUM(Y59:Y63)</f>
        <v>1598</v>
      </c>
    </row>
    <row r="59" spans="2:25" s="84" customFormat="1" ht="18.75" customHeight="1" outlineLevel="1" x14ac:dyDescent="0.2">
      <c r="B59" s="174" t="s">
        <v>203</v>
      </c>
      <c r="C59" s="221">
        <v>1639</v>
      </c>
      <c r="D59" s="221">
        <v>2406</v>
      </c>
      <c r="E59" s="222">
        <v>2538</v>
      </c>
      <c r="F59" s="221">
        <v>543</v>
      </c>
      <c r="G59" s="221">
        <v>365</v>
      </c>
      <c r="H59" s="221">
        <v>724</v>
      </c>
      <c r="I59" s="228">
        <f>2329-1632</f>
        <v>697</v>
      </c>
      <c r="J59" s="224">
        <v>493</v>
      </c>
      <c r="K59" s="224">
        <v>319</v>
      </c>
      <c r="L59" s="224">
        <v>263</v>
      </c>
      <c r="M59" s="228">
        <v>505</v>
      </c>
      <c r="N59" s="229">
        <v>540</v>
      </c>
      <c r="O59" s="229">
        <v>320</v>
      </c>
      <c r="P59" s="229">
        <v>464</v>
      </c>
      <c r="Q59" s="230">
        <v>671</v>
      </c>
      <c r="R59" s="224">
        <v>305</v>
      </c>
      <c r="S59" s="224">
        <v>283</v>
      </c>
      <c r="T59" s="224">
        <v>470</v>
      </c>
      <c r="U59" s="228">
        <v>651</v>
      </c>
      <c r="V59" s="224">
        <v>721</v>
      </c>
      <c r="W59" s="224">
        <v>434</v>
      </c>
      <c r="X59" s="224">
        <v>522</v>
      </c>
      <c r="Y59" s="224">
        <v>908</v>
      </c>
    </row>
    <row r="60" spans="2:25" s="84" customFormat="1" ht="18.75" customHeight="1" outlineLevel="1" x14ac:dyDescent="0.2">
      <c r="B60" s="174" t="s">
        <v>9</v>
      </c>
      <c r="C60" s="221">
        <v>2463</v>
      </c>
      <c r="D60" s="221">
        <v>1691</v>
      </c>
      <c r="E60" s="222">
        <f>663+401</f>
        <v>1064</v>
      </c>
      <c r="F60" s="221">
        <v>240</v>
      </c>
      <c r="G60" s="221">
        <v>229</v>
      </c>
      <c r="H60" s="221">
        <v>414</v>
      </c>
      <c r="I60" s="228">
        <f>1183-883</f>
        <v>300</v>
      </c>
      <c r="J60" s="224">
        <v>349</v>
      </c>
      <c r="K60" s="224">
        <v>221</v>
      </c>
      <c r="L60" s="224">
        <v>413</v>
      </c>
      <c r="M60" s="228">
        <v>334</v>
      </c>
      <c r="N60" s="229">
        <v>403</v>
      </c>
      <c r="O60" s="229">
        <v>285</v>
      </c>
      <c r="P60" s="229">
        <v>382</v>
      </c>
      <c r="Q60" s="230">
        <v>362</v>
      </c>
      <c r="R60" s="224">
        <v>267</v>
      </c>
      <c r="S60" s="224">
        <v>315</v>
      </c>
      <c r="T60" s="224">
        <v>371</v>
      </c>
      <c r="U60" s="228">
        <v>418</v>
      </c>
      <c r="V60" s="224">
        <v>278</v>
      </c>
      <c r="W60" s="224">
        <v>364</v>
      </c>
      <c r="X60" s="224">
        <v>551</v>
      </c>
      <c r="Y60" s="224">
        <v>513</v>
      </c>
    </row>
    <row r="61" spans="2:25" s="84" customFormat="1" ht="18.75" customHeight="1" outlineLevel="1" x14ac:dyDescent="0.2">
      <c r="B61" s="174" t="s">
        <v>204</v>
      </c>
      <c r="C61" s="221">
        <v>195</v>
      </c>
      <c r="D61" s="221">
        <v>179</v>
      </c>
      <c r="E61" s="222">
        <v>63</v>
      </c>
      <c r="F61" s="221">
        <v>52</v>
      </c>
      <c r="G61" s="221">
        <v>49</v>
      </c>
      <c r="H61" s="221">
        <v>61</v>
      </c>
      <c r="I61" s="228">
        <v>110</v>
      </c>
      <c r="J61" s="224">
        <v>90</v>
      </c>
      <c r="K61" s="224">
        <v>123</v>
      </c>
      <c r="L61" s="224">
        <v>142</v>
      </c>
      <c r="M61" s="228">
        <v>38</v>
      </c>
      <c r="N61" s="229">
        <v>69</v>
      </c>
      <c r="O61" s="229">
        <v>111</v>
      </c>
      <c r="P61" s="229">
        <v>93</v>
      </c>
      <c r="Q61" s="230">
        <v>100</v>
      </c>
      <c r="R61" s="224">
        <v>86</v>
      </c>
      <c r="S61" s="224">
        <v>-80</v>
      </c>
      <c r="T61" s="224">
        <v>32</v>
      </c>
      <c r="U61" s="228">
        <v>72</v>
      </c>
      <c r="V61" s="224">
        <v>106</v>
      </c>
      <c r="W61" s="224">
        <v>107</v>
      </c>
      <c r="X61" s="224">
        <v>134</v>
      </c>
      <c r="Y61" s="224">
        <v>177</v>
      </c>
    </row>
    <row r="62" spans="2:25" s="84" customFormat="1" ht="18.75" customHeight="1" outlineLevel="1" x14ac:dyDescent="0.2">
      <c r="B62" s="174" t="s">
        <v>205</v>
      </c>
      <c r="C62" s="221">
        <v>-770</v>
      </c>
      <c r="D62" s="221">
        <v>-824</v>
      </c>
      <c r="E62" s="222">
        <v>-670</v>
      </c>
      <c r="F62" s="221">
        <v>-188</v>
      </c>
      <c r="G62" s="221">
        <v>-162</v>
      </c>
      <c r="H62" s="221">
        <v>-143</v>
      </c>
      <c r="I62" s="228">
        <f>-717+493</f>
        <v>-224</v>
      </c>
      <c r="J62" s="224">
        <v>-159</v>
      </c>
      <c r="K62" s="224">
        <v>-155</v>
      </c>
      <c r="L62" s="224">
        <v>-187</v>
      </c>
      <c r="M62" s="228">
        <v>-231</v>
      </c>
      <c r="N62" s="229">
        <v>-171</v>
      </c>
      <c r="O62" s="229">
        <v>-175</v>
      </c>
      <c r="P62" s="229">
        <v>-168</v>
      </c>
      <c r="Q62" s="230">
        <v>-181</v>
      </c>
      <c r="R62" s="224">
        <v>-113</v>
      </c>
      <c r="S62" s="224">
        <v>298</v>
      </c>
      <c r="T62" s="224">
        <v>-39</v>
      </c>
      <c r="U62" s="228">
        <v>475</v>
      </c>
      <c r="V62" s="224">
        <v>77</v>
      </c>
      <c r="W62" s="224">
        <v>113</v>
      </c>
      <c r="X62" s="224">
        <v>-22</v>
      </c>
      <c r="Y62" s="224">
        <v>0</v>
      </c>
    </row>
    <row r="63" spans="2:25" s="84" customFormat="1" ht="18.75" customHeight="1" outlineLevel="1" x14ac:dyDescent="0.2">
      <c r="B63" s="174" t="s">
        <v>206</v>
      </c>
      <c r="C63" s="224">
        <v>0</v>
      </c>
      <c r="D63" s="224">
        <v>0</v>
      </c>
      <c r="E63" s="224">
        <v>0</v>
      </c>
      <c r="F63" s="224">
        <v>0</v>
      </c>
      <c r="G63" s="224">
        <v>0</v>
      </c>
      <c r="H63" s="224">
        <v>0</v>
      </c>
      <c r="I63" s="224">
        <v>0</v>
      </c>
      <c r="J63" s="224">
        <v>0</v>
      </c>
      <c r="K63" s="224">
        <v>0</v>
      </c>
      <c r="L63" s="224">
        <v>0</v>
      </c>
      <c r="M63" s="224">
        <v>0</v>
      </c>
      <c r="N63" s="224">
        <v>0</v>
      </c>
      <c r="O63" s="224">
        <v>0</v>
      </c>
      <c r="P63" s="224">
        <v>0</v>
      </c>
      <c r="Q63" s="224">
        <v>0</v>
      </c>
      <c r="R63" s="224">
        <v>0</v>
      </c>
      <c r="S63" s="224">
        <v>0</v>
      </c>
      <c r="T63" s="224">
        <v>0</v>
      </c>
      <c r="U63" s="224">
        <v>0</v>
      </c>
      <c r="V63" s="224">
        <v>0</v>
      </c>
      <c r="W63" s="224">
        <v>0</v>
      </c>
      <c r="X63" s="224">
        <v>0</v>
      </c>
      <c r="Y63" s="224">
        <v>0</v>
      </c>
    </row>
    <row r="64" spans="2:25" s="84" customFormat="1" ht="15.75" x14ac:dyDescent="0.2">
      <c r="B64" s="95" t="s">
        <v>201</v>
      </c>
      <c r="C64" s="210">
        <v>1546</v>
      </c>
      <c r="D64" s="210">
        <v>-1935</v>
      </c>
      <c r="E64" s="231">
        <v>-637</v>
      </c>
      <c r="F64" s="210">
        <v>276</v>
      </c>
      <c r="G64" s="210">
        <v>141</v>
      </c>
      <c r="H64" s="210">
        <v>601</v>
      </c>
      <c r="I64" s="232">
        <f>1565-1018</f>
        <v>547</v>
      </c>
      <c r="J64" s="225">
        <v>410</v>
      </c>
      <c r="K64" s="225">
        <v>443</v>
      </c>
      <c r="L64" s="225">
        <v>1774</v>
      </c>
      <c r="M64" s="232">
        <v>2182</v>
      </c>
      <c r="N64" s="225">
        <v>761</v>
      </c>
      <c r="O64" s="225">
        <v>488</v>
      </c>
      <c r="P64" s="225">
        <v>2054</v>
      </c>
      <c r="Q64" s="233">
        <v>0</v>
      </c>
      <c r="R64" s="225">
        <v>404</v>
      </c>
      <c r="S64" s="225">
        <v>332</v>
      </c>
      <c r="T64" s="225">
        <v>546</v>
      </c>
      <c r="U64" s="232">
        <v>3548</v>
      </c>
      <c r="V64" s="225">
        <v>759</v>
      </c>
      <c r="W64" s="225">
        <v>602</v>
      </c>
      <c r="X64" s="225">
        <v>451</v>
      </c>
      <c r="Y64" s="225">
        <v>1362</v>
      </c>
    </row>
    <row r="65" spans="2:25" s="84" customFormat="1" ht="18.75" customHeight="1" outlineLevel="1" x14ac:dyDescent="0.2">
      <c r="B65" s="174" t="s">
        <v>200</v>
      </c>
      <c r="C65" s="224">
        <f>C26+C33+C39+C45+C51+C57+C63</f>
        <v>-1981</v>
      </c>
      <c r="D65" s="224">
        <f t="shared" ref="D65:V65" si="16">D26+D33+D39+D45+D51+D57+D63</f>
        <v>-5387</v>
      </c>
      <c r="E65" s="224">
        <f t="shared" si="16"/>
        <v>-3632</v>
      </c>
      <c r="F65" s="224">
        <f t="shared" si="16"/>
        <v>-371</v>
      </c>
      <c r="G65" s="224">
        <f t="shared" si="16"/>
        <v>-340</v>
      </c>
      <c r="H65" s="224">
        <f t="shared" si="16"/>
        <v>-455</v>
      </c>
      <c r="I65" s="224">
        <f t="shared" si="16"/>
        <v>-336</v>
      </c>
      <c r="J65" s="224">
        <f t="shared" si="16"/>
        <v>-363</v>
      </c>
      <c r="K65" s="224">
        <f t="shared" si="16"/>
        <v>-65</v>
      </c>
      <c r="L65" s="224">
        <f t="shared" si="16"/>
        <v>1143</v>
      </c>
      <c r="M65" s="224">
        <f t="shared" si="16"/>
        <v>1536</v>
      </c>
      <c r="N65" s="224">
        <f>N26+N33+N39+N45+N51+N57+N63</f>
        <v>-80</v>
      </c>
      <c r="O65" s="224">
        <f t="shared" si="16"/>
        <v>-53</v>
      </c>
      <c r="P65" s="224">
        <f t="shared" si="16"/>
        <v>1283</v>
      </c>
      <c r="Q65" s="229">
        <f>Q26+Q33+Q39+Q45+Q51+Q57+Q63</f>
        <v>-952</v>
      </c>
      <c r="R65" s="224">
        <f t="shared" si="16"/>
        <v>-141</v>
      </c>
      <c r="S65" s="224">
        <f t="shared" si="16"/>
        <v>-484</v>
      </c>
      <c r="T65" s="224">
        <f t="shared" si="16"/>
        <v>-288</v>
      </c>
      <c r="U65" s="224">
        <f>U26+U33+U39+U45+U51+U57+U63</f>
        <v>1932</v>
      </c>
      <c r="V65" s="224">
        <f t="shared" si="16"/>
        <v>-423</v>
      </c>
      <c r="W65" s="224">
        <f>W26+W33+W39+W45+W51+W57+W63</f>
        <v>-416</v>
      </c>
      <c r="X65" s="224">
        <f>X26+X33+X39+X45+X51+X57+X63</f>
        <v>-734</v>
      </c>
      <c r="Y65" s="224">
        <v>-236</v>
      </c>
    </row>
    <row r="66" spans="2:25" x14ac:dyDescent="0.2">
      <c r="E66" s="64"/>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BB-6241-40BB-BE1D-EC01BE134A4C}">
  <sheetPr>
    <tabColor rgb="FFFFC000"/>
  </sheetPr>
  <dimension ref="A1:Y51"/>
  <sheetViews>
    <sheetView showGridLines="0" zoomScale="70" zoomScaleNormal="70" workbookViewId="0">
      <pane xSplit="2" ySplit="5" topLeftCell="I6" activePane="bottomRight" state="frozen"/>
      <selection pane="topRight"/>
      <selection pane="bottomLeft"/>
      <selection pane="bottomRight"/>
    </sheetView>
  </sheetViews>
  <sheetFormatPr defaultColWidth="9.140625" defaultRowHeight="15" outlineLevelCol="1" x14ac:dyDescent="0.2"/>
  <cols>
    <col min="1" max="1" width="2" style="107" customWidth="1"/>
    <col min="2" max="2" width="77.140625" style="84" customWidth="1"/>
    <col min="3" max="5" width="10.7109375" style="47" customWidth="1" outlineLevel="1"/>
    <col min="6" max="8" width="10.7109375" style="46" customWidth="1" outlineLevel="1"/>
    <col min="9" max="9" width="10.7109375" style="47" customWidth="1" outlineLevel="1"/>
    <col min="10" max="12" width="10.7109375" style="46" customWidth="1" outlineLevel="1"/>
    <col min="13" max="13" width="10.7109375" style="47" customWidth="1" outlineLevel="1"/>
    <col min="14" max="16" width="10.7109375" style="46" customWidth="1" outlineLevel="1"/>
    <col min="17" max="17" width="10.7109375" style="47" customWidth="1" outlineLevel="1"/>
    <col min="18" max="20" width="10.7109375" style="46" customWidth="1" outlineLevel="1"/>
    <col min="21" max="21" width="10.7109375" style="47" customWidth="1" outlineLevel="1"/>
    <col min="22" max="23" width="10.7109375" style="46" customWidth="1"/>
    <col min="24" max="25" width="11.140625" style="46" customWidth="1"/>
    <col min="26" max="16384" width="9.140625" style="107"/>
  </cols>
  <sheetData>
    <row r="1" spans="1:25" ht="41.25" customHeight="1" x14ac:dyDescent="0.2">
      <c r="A1" s="212"/>
      <c r="C1" s="43"/>
      <c r="D1" s="43"/>
      <c r="E1" s="43"/>
      <c r="F1" s="42"/>
      <c r="G1" s="42"/>
      <c r="H1" s="42"/>
      <c r="I1" s="43"/>
      <c r="J1" s="42"/>
      <c r="K1" s="42"/>
      <c r="L1" s="42"/>
      <c r="M1" s="43"/>
      <c r="N1" s="42"/>
      <c r="O1" s="42"/>
      <c r="P1" s="42"/>
      <c r="Q1" s="43"/>
      <c r="R1" s="42"/>
      <c r="S1" s="42"/>
      <c r="T1" s="42"/>
      <c r="U1" s="43"/>
      <c r="V1" s="42"/>
      <c r="W1" s="42"/>
      <c r="X1" s="42"/>
      <c r="Y1" s="42"/>
    </row>
    <row r="2" spans="1:25" ht="18" x14ac:dyDescent="0.2">
      <c r="B2" s="235" t="s">
        <v>543</v>
      </c>
      <c r="C2" s="45"/>
      <c r="D2" s="45"/>
      <c r="E2" s="45"/>
      <c r="F2" s="176"/>
      <c r="G2" s="176"/>
      <c r="H2" s="176"/>
      <c r="I2" s="45"/>
      <c r="J2" s="176"/>
      <c r="K2" s="176"/>
      <c r="L2" s="176"/>
      <c r="M2" s="45"/>
      <c r="N2" s="176"/>
      <c r="O2" s="176"/>
      <c r="P2" s="176"/>
      <c r="Q2" s="45"/>
      <c r="R2" s="176"/>
      <c r="S2" s="176"/>
      <c r="T2" s="176"/>
      <c r="U2" s="45"/>
      <c r="V2" s="176"/>
      <c r="W2" s="176"/>
      <c r="X2" s="176"/>
      <c r="Y2" s="176"/>
    </row>
    <row r="3" spans="1:25" x14ac:dyDescent="0.2">
      <c r="C3" s="263"/>
      <c r="D3" s="263"/>
      <c r="E3" s="263"/>
      <c r="F3" s="262"/>
      <c r="G3" s="262"/>
      <c r="H3" s="262"/>
      <c r="I3" s="263"/>
      <c r="J3" s="262"/>
      <c r="K3" s="262"/>
      <c r="L3" s="262"/>
      <c r="M3" s="263"/>
    </row>
    <row r="4" spans="1:25" ht="15.75" x14ac:dyDescent="0.2">
      <c r="B4" s="502"/>
      <c r="C4" s="503">
        <v>2014</v>
      </c>
      <c r="D4" s="503">
        <v>2015</v>
      </c>
      <c r="E4" s="67">
        <v>2016</v>
      </c>
      <c r="F4" s="65" t="s">
        <v>293</v>
      </c>
      <c r="G4" s="503" t="s">
        <v>294</v>
      </c>
      <c r="H4" s="503" t="s">
        <v>295</v>
      </c>
      <c r="I4" s="67" t="s">
        <v>277</v>
      </c>
      <c r="J4" s="65" t="s">
        <v>278</v>
      </c>
      <c r="K4" s="503" t="s">
        <v>279</v>
      </c>
      <c r="L4" s="503" t="s">
        <v>280</v>
      </c>
      <c r="M4" s="67" t="s">
        <v>281</v>
      </c>
      <c r="N4" s="503" t="s">
        <v>282</v>
      </c>
      <c r="O4" s="503" t="s">
        <v>283</v>
      </c>
      <c r="P4" s="503" t="s">
        <v>284</v>
      </c>
      <c r="Q4" s="67" t="s">
        <v>285</v>
      </c>
      <c r="R4" s="503" t="s">
        <v>286</v>
      </c>
      <c r="S4" s="503" t="s">
        <v>287</v>
      </c>
      <c r="T4" s="503" t="s">
        <v>288</v>
      </c>
      <c r="U4" s="67" t="s">
        <v>289</v>
      </c>
      <c r="V4" s="503" t="s">
        <v>290</v>
      </c>
      <c r="W4" s="503" t="s">
        <v>291</v>
      </c>
      <c r="X4" s="503" t="s">
        <v>292</v>
      </c>
      <c r="Y4" s="503" t="s">
        <v>570</v>
      </c>
    </row>
    <row r="5" spans="1:25" ht="15.75" x14ac:dyDescent="0.25">
      <c r="B5" s="87"/>
      <c r="C5" s="68" t="s">
        <v>298</v>
      </c>
      <c r="D5" s="68" t="s">
        <v>298</v>
      </c>
      <c r="E5" s="68" t="s">
        <v>298</v>
      </c>
      <c r="F5" s="68" t="s">
        <v>65</v>
      </c>
      <c r="G5" s="68" t="s">
        <v>275</v>
      </c>
      <c r="H5" s="68" t="s">
        <v>276</v>
      </c>
      <c r="I5" s="69" t="s">
        <v>510</v>
      </c>
      <c r="J5" s="68" t="s">
        <v>65</v>
      </c>
      <c r="K5" s="68" t="s">
        <v>275</v>
      </c>
      <c r="L5" s="68" t="s">
        <v>276</v>
      </c>
      <c r="M5" s="69" t="s">
        <v>274</v>
      </c>
      <c r="N5" s="68" t="s">
        <v>65</v>
      </c>
      <c r="O5" s="68" t="s">
        <v>275</v>
      </c>
      <c r="P5" s="68" t="s">
        <v>276</v>
      </c>
      <c r="Q5" s="69" t="s">
        <v>274</v>
      </c>
      <c r="R5" s="68" t="s">
        <v>65</v>
      </c>
      <c r="S5" s="68" t="s">
        <v>275</v>
      </c>
      <c r="T5" s="68" t="s">
        <v>276</v>
      </c>
      <c r="U5" s="69" t="s">
        <v>274</v>
      </c>
      <c r="V5" s="68" t="s">
        <v>65</v>
      </c>
      <c r="W5" s="68" t="s">
        <v>275</v>
      </c>
      <c r="X5" s="68" t="s">
        <v>276</v>
      </c>
      <c r="Y5" s="68" t="s">
        <v>274</v>
      </c>
    </row>
    <row r="6" spans="1:25" ht="8.25" customHeight="1" x14ac:dyDescent="0.2">
      <c r="C6" s="43"/>
      <c r="D6" s="43"/>
      <c r="E6" s="43"/>
      <c r="F6" s="42"/>
      <c r="G6" s="42"/>
      <c r="H6" s="42"/>
      <c r="I6" s="43"/>
      <c r="J6" s="42"/>
      <c r="K6" s="42"/>
      <c r="L6" s="42"/>
      <c r="M6" s="43"/>
      <c r="N6" s="42"/>
      <c r="O6" s="42"/>
      <c r="P6" s="42"/>
      <c r="Q6" s="43"/>
      <c r="R6" s="42"/>
      <c r="S6" s="42"/>
      <c r="T6" s="42"/>
      <c r="U6" s="43"/>
      <c r="V6" s="42"/>
      <c r="W6" s="42"/>
      <c r="X6" s="42"/>
      <c r="Y6" s="42"/>
    </row>
    <row r="7" spans="1:25" s="504" customFormat="1" ht="18" x14ac:dyDescent="0.25">
      <c r="B7" s="492" t="s">
        <v>514</v>
      </c>
      <c r="C7" s="505"/>
      <c r="D7" s="505"/>
      <c r="E7" s="505"/>
      <c r="F7" s="506"/>
      <c r="G7" s="506"/>
      <c r="H7" s="506"/>
      <c r="I7" s="505"/>
      <c r="J7" s="506"/>
      <c r="K7" s="506"/>
      <c r="L7" s="506"/>
      <c r="M7" s="505"/>
      <c r="N7" s="506"/>
      <c r="O7" s="507"/>
      <c r="P7" s="507"/>
      <c r="Q7" s="508"/>
      <c r="R7" s="507"/>
      <c r="S7" s="507"/>
      <c r="T7" s="507"/>
      <c r="U7" s="508"/>
      <c r="V7" s="507"/>
      <c r="W7" s="509"/>
      <c r="X7" s="507"/>
      <c r="Y7" s="507"/>
    </row>
    <row r="8" spans="1:25" s="181" customFormat="1" ht="7.5" customHeight="1" x14ac:dyDescent="0.25">
      <c r="B8" s="510"/>
      <c r="C8" s="511"/>
      <c r="D8" s="511"/>
      <c r="E8" s="511"/>
      <c r="F8" s="512"/>
      <c r="G8" s="512"/>
      <c r="H8" s="512"/>
      <c r="I8" s="511"/>
      <c r="J8" s="512"/>
      <c r="K8" s="512"/>
      <c r="L8" s="512"/>
      <c r="M8" s="511"/>
      <c r="N8" s="512"/>
      <c r="O8" s="512"/>
      <c r="P8" s="512"/>
      <c r="Q8" s="511"/>
      <c r="R8" s="512"/>
      <c r="S8" s="512"/>
      <c r="T8" s="512"/>
      <c r="U8" s="511"/>
      <c r="V8" s="512"/>
      <c r="W8" s="512"/>
      <c r="X8" s="512"/>
      <c r="Y8" s="512"/>
    </row>
    <row r="9" spans="1:25" s="84" customFormat="1" ht="15.75" x14ac:dyDescent="0.25">
      <c r="B9" s="265" t="s">
        <v>515</v>
      </c>
      <c r="C9" s="267">
        <v>-348</v>
      </c>
      <c r="D9" s="267">
        <v>-412</v>
      </c>
      <c r="E9" s="267">
        <v>-542</v>
      </c>
      <c r="F9" s="266">
        <v>-125</v>
      </c>
      <c r="G9" s="266">
        <v>-140</v>
      </c>
      <c r="H9" s="266">
        <v>-153</v>
      </c>
      <c r="I9" s="267">
        <v>-127</v>
      </c>
      <c r="J9" s="266">
        <v>-121</v>
      </c>
      <c r="K9" s="266">
        <v>-136</v>
      </c>
      <c r="L9" s="266">
        <v>-131</v>
      </c>
      <c r="M9" s="267">
        <v>-134</v>
      </c>
      <c r="N9" s="266">
        <v>-124</v>
      </c>
      <c r="O9" s="266">
        <v>-115</v>
      </c>
      <c r="P9" s="266">
        <v>-135</v>
      </c>
      <c r="Q9" s="267">
        <v>-139</v>
      </c>
      <c r="R9" s="266">
        <v>-150</v>
      </c>
      <c r="S9" s="266">
        <v>-157</v>
      </c>
      <c r="T9" s="266">
        <v>-148</v>
      </c>
      <c r="U9" s="267">
        <v>-183</v>
      </c>
      <c r="V9" s="266">
        <v>-193</v>
      </c>
      <c r="W9" s="266">
        <v>-240</v>
      </c>
      <c r="X9" s="266">
        <v>-188</v>
      </c>
      <c r="Y9" s="266">
        <v>-184</v>
      </c>
    </row>
    <row r="10" spans="1:25" s="84" customFormat="1" x14ac:dyDescent="0.2">
      <c r="B10" s="513" t="s">
        <v>516</v>
      </c>
      <c r="C10" s="148">
        <v>-348</v>
      </c>
      <c r="D10" s="148">
        <v>-412</v>
      </c>
      <c r="E10" s="148">
        <v>-542</v>
      </c>
      <c r="F10" s="149">
        <v>-125</v>
      </c>
      <c r="G10" s="149">
        <v>-140</v>
      </c>
      <c r="H10" s="149">
        <v>-153</v>
      </c>
      <c r="I10" s="148">
        <v>-127</v>
      </c>
      <c r="J10" s="149">
        <v>-121</v>
      </c>
      <c r="K10" s="149">
        <v>-136</v>
      </c>
      <c r="L10" s="149">
        <v>-131</v>
      </c>
      <c r="M10" s="148">
        <v>-134</v>
      </c>
      <c r="N10" s="149">
        <v>-124</v>
      </c>
      <c r="O10" s="149">
        <v>-115</v>
      </c>
      <c r="P10" s="149">
        <v>-135</v>
      </c>
      <c r="Q10" s="148">
        <v>-139</v>
      </c>
      <c r="R10" s="149">
        <v>-150</v>
      </c>
      <c r="S10" s="149">
        <v>-157</v>
      </c>
      <c r="T10" s="149">
        <v>-148</v>
      </c>
      <c r="U10" s="148">
        <v>-183</v>
      </c>
      <c r="V10" s="149">
        <v>-193</v>
      </c>
      <c r="W10" s="149">
        <v>-240</v>
      </c>
      <c r="X10" s="149">
        <v>-188</v>
      </c>
      <c r="Y10" s="149">
        <v>-184</v>
      </c>
    </row>
    <row r="11" spans="1:25" s="181" customFormat="1" ht="7.5" customHeight="1" x14ac:dyDescent="0.25">
      <c r="B11" s="510"/>
      <c r="C11" s="511"/>
      <c r="D11" s="511"/>
      <c r="E11" s="511"/>
      <c r="F11" s="512"/>
      <c r="G11" s="512"/>
      <c r="H11" s="512"/>
      <c r="I11" s="511"/>
      <c r="J11" s="512"/>
      <c r="K11" s="512"/>
      <c r="L11" s="512"/>
      <c r="M11" s="511"/>
      <c r="N11" s="512"/>
      <c r="O11" s="512"/>
      <c r="P11" s="512"/>
      <c r="Q11" s="511"/>
      <c r="R11" s="512"/>
      <c r="S11" s="512"/>
      <c r="T11" s="512"/>
      <c r="U11" s="511"/>
      <c r="V11" s="512"/>
      <c r="W11" s="512"/>
      <c r="X11" s="512"/>
      <c r="Y11" s="512"/>
    </row>
    <row r="12" spans="1:25" s="84" customFormat="1" ht="15.75" x14ac:dyDescent="0.25">
      <c r="B12" s="265" t="s">
        <v>517</v>
      </c>
      <c r="C12" s="267">
        <v>-10</v>
      </c>
      <c r="D12" s="267">
        <v>-12</v>
      </c>
      <c r="E12" s="267">
        <v>-12</v>
      </c>
      <c r="F12" s="266">
        <v>-4</v>
      </c>
      <c r="G12" s="266">
        <v>-3</v>
      </c>
      <c r="H12" s="266">
        <v>-3</v>
      </c>
      <c r="I12" s="267">
        <v>-3</v>
      </c>
      <c r="J12" s="266">
        <v>-3</v>
      </c>
      <c r="K12" s="266">
        <v>-3</v>
      </c>
      <c r="L12" s="266">
        <v>-3</v>
      </c>
      <c r="M12" s="267">
        <v>-3</v>
      </c>
      <c r="N12" s="266">
        <v>-3</v>
      </c>
      <c r="O12" s="266">
        <v>-3</v>
      </c>
      <c r="P12" s="266">
        <v>-4</v>
      </c>
      <c r="Q12" s="267">
        <v>-2</v>
      </c>
      <c r="R12" s="266">
        <v>-3</v>
      </c>
      <c r="S12" s="266">
        <v>-3</v>
      </c>
      <c r="T12" s="266">
        <v>-3</v>
      </c>
      <c r="U12" s="267">
        <v>9</v>
      </c>
      <c r="V12" s="266">
        <v>-3</v>
      </c>
      <c r="W12" s="266">
        <v>-3</v>
      </c>
      <c r="X12" s="266">
        <v>-3</v>
      </c>
      <c r="Y12" s="266">
        <v>0</v>
      </c>
    </row>
    <row r="13" spans="1:25" s="84" customFormat="1" x14ac:dyDescent="0.2">
      <c r="B13" s="514" t="s">
        <v>120</v>
      </c>
      <c r="C13" s="148">
        <v>-10</v>
      </c>
      <c r="D13" s="148">
        <v>-12</v>
      </c>
      <c r="E13" s="148">
        <v>-12</v>
      </c>
      <c r="F13" s="149">
        <v>-4</v>
      </c>
      <c r="G13" s="149">
        <v>-3</v>
      </c>
      <c r="H13" s="149">
        <v>-3</v>
      </c>
      <c r="I13" s="148">
        <v>-3</v>
      </c>
      <c r="J13" s="149">
        <v>-3</v>
      </c>
      <c r="K13" s="149">
        <v>-3</v>
      </c>
      <c r="L13" s="149">
        <v>-3</v>
      </c>
      <c r="M13" s="148">
        <v>-3</v>
      </c>
      <c r="N13" s="149">
        <v>-3</v>
      </c>
      <c r="O13" s="149">
        <v>-3</v>
      </c>
      <c r="P13" s="149">
        <v>-4</v>
      </c>
      <c r="Q13" s="148">
        <v>-2</v>
      </c>
      <c r="R13" s="149">
        <v>-3</v>
      </c>
      <c r="S13" s="149">
        <v>-3</v>
      </c>
      <c r="T13" s="149">
        <v>-3</v>
      </c>
      <c r="U13" s="148">
        <v>-4</v>
      </c>
      <c r="V13" s="149">
        <v>-3</v>
      </c>
      <c r="W13" s="149">
        <v>-3</v>
      </c>
      <c r="X13" s="149">
        <v>-3</v>
      </c>
      <c r="Y13" s="149">
        <v>-4</v>
      </c>
    </row>
    <row r="14" spans="1:25" s="84" customFormat="1" x14ac:dyDescent="0.2">
      <c r="B14" s="514" t="s">
        <v>518</v>
      </c>
      <c r="C14" s="148"/>
      <c r="D14" s="148"/>
      <c r="E14" s="148"/>
      <c r="F14" s="149"/>
      <c r="G14" s="149"/>
      <c r="H14" s="149"/>
      <c r="I14" s="148"/>
      <c r="J14" s="149"/>
      <c r="K14" s="149"/>
      <c r="L14" s="149"/>
      <c r="M14" s="148"/>
      <c r="N14" s="149"/>
      <c r="O14" s="149"/>
      <c r="P14" s="149"/>
      <c r="Q14" s="148"/>
      <c r="R14" s="149"/>
      <c r="S14" s="149"/>
      <c r="T14" s="149"/>
      <c r="U14" s="148">
        <v>13</v>
      </c>
      <c r="V14" s="149">
        <v>0</v>
      </c>
      <c r="W14" s="149"/>
      <c r="X14" s="149"/>
      <c r="Y14" s="149">
        <v>4</v>
      </c>
    </row>
    <row r="15" spans="1:25" s="181" customFormat="1" ht="7.5" customHeight="1" x14ac:dyDescent="0.25">
      <c r="B15" s="510"/>
      <c r="C15" s="511"/>
      <c r="D15" s="511"/>
      <c r="E15" s="511"/>
      <c r="F15" s="512"/>
      <c r="G15" s="512"/>
      <c r="H15" s="512"/>
      <c r="I15" s="511"/>
      <c r="J15" s="512"/>
      <c r="K15" s="512"/>
      <c r="L15" s="512"/>
      <c r="M15" s="511"/>
      <c r="N15" s="512"/>
      <c r="O15" s="512"/>
      <c r="P15" s="512"/>
      <c r="Q15" s="511"/>
      <c r="R15" s="512"/>
      <c r="S15" s="512"/>
      <c r="T15" s="512"/>
      <c r="U15" s="511"/>
      <c r="V15" s="512"/>
      <c r="W15" s="512"/>
      <c r="X15" s="512"/>
      <c r="Y15" s="512"/>
    </row>
    <row r="16" spans="1:25" s="84" customFormat="1" ht="15.75" x14ac:dyDescent="0.25">
      <c r="B16" s="265" t="s">
        <v>519</v>
      </c>
      <c r="C16" s="267">
        <v>-1489</v>
      </c>
      <c r="D16" s="267">
        <v>-3322</v>
      </c>
      <c r="E16" s="267">
        <v>-853</v>
      </c>
      <c r="F16" s="267">
        <v>-20</v>
      </c>
      <c r="G16" s="267">
        <v>-84</v>
      </c>
      <c r="H16" s="267">
        <v>-84</v>
      </c>
      <c r="I16" s="267">
        <v>-96</v>
      </c>
      <c r="J16" s="266">
        <v>-84</v>
      </c>
      <c r="K16" s="266">
        <v>-104</v>
      </c>
      <c r="L16" s="266">
        <v>-94</v>
      </c>
      <c r="M16" s="267">
        <v>-3</v>
      </c>
      <c r="N16" s="266">
        <v>-118</v>
      </c>
      <c r="O16" s="266">
        <v>-120</v>
      </c>
      <c r="P16" s="266">
        <v>-122</v>
      </c>
      <c r="Q16" s="267">
        <v>-328</v>
      </c>
      <c r="R16" s="266">
        <v>-132</v>
      </c>
      <c r="S16" s="266">
        <v>-132</v>
      </c>
      <c r="T16" s="266">
        <v>-129</v>
      </c>
      <c r="U16" s="267">
        <v>62</v>
      </c>
      <c r="V16" s="266">
        <v>-135</v>
      </c>
      <c r="W16" s="266">
        <v>-136</v>
      </c>
      <c r="X16" s="266">
        <v>-143</v>
      </c>
      <c r="Y16" s="266">
        <v>-75</v>
      </c>
    </row>
    <row r="17" spans="2:25" s="84" customFormat="1" x14ac:dyDescent="0.2">
      <c r="B17" s="514" t="s">
        <v>120</v>
      </c>
      <c r="C17" s="148">
        <v>-393</v>
      </c>
      <c r="D17" s="148">
        <v>-459</v>
      </c>
      <c r="E17" s="148">
        <v>-442</v>
      </c>
      <c r="F17" s="149">
        <v>-108</v>
      </c>
      <c r="G17" s="149">
        <v>-112</v>
      </c>
      <c r="H17" s="515">
        <v>-113</v>
      </c>
      <c r="I17" s="516">
        <v>-106</v>
      </c>
      <c r="J17" s="149">
        <v>-103</v>
      </c>
      <c r="K17" s="149">
        <v>-104</v>
      </c>
      <c r="L17" s="149">
        <v>-99</v>
      </c>
      <c r="M17" s="148">
        <v>-99</v>
      </c>
      <c r="N17" s="149">
        <v>-125</v>
      </c>
      <c r="O17" s="149">
        <v>-124</v>
      </c>
      <c r="P17" s="149">
        <v>-123</v>
      </c>
      <c r="Q17" s="148">
        <v>-144</v>
      </c>
      <c r="R17" s="149">
        <v>-132</v>
      </c>
      <c r="S17" s="149">
        <v>-133</v>
      </c>
      <c r="T17" s="149">
        <v>-129</v>
      </c>
      <c r="U17" s="148">
        <v>-130</v>
      </c>
      <c r="V17" s="149">
        <v>-136</v>
      </c>
      <c r="W17" s="149">
        <v>-137</v>
      </c>
      <c r="X17" s="149">
        <v>-141</v>
      </c>
      <c r="Y17" s="149">
        <v>-132</v>
      </c>
    </row>
    <row r="18" spans="2:25" s="84" customFormat="1" x14ac:dyDescent="0.2">
      <c r="B18" s="514" t="s">
        <v>520</v>
      </c>
      <c r="C18" s="148">
        <v>-1096</v>
      </c>
      <c r="D18" s="148">
        <v>-2863</v>
      </c>
      <c r="E18" s="148">
        <v>-411</v>
      </c>
      <c r="F18" s="149">
        <v>88</v>
      </c>
      <c r="G18" s="149">
        <v>28</v>
      </c>
      <c r="H18" s="149">
        <v>29</v>
      </c>
      <c r="I18" s="148">
        <v>10</v>
      </c>
      <c r="J18" s="149">
        <v>19</v>
      </c>
      <c r="K18" s="149">
        <v>0</v>
      </c>
      <c r="L18" s="149">
        <v>5</v>
      </c>
      <c r="M18" s="148">
        <v>96</v>
      </c>
      <c r="N18" s="149">
        <v>7</v>
      </c>
      <c r="O18" s="149">
        <v>4</v>
      </c>
      <c r="P18" s="149">
        <v>1</v>
      </c>
      <c r="Q18" s="148">
        <v>0</v>
      </c>
      <c r="R18" s="149">
        <v>0</v>
      </c>
      <c r="S18" s="149">
        <v>1</v>
      </c>
      <c r="T18" s="149">
        <v>0</v>
      </c>
      <c r="U18" s="148">
        <v>0</v>
      </c>
      <c r="V18" s="149">
        <v>1</v>
      </c>
      <c r="W18" s="149">
        <v>1</v>
      </c>
      <c r="X18" s="149">
        <v>-2</v>
      </c>
      <c r="Y18" s="149">
        <v>0</v>
      </c>
    </row>
    <row r="19" spans="2:25" s="84" customFormat="1" x14ac:dyDescent="0.2">
      <c r="B19" s="514" t="s">
        <v>521</v>
      </c>
      <c r="C19" s="149">
        <v>0</v>
      </c>
      <c r="D19" s="149">
        <v>0</v>
      </c>
      <c r="E19" s="149">
        <v>0</v>
      </c>
      <c r="F19" s="149">
        <v>0</v>
      </c>
      <c r="G19" s="149">
        <v>0</v>
      </c>
      <c r="H19" s="149">
        <v>0</v>
      </c>
      <c r="I19" s="149">
        <v>0</v>
      </c>
      <c r="J19" s="149">
        <v>0</v>
      </c>
      <c r="K19" s="149">
        <v>0</v>
      </c>
      <c r="L19" s="149">
        <v>0</v>
      </c>
      <c r="M19" s="149">
        <v>0</v>
      </c>
      <c r="N19" s="149">
        <v>0</v>
      </c>
      <c r="O19" s="149">
        <v>0</v>
      </c>
      <c r="P19" s="149">
        <v>0</v>
      </c>
      <c r="Q19" s="148">
        <v>-173</v>
      </c>
      <c r="R19" s="149">
        <v>0</v>
      </c>
      <c r="S19" s="149">
        <v>0</v>
      </c>
      <c r="T19" s="149">
        <v>0</v>
      </c>
      <c r="U19" s="148">
        <v>0</v>
      </c>
      <c r="V19" s="149">
        <v>0</v>
      </c>
      <c r="W19" s="149">
        <v>0</v>
      </c>
      <c r="X19" s="149">
        <v>0</v>
      </c>
      <c r="Y19" s="149">
        <v>0</v>
      </c>
    </row>
    <row r="20" spans="2:25" s="84" customFormat="1" x14ac:dyDescent="0.2">
      <c r="B20" s="514" t="s">
        <v>522</v>
      </c>
      <c r="C20" s="149">
        <v>0</v>
      </c>
      <c r="D20" s="149">
        <v>0</v>
      </c>
      <c r="E20" s="149">
        <v>0</v>
      </c>
      <c r="F20" s="149">
        <v>0</v>
      </c>
      <c r="G20" s="149">
        <v>0</v>
      </c>
      <c r="H20" s="149">
        <v>0</v>
      </c>
      <c r="I20" s="149">
        <v>0</v>
      </c>
      <c r="J20" s="149">
        <v>0</v>
      </c>
      <c r="K20" s="149">
        <v>0</v>
      </c>
      <c r="L20" s="149">
        <v>0</v>
      </c>
      <c r="M20" s="149">
        <v>0</v>
      </c>
      <c r="N20" s="149">
        <v>0</v>
      </c>
      <c r="O20" s="149">
        <v>0</v>
      </c>
      <c r="P20" s="149">
        <v>0</v>
      </c>
      <c r="Q20" s="148">
        <v>-11</v>
      </c>
      <c r="R20" s="149">
        <v>0</v>
      </c>
      <c r="S20" s="149">
        <v>0</v>
      </c>
      <c r="T20" s="149">
        <v>0</v>
      </c>
      <c r="U20" s="148">
        <v>0</v>
      </c>
      <c r="V20" s="149">
        <v>0</v>
      </c>
      <c r="W20" s="149">
        <v>0</v>
      </c>
      <c r="X20" s="149">
        <v>0</v>
      </c>
      <c r="Y20" s="149">
        <v>0</v>
      </c>
    </row>
    <row r="21" spans="2:25" s="84" customFormat="1" x14ac:dyDescent="0.2">
      <c r="B21" s="514" t="s">
        <v>518</v>
      </c>
      <c r="C21" s="149">
        <v>0</v>
      </c>
      <c r="D21" s="149">
        <v>0</v>
      </c>
      <c r="E21" s="149">
        <v>0</v>
      </c>
      <c r="F21" s="149">
        <v>0</v>
      </c>
      <c r="G21" s="149">
        <v>0</v>
      </c>
      <c r="H21" s="149">
        <v>0</v>
      </c>
      <c r="I21" s="149">
        <v>0</v>
      </c>
      <c r="J21" s="149">
        <v>0</v>
      </c>
      <c r="K21" s="149">
        <v>0</v>
      </c>
      <c r="L21" s="149">
        <v>0</v>
      </c>
      <c r="M21" s="149">
        <v>0</v>
      </c>
      <c r="N21" s="149">
        <v>0</v>
      </c>
      <c r="O21" s="149">
        <v>0</v>
      </c>
      <c r="P21" s="149">
        <v>0</v>
      </c>
      <c r="Q21" s="148">
        <v>0</v>
      </c>
      <c r="R21" s="149">
        <v>0</v>
      </c>
      <c r="S21" s="149">
        <v>0</v>
      </c>
      <c r="T21" s="149">
        <v>0</v>
      </c>
      <c r="U21" s="148">
        <v>192</v>
      </c>
      <c r="V21" s="149">
        <v>0</v>
      </c>
      <c r="W21" s="149">
        <v>0</v>
      </c>
      <c r="X21" s="149">
        <v>0</v>
      </c>
      <c r="Y21" s="149">
        <v>57</v>
      </c>
    </row>
    <row r="22" spans="2:25" s="181" customFormat="1" ht="7.5" customHeight="1" x14ac:dyDescent="0.25">
      <c r="B22" s="510"/>
      <c r="C22" s="511"/>
      <c r="D22" s="511"/>
      <c r="E22" s="511"/>
      <c r="F22" s="512"/>
      <c r="G22" s="512"/>
      <c r="H22" s="512"/>
      <c r="I22" s="511"/>
      <c r="J22" s="512"/>
      <c r="K22" s="512"/>
      <c r="L22" s="512"/>
      <c r="M22" s="511"/>
      <c r="N22" s="512"/>
      <c r="O22" s="512"/>
      <c r="P22" s="512"/>
      <c r="Q22" s="511"/>
      <c r="R22" s="512"/>
      <c r="S22" s="512"/>
      <c r="T22" s="512"/>
      <c r="U22" s="511"/>
      <c r="V22" s="512"/>
      <c r="W22" s="512"/>
      <c r="X22" s="512"/>
      <c r="Y22" s="512"/>
    </row>
    <row r="23" spans="2:25" s="84" customFormat="1" ht="15.75" x14ac:dyDescent="0.25">
      <c r="B23" s="265" t="s">
        <v>523</v>
      </c>
      <c r="C23" s="267">
        <v>-132</v>
      </c>
      <c r="D23" s="267">
        <v>-167</v>
      </c>
      <c r="E23" s="267">
        <v>-90</v>
      </c>
      <c r="F23" s="267">
        <v>-15</v>
      </c>
      <c r="G23" s="267">
        <v>-17</v>
      </c>
      <c r="H23" s="267">
        <v>-88</v>
      </c>
      <c r="I23" s="267">
        <v>-8</v>
      </c>
      <c r="J23" s="266">
        <v>-9</v>
      </c>
      <c r="K23" s="266">
        <v>-8</v>
      </c>
      <c r="L23" s="266">
        <v>-192</v>
      </c>
      <c r="M23" s="267">
        <v>-43</v>
      </c>
      <c r="N23" s="266">
        <v>-10</v>
      </c>
      <c r="O23" s="266">
        <v>-9</v>
      </c>
      <c r="P23" s="266">
        <v>-29</v>
      </c>
      <c r="Q23" s="267">
        <v>-16</v>
      </c>
      <c r="R23" s="266">
        <v>-20</v>
      </c>
      <c r="S23" s="266">
        <v>-16</v>
      </c>
      <c r="T23" s="266">
        <v>-42</v>
      </c>
      <c r="U23" s="267">
        <v>-28</v>
      </c>
      <c r="V23" s="266">
        <v>-49</v>
      </c>
      <c r="W23" s="266">
        <v>-23</v>
      </c>
      <c r="X23" s="266">
        <v>-229</v>
      </c>
      <c r="Y23" s="266">
        <v>-22</v>
      </c>
    </row>
    <row r="24" spans="2:25" s="84" customFormat="1" x14ac:dyDescent="0.2">
      <c r="B24" s="517" t="s">
        <v>524</v>
      </c>
      <c r="C24" s="148">
        <v>0</v>
      </c>
      <c r="D24" s="148">
        <v>-122</v>
      </c>
      <c r="E24" s="148">
        <v>-6</v>
      </c>
      <c r="F24" s="518">
        <v>0</v>
      </c>
      <c r="G24" s="149">
        <v>-3</v>
      </c>
      <c r="H24" s="149">
        <v>-77</v>
      </c>
      <c r="I24" s="148">
        <v>0</v>
      </c>
      <c r="J24" s="518">
        <v>-2</v>
      </c>
      <c r="K24" s="149">
        <v>0</v>
      </c>
      <c r="L24" s="149">
        <v>-187</v>
      </c>
      <c r="M24" s="148">
        <v>-4</v>
      </c>
      <c r="N24" s="149">
        <v>0</v>
      </c>
      <c r="O24" s="149">
        <v>0</v>
      </c>
      <c r="P24" s="149">
        <v>0</v>
      </c>
      <c r="Q24" s="148">
        <v>-4</v>
      </c>
      <c r="R24" s="149">
        <v>-11</v>
      </c>
      <c r="S24" s="149">
        <v>0</v>
      </c>
      <c r="T24" s="149">
        <v>0</v>
      </c>
      <c r="U24" s="148">
        <v>-9</v>
      </c>
      <c r="V24" s="149">
        <v>-41</v>
      </c>
      <c r="W24" s="149">
        <v>-21</v>
      </c>
      <c r="X24" s="149">
        <v>-223</v>
      </c>
      <c r="Y24" s="149">
        <v>-3</v>
      </c>
    </row>
    <row r="25" spans="2:25" s="84" customFormat="1" x14ac:dyDescent="0.2">
      <c r="B25" s="517" t="s">
        <v>525</v>
      </c>
      <c r="C25" s="148">
        <v>-132</v>
      </c>
      <c r="D25" s="148">
        <v>-45</v>
      </c>
      <c r="E25" s="148">
        <v>-84</v>
      </c>
      <c r="F25" s="519">
        <v>-15</v>
      </c>
      <c r="G25" s="149">
        <v>-14</v>
      </c>
      <c r="H25" s="149">
        <v>-11</v>
      </c>
      <c r="I25" s="148">
        <v>-8</v>
      </c>
      <c r="J25" s="519">
        <v>-7</v>
      </c>
      <c r="K25" s="149">
        <v>-8</v>
      </c>
      <c r="L25" s="149">
        <v>-5</v>
      </c>
      <c r="M25" s="148">
        <v>-39</v>
      </c>
      <c r="N25" s="149">
        <v>-10</v>
      </c>
      <c r="O25" s="149">
        <v>-9</v>
      </c>
      <c r="P25" s="149">
        <v>-29</v>
      </c>
      <c r="Q25" s="148">
        <v>-12</v>
      </c>
      <c r="R25" s="149">
        <v>-9</v>
      </c>
      <c r="S25" s="149">
        <v>-16</v>
      </c>
      <c r="T25" s="149">
        <v>-42</v>
      </c>
      <c r="U25" s="148">
        <v>-19</v>
      </c>
      <c r="V25" s="149">
        <v>-6</v>
      </c>
      <c r="W25" s="149">
        <v>-4</v>
      </c>
      <c r="X25" s="149">
        <v>-6</v>
      </c>
      <c r="Y25" s="149">
        <v>-19</v>
      </c>
    </row>
    <row r="26" spans="2:25" s="84" customFormat="1" x14ac:dyDescent="0.2">
      <c r="B26" s="514" t="s">
        <v>526</v>
      </c>
      <c r="C26" s="148">
        <v>0</v>
      </c>
      <c r="D26" s="148">
        <v>0</v>
      </c>
      <c r="E26" s="148">
        <v>0</v>
      </c>
      <c r="F26" s="149">
        <v>0</v>
      </c>
      <c r="G26" s="149">
        <v>0</v>
      </c>
      <c r="H26" s="149">
        <v>0</v>
      </c>
      <c r="I26" s="148">
        <v>0</v>
      </c>
      <c r="J26" s="148">
        <v>0</v>
      </c>
      <c r="K26" s="148">
        <v>0</v>
      </c>
      <c r="L26" s="148">
        <v>0</v>
      </c>
      <c r="M26" s="148">
        <v>0</v>
      </c>
      <c r="N26" s="148">
        <v>0</v>
      </c>
      <c r="O26" s="148">
        <v>0</v>
      </c>
      <c r="P26" s="148">
        <v>0</v>
      </c>
      <c r="Q26" s="148">
        <v>0</v>
      </c>
      <c r="R26" s="148">
        <v>0</v>
      </c>
      <c r="S26" s="148">
        <v>0</v>
      </c>
      <c r="T26" s="148">
        <v>0</v>
      </c>
      <c r="U26" s="148">
        <v>0</v>
      </c>
      <c r="V26" s="149">
        <v>-2</v>
      </c>
      <c r="W26" s="149">
        <v>2</v>
      </c>
      <c r="X26" s="149">
        <v>0</v>
      </c>
      <c r="Y26" s="149" t="s">
        <v>28</v>
      </c>
    </row>
    <row r="27" spans="2:25" s="181" customFormat="1" ht="7.5" customHeight="1" x14ac:dyDescent="0.25">
      <c r="B27" s="510"/>
      <c r="C27" s="511"/>
      <c r="D27" s="511"/>
      <c r="E27" s="511"/>
      <c r="F27" s="512"/>
      <c r="G27" s="512"/>
      <c r="H27" s="512"/>
      <c r="I27" s="511"/>
      <c r="J27" s="512"/>
      <c r="K27" s="512"/>
      <c r="L27" s="512"/>
      <c r="M27" s="511"/>
      <c r="N27" s="512"/>
      <c r="O27" s="512"/>
      <c r="P27" s="512"/>
      <c r="Q27" s="511"/>
      <c r="R27" s="512"/>
      <c r="S27" s="512"/>
      <c r="T27" s="512"/>
      <c r="U27" s="511"/>
      <c r="V27" s="512"/>
      <c r="W27" s="512"/>
      <c r="X27" s="512"/>
      <c r="Y27" s="512"/>
    </row>
    <row r="28" spans="2:25" s="84" customFormat="1" ht="15.75" x14ac:dyDescent="0.25">
      <c r="B28" s="265" t="s">
        <v>527</v>
      </c>
      <c r="C28" s="267">
        <v>-292</v>
      </c>
      <c r="D28" s="267">
        <v>-1175</v>
      </c>
      <c r="E28" s="267">
        <v>-1513</v>
      </c>
      <c r="F28" s="267">
        <v>-59</v>
      </c>
      <c r="G28" s="267">
        <v>-8</v>
      </c>
      <c r="H28" s="267">
        <v>106</v>
      </c>
      <c r="I28" s="267">
        <v>-14</v>
      </c>
      <c r="J28" s="266">
        <v>-100</v>
      </c>
      <c r="K28" s="266">
        <v>-83</v>
      </c>
      <c r="L28" s="266">
        <v>1210</v>
      </c>
      <c r="M28" s="267">
        <v>-128</v>
      </c>
      <c r="N28" s="266">
        <v>-116</v>
      </c>
      <c r="O28" s="266">
        <v>41</v>
      </c>
      <c r="P28" s="266">
        <v>-32</v>
      </c>
      <c r="Q28" s="266">
        <v>-435</v>
      </c>
      <c r="R28" s="266">
        <v>260</v>
      </c>
      <c r="S28" s="266">
        <v>-253</v>
      </c>
      <c r="T28" s="266">
        <v>12</v>
      </c>
      <c r="U28" s="266">
        <v>1811</v>
      </c>
      <c r="V28" s="266">
        <v>75</v>
      </c>
      <c r="W28" s="266">
        <v>59</v>
      </c>
      <c r="X28" s="266">
        <v>-123</v>
      </c>
      <c r="Y28" s="266">
        <v>-762</v>
      </c>
    </row>
    <row r="29" spans="2:25" s="84" customFormat="1" x14ac:dyDescent="0.2">
      <c r="B29" s="517" t="s">
        <v>528</v>
      </c>
      <c r="C29" s="148">
        <v>-111</v>
      </c>
      <c r="D29" s="148">
        <v>-785</v>
      </c>
      <c r="E29" s="148">
        <v>-1079</v>
      </c>
      <c r="F29" s="148">
        <v>-80</v>
      </c>
      <c r="G29" s="148">
        <v>-101</v>
      </c>
      <c r="H29" s="148">
        <v>77</v>
      </c>
      <c r="I29" s="148">
        <v>-15</v>
      </c>
      <c r="J29" s="148">
        <v>-78</v>
      </c>
      <c r="K29" s="148">
        <v>-89</v>
      </c>
      <c r="L29" s="148">
        <v>1210</v>
      </c>
      <c r="M29" s="148">
        <v>-52</v>
      </c>
      <c r="N29" s="148">
        <v>-55</v>
      </c>
      <c r="O29" s="148">
        <v>-31</v>
      </c>
      <c r="P29" s="148">
        <v>-9</v>
      </c>
      <c r="Q29" s="148">
        <v>-14</v>
      </c>
      <c r="R29" s="148">
        <v>-26</v>
      </c>
      <c r="S29" s="148">
        <v>68</v>
      </c>
      <c r="T29" s="148">
        <v>-16</v>
      </c>
      <c r="U29" s="148">
        <v>23</v>
      </c>
      <c r="V29" s="148">
        <v>-32</v>
      </c>
      <c r="W29" s="148">
        <v>54</v>
      </c>
      <c r="X29" s="148">
        <v>-44</v>
      </c>
      <c r="Y29" s="148">
        <v>-904</v>
      </c>
    </row>
    <row r="30" spans="2:25" s="84" customFormat="1" x14ac:dyDescent="0.2">
      <c r="B30" s="520" t="s">
        <v>529</v>
      </c>
      <c r="C30" s="148">
        <v>-158</v>
      </c>
      <c r="D30" s="148">
        <v>-92</v>
      </c>
      <c r="E30" s="148">
        <v>-434</v>
      </c>
      <c r="F30" s="148">
        <v>21</v>
      </c>
      <c r="G30" s="148">
        <v>93</v>
      </c>
      <c r="H30" s="148">
        <v>29</v>
      </c>
      <c r="I30" s="148">
        <v>1</v>
      </c>
      <c r="J30" s="148">
        <v>-22</v>
      </c>
      <c r="K30" s="148">
        <v>6</v>
      </c>
      <c r="L30" s="148">
        <v>0</v>
      </c>
      <c r="M30" s="148">
        <v>-76</v>
      </c>
      <c r="N30" s="148">
        <v>3</v>
      </c>
      <c r="O30" s="148">
        <v>13</v>
      </c>
      <c r="P30" s="148">
        <v>3</v>
      </c>
      <c r="Q30" s="148">
        <v>-330</v>
      </c>
      <c r="R30" s="148">
        <v>3</v>
      </c>
      <c r="S30" s="148">
        <v>-1</v>
      </c>
      <c r="T30" s="148">
        <v>0</v>
      </c>
      <c r="U30" s="148">
        <v>0</v>
      </c>
      <c r="V30" s="148">
        <v>0</v>
      </c>
      <c r="W30" s="148">
        <v>0</v>
      </c>
      <c r="X30" s="148">
        <v>0</v>
      </c>
      <c r="Y30" s="148">
        <v>0</v>
      </c>
    </row>
    <row r="31" spans="2:25" s="84" customFormat="1" x14ac:dyDescent="0.2">
      <c r="B31" s="517" t="s">
        <v>530</v>
      </c>
      <c r="C31" s="148">
        <v>-23</v>
      </c>
      <c r="D31" s="148">
        <v>0</v>
      </c>
      <c r="E31" s="148">
        <v>0</v>
      </c>
      <c r="F31" s="148">
        <v>0</v>
      </c>
      <c r="G31" s="148">
        <v>0</v>
      </c>
      <c r="H31" s="148">
        <v>0</v>
      </c>
      <c r="I31" s="148">
        <v>0</v>
      </c>
      <c r="J31" s="148">
        <v>0</v>
      </c>
      <c r="K31" s="148">
        <v>0</v>
      </c>
      <c r="L31" s="148">
        <v>0</v>
      </c>
      <c r="M31" s="148">
        <v>0</v>
      </c>
      <c r="N31" s="148">
        <v>0</v>
      </c>
      <c r="O31" s="148">
        <v>0</v>
      </c>
      <c r="P31" s="148">
        <v>0</v>
      </c>
      <c r="Q31" s="148">
        <v>0</v>
      </c>
      <c r="R31" s="148">
        <v>0</v>
      </c>
      <c r="S31" s="148">
        <v>0</v>
      </c>
      <c r="T31" s="148">
        <v>0</v>
      </c>
      <c r="U31" s="148">
        <v>0</v>
      </c>
      <c r="V31" s="148">
        <v>0</v>
      </c>
      <c r="W31" s="148">
        <v>0</v>
      </c>
      <c r="X31" s="148">
        <v>0</v>
      </c>
      <c r="Y31" s="148">
        <v>0</v>
      </c>
    </row>
    <row r="32" spans="2:25" s="84" customFormat="1" x14ac:dyDescent="0.2">
      <c r="B32" s="517" t="s">
        <v>531</v>
      </c>
      <c r="C32" s="148">
        <v>0</v>
      </c>
      <c r="D32" s="148">
        <v>-298</v>
      </c>
      <c r="E32" s="148">
        <v>0</v>
      </c>
      <c r="F32" s="148">
        <v>0</v>
      </c>
      <c r="G32" s="148">
        <v>0</v>
      </c>
      <c r="H32" s="148">
        <v>0</v>
      </c>
      <c r="I32" s="148">
        <v>0</v>
      </c>
      <c r="J32" s="148">
        <v>0</v>
      </c>
      <c r="K32" s="148">
        <v>0</v>
      </c>
      <c r="L32" s="148">
        <v>0</v>
      </c>
      <c r="M32" s="148">
        <v>0</v>
      </c>
      <c r="N32" s="148">
        <v>0</v>
      </c>
      <c r="O32" s="148">
        <v>0</v>
      </c>
      <c r="P32" s="148">
        <v>0</v>
      </c>
      <c r="Q32" s="148">
        <v>0</v>
      </c>
      <c r="R32" s="148">
        <v>0</v>
      </c>
      <c r="S32" s="148">
        <v>0</v>
      </c>
      <c r="T32" s="148">
        <v>0</v>
      </c>
      <c r="U32" s="148">
        <v>0</v>
      </c>
      <c r="V32" s="148">
        <v>0</v>
      </c>
      <c r="W32" s="148">
        <v>0</v>
      </c>
      <c r="X32" s="148">
        <v>0</v>
      </c>
      <c r="Y32" s="148">
        <v>0</v>
      </c>
    </row>
    <row r="33" spans="2:25" x14ac:dyDescent="0.2">
      <c r="B33" s="521" t="s">
        <v>532</v>
      </c>
      <c r="C33" s="148">
        <v>0</v>
      </c>
      <c r="D33" s="148">
        <v>0</v>
      </c>
      <c r="E33" s="148">
        <v>0</v>
      </c>
      <c r="F33" s="148">
        <v>0</v>
      </c>
      <c r="G33" s="148">
        <v>0</v>
      </c>
      <c r="H33" s="148">
        <v>0</v>
      </c>
      <c r="I33" s="148">
        <v>0</v>
      </c>
      <c r="J33" s="148">
        <v>0</v>
      </c>
      <c r="K33" s="148">
        <v>0</v>
      </c>
      <c r="L33" s="148">
        <v>0</v>
      </c>
      <c r="M33" s="148">
        <v>0</v>
      </c>
      <c r="N33" s="148">
        <v>0</v>
      </c>
      <c r="O33" s="148">
        <v>0</v>
      </c>
      <c r="P33" s="148">
        <v>0</v>
      </c>
      <c r="Q33" s="148">
        <v>-55</v>
      </c>
      <c r="R33" s="148">
        <v>-9</v>
      </c>
      <c r="S33" s="148">
        <v>-12</v>
      </c>
      <c r="T33" s="148">
        <v>-12</v>
      </c>
      <c r="U33" s="148">
        <v>-30</v>
      </c>
      <c r="V33" s="148">
        <v>0</v>
      </c>
      <c r="W33" s="148">
        <v>0</v>
      </c>
      <c r="X33" s="148">
        <v>8</v>
      </c>
      <c r="Y33" s="148">
        <v>0</v>
      </c>
    </row>
    <row r="34" spans="2:25" x14ac:dyDescent="0.2">
      <c r="B34" s="521" t="s">
        <v>533</v>
      </c>
      <c r="C34" s="148">
        <v>0</v>
      </c>
      <c r="D34" s="148">
        <v>0</v>
      </c>
      <c r="E34" s="148">
        <v>0</v>
      </c>
      <c r="F34" s="148">
        <v>0</v>
      </c>
      <c r="G34" s="148">
        <v>0</v>
      </c>
      <c r="H34" s="148">
        <v>0</v>
      </c>
      <c r="I34" s="148">
        <v>0</v>
      </c>
      <c r="J34" s="148">
        <v>0</v>
      </c>
      <c r="K34" s="148">
        <v>0</v>
      </c>
      <c r="L34" s="148">
        <v>0</v>
      </c>
      <c r="M34" s="148">
        <v>0</v>
      </c>
      <c r="N34" s="148">
        <v>-64</v>
      </c>
      <c r="O34" s="148">
        <v>59</v>
      </c>
      <c r="P34" s="148">
        <v>-26</v>
      </c>
      <c r="Q34" s="148">
        <v>-36</v>
      </c>
      <c r="R34" s="148">
        <v>292</v>
      </c>
      <c r="S34" s="148">
        <v>-308</v>
      </c>
      <c r="T34" s="148">
        <v>75</v>
      </c>
      <c r="U34" s="148">
        <v>-109</v>
      </c>
      <c r="V34" s="148">
        <v>61</v>
      </c>
      <c r="W34" s="148">
        <v>5</v>
      </c>
      <c r="X34" s="148">
        <v>-33</v>
      </c>
      <c r="Y34" s="148">
        <v>23</v>
      </c>
    </row>
    <row r="35" spans="2:25" x14ac:dyDescent="0.2">
      <c r="B35" s="521" t="s">
        <v>534</v>
      </c>
      <c r="C35" s="148">
        <v>0</v>
      </c>
      <c r="D35" s="148">
        <v>0</v>
      </c>
      <c r="E35" s="148">
        <v>0</v>
      </c>
      <c r="F35" s="148">
        <v>0</v>
      </c>
      <c r="G35" s="148">
        <v>0</v>
      </c>
      <c r="H35" s="148">
        <v>0</v>
      </c>
      <c r="I35" s="148">
        <v>0</v>
      </c>
      <c r="J35" s="148">
        <v>0</v>
      </c>
      <c r="K35" s="148">
        <v>0</v>
      </c>
      <c r="L35" s="148">
        <v>0</v>
      </c>
      <c r="M35" s="148">
        <v>0</v>
      </c>
      <c r="N35" s="148">
        <v>0</v>
      </c>
      <c r="O35" s="148">
        <v>0</v>
      </c>
      <c r="P35" s="148">
        <v>0</v>
      </c>
      <c r="Q35" s="148">
        <v>0</v>
      </c>
      <c r="R35" s="148">
        <v>0</v>
      </c>
      <c r="S35" s="148">
        <v>0</v>
      </c>
      <c r="T35" s="148">
        <v>0</v>
      </c>
      <c r="U35" s="148">
        <v>0</v>
      </c>
      <c r="V35" s="148">
        <v>46</v>
      </c>
      <c r="W35" s="148">
        <v>0</v>
      </c>
      <c r="X35" s="148">
        <v>0</v>
      </c>
      <c r="Y35" s="148">
        <v>0</v>
      </c>
    </row>
    <row r="36" spans="2:25" x14ac:dyDescent="0.2">
      <c r="B36" s="521" t="s">
        <v>535</v>
      </c>
      <c r="C36" s="148">
        <v>0</v>
      </c>
      <c r="D36" s="148">
        <v>0</v>
      </c>
      <c r="E36" s="148">
        <v>0</v>
      </c>
      <c r="F36" s="148">
        <v>0</v>
      </c>
      <c r="G36" s="148">
        <v>0</v>
      </c>
      <c r="H36" s="148">
        <v>0</v>
      </c>
      <c r="I36" s="148">
        <v>0</v>
      </c>
      <c r="J36" s="148">
        <v>0</v>
      </c>
      <c r="K36" s="148">
        <v>0</v>
      </c>
      <c r="L36" s="148">
        <v>0</v>
      </c>
      <c r="M36" s="148">
        <v>0</v>
      </c>
      <c r="N36" s="148">
        <v>0</v>
      </c>
      <c r="O36" s="148">
        <v>0</v>
      </c>
      <c r="P36" s="149">
        <v>0</v>
      </c>
      <c r="Q36" s="148">
        <v>0</v>
      </c>
      <c r="R36" s="149">
        <v>0</v>
      </c>
      <c r="S36" s="149">
        <v>0</v>
      </c>
      <c r="T36" s="149">
        <v>-152</v>
      </c>
      <c r="U36" s="148">
        <v>0</v>
      </c>
      <c r="V36" s="149">
        <v>0</v>
      </c>
      <c r="W36" s="149">
        <v>0</v>
      </c>
      <c r="X36" s="149">
        <v>0</v>
      </c>
      <c r="Y36" s="149">
        <v>0</v>
      </c>
    </row>
    <row r="37" spans="2:25" x14ac:dyDescent="0.2">
      <c r="B37" s="521" t="s">
        <v>256</v>
      </c>
      <c r="C37" s="148">
        <v>0</v>
      </c>
      <c r="D37" s="148">
        <v>0</v>
      </c>
      <c r="E37" s="148">
        <v>0</v>
      </c>
      <c r="F37" s="148">
        <v>0</v>
      </c>
      <c r="G37" s="148">
        <v>0</v>
      </c>
      <c r="H37" s="148">
        <v>0</v>
      </c>
      <c r="I37" s="148">
        <v>0</v>
      </c>
      <c r="J37" s="148">
        <v>0</v>
      </c>
      <c r="K37" s="148">
        <v>0</v>
      </c>
      <c r="L37" s="148">
        <v>0</v>
      </c>
      <c r="M37" s="148">
        <v>0</v>
      </c>
      <c r="N37" s="148">
        <v>0</v>
      </c>
      <c r="O37" s="148">
        <v>0</v>
      </c>
      <c r="P37" s="149">
        <v>0</v>
      </c>
      <c r="Q37" s="148">
        <v>0</v>
      </c>
      <c r="R37" s="149">
        <v>0</v>
      </c>
      <c r="S37" s="149">
        <v>0</v>
      </c>
      <c r="T37" s="149">
        <v>117</v>
      </c>
      <c r="U37" s="148">
        <v>0</v>
      </c>
      <c r="V37" s="149">
        <v>0</v>
      </c>
      <c r="W37" s="149">
        <v>0</v>
      </c>
      <c r="X37" s="149">
        <v>0</v>
      </c>
      <c r="Y37" s="149">
        <v>0</v>
      </c>
    </row>
    <row r="38" spans="2:25" x14ac:dyDescent="0.2">
      <c r="B38" s="514" t="s">
        <v>518</v>
      </c>
      <c r="C38" s="148">
        <v>0</v>
      </c>
      <c r="D38" s="148">
        <v>0</v>
      </c>
      <c r="E38" s="148">
        <v>0</v>
      </c>
      <c r="F38" s="148">
        <v>0</v>
      </c>
      <c r="G38" s="148">
        <v>0</v>
      </c>
      <c r="H38" s="148">
        <v>0</v>
      </c>
      <c r="I38" s="148">
        <v>0</v>
      </c>
      <c r="J38" s="148">
        <v>0</v>
      </c>
      <c r="K38" s="148">
        <v>0</v>
      </c>
      <c r="L38" s="148">
        <v>0</v>
      </c>
      <c r="M38" s="148">
        <v>0</v>
      </c>
      <c r="N38" s="148">
        <v>0</v>
      </c>
      <c r="O38" s="148">
        <v>0</v>
      </c>
      <c r="P38" s="149">
        <v>0</v>
      </c>
      <c r="Q38" s="148">
        <v>0</v>
      </c>
      <c r="R38" s="149">
        <v>0</v>
      </c>
      <c r="S38" s="149">
        <v>0</v>
      </c>
      <c r="T38" s="149">
        <v>0</v>
      </c>
      <c r="U38" s="148">
        <v>1927</v>
      </c>
      <c r="V38" s="149">
        <v>0</v>
      </c>
      <c r="W38" s="149">
        <v>0</v>
      </c>
      <c r="X38" s="149">
        <v>0</v>
      </c>
      <c r="Y38" s="149">
        <v>119</v>
      </c>
    </row>
    <row r="39" spans="2:25" x14ac:dyDescent="0.2">
      <c r="B39" s="521" t="s">
        <v>536</v>
      </c>
      <c r="C39" s="148">
        <v>0</v>
      </c>
      <c r="D39" s="148">
        <v>0</v>
      </c>
      <c r="E39" s="148">
        <v>0</v>
      </c>
      <c r="F39" s="148">
        <v>0</v>
      </c>
      <c r="G39" s="148">
        <v>0</v>
      </c>
      <c r="H39" s="148">
        <v>0</v>
      </c>
      <c r="I39" s="148">
        <v>0</v>
      </c>
      <c r="J39" s="148">
        <v>0</v>
      </c>
      <c r="K39" s="148">
        <v>0</v>
      </c>
      <c r="L39" s="148">
        <v>0</v>
      </c>
      <c r="M39" s="148">
        <v>0</v>
      </c>
      <c r="N39" s="148">
        <v>0</v>
      </c>
      <c r="O39" s="148">
        <v>0</v>
      </c>
      <c r="P39" s="149">
        <v>0</v>
      </c>
      <c r="Q39" s="148">
        <v>0</v>
      </c>
      <c r="R39" s="149">
        <v>0</v>
      </c>
      <c r="S39" s="149">
        <v>0</v>
      </c>
      <c r="T39" s="149">
        <v>0</v>
      </c>
      <c r="U39" s="148">
        <v>0</v>
      </c>
      <c r="V39" s="149">
        <v>0</v>
      </c>
      <c r="W39" s="149">
        <v>0</v>
      </c>
      <c r="X39" s="149">
        <v>-54</v>
      </c>
      <c r="Y39" s="149">
        <v>0</v>
      </c>
    </row>
    <row r="40" spans="2:25" s="181" customFormat="1" ht="7.5" customHeight="1" x14ac:dyDescent="0.25">
      <c r="B40" s="510"/>
      <c r="C40" s="148"/>
      <c r="D40" s="148"/>
      <c r="E40" s="148"/>
      <c r="F40" s="148"/>
      <c r="G40" s="148"/>
      <c r="H40" s="148"/>
      <c r="I40" s="148"/>
      <c r="J40" s="512"/>
      <c r="K40" s="512"/>
      <c r="L40" s="512"/>
      <c r="M40" s="511"/>
      <c r="N40" s="512"/>
      <c r="O40" s="512"/>
      <c r="P40" s="512"/>
      <c r="Q40" s="511"/>
      <c r="R40" s="512"/>
      <c r="S40" s="512"/>
      <c r="T40" s="512"/>
      <c r="U40" s="511"/>
      <c r="V40" s="512"/>
      <c r="W40" s="512"/>
      <c r="X40" s="512"/>
      <c r="Y40" s="512"/>
    </row>
    <row r="41" spans="2:25" s="84" customFormat="1" ht="15.75" x14ac:dyDescent="0.25">
      <c r="B41" s="265" t="s">
        <v>537</v>
      </c>
      <c r="C41" s="267">
        <v>290</v>
      </c>
      <c r="D41" s="267">
        <v>-299</v>
      </c>
      <c r="E41" s="267">
        <v>-622</v>
      </c>
      <c r="F41" s="266">
        <v>-148</v>
      </c>
      <c r="G41" s="266">
        <v>-88</v>
      </c>
      <c r="H41" s="266">
        <v>-232</v>
      </c>
      <c r="I41" s="267">
        <v>-89</v>
      </c>
      <c r="J41" s="266">
        <v>-46</v>
      </c>
      <c r="K41" s="266">
        <v>269</v>
      </c>
      <c r="L41" s="266">
        <v>353</v>
      </c>
      <c r="M41" s="267">
        <v>1847</v>
      </c>
      <c r="N41" s="266">
        <v>272</v>
      </c>
      <c r="O41" s="266">
        <v>188</v>
      </c>
      <c r="P41" s="266">
        <v>1557</v>
      </c>
      <c r="Q41" s="267">
        <v>-27</v>
      </c>
      <c r="R41" s="266">
        <v>-96</v>
      </c>
      <c r="S41" s="266">
        <v>77</v>
      </c>
      <c r="T41" s="266">
        <v>22</v>
      </c>
      <c r="U41" s="267">
        <v>261</v>
      </c>
      <c r="V41" s="266">
        <v>-118</v>
      </c>
      <c r="W41" s="266">
        <v>-73</v>
      </c>
      <c r="X41" s="266">
        <v>-48</v>
      </c>
      <c r="Y41" s="266">
        <v>807</v>
      </c>
    </row>
    <row r="43" spans="2:25" s="84" customFormat="1" ht="15.75" x14ac:dyDescent="0.25">
      <c r="B43" s="265" t="s">
        <v>538</v>
      </c>
      <c r="C43" s="267">
        <v>-1981</v>
      </c>
      <c r="D43" s="267">
        <v>-5387</v>
      </c>
      <c r="E43" s="267">
        <v>-3632</v>
      </c>
      <c r="F43" s="267">
        <v>-371</v>
      </c>
      <c r="G43" s="267">
        <v>-340</v>
      </c>
      <c r="H43" s="522">
        <v>-454</v>
      </c>
      <c r="I43" s="522">
        <v>-337</v>
      </c>
      <c r="J43" s="267">
        <v>-363</v>
      </c>
      <c r="K43" s="267">
        <v>-65</v>
      </c>
      <c r="L43" s="267">
        <v>1143</v>
      </c>
      <c r="M43" s="267">
        <v>1536</v>
      </c>
      <c r="N43" s="267">
        <v>-99</v>
      </c>
      <c r="O43" s="267">
        <v>-18</v>
      </c>
      <c r="P43" s="267">
        <v>1235</v>
      </c>
      <c r="Q43" s="267">
        <v>-947</v>
      </c>
      <c r="R43" s="267">
        <v>-141</v>
      </c>
      <c r="S43" s="267">
        <v>-484</v>
      </c>
      <c r="T43" s="267">
        <v>-288</v>
      </c>
      <c r="U43" s="267">
        <v>1932</v>
      </c>
      <c r="V43" s="267">
        <v>-423</v>
      </c>
      <c r="W43" s="267">
        <v>-416</v>
      </c>
      <c r="X43" s="267">
        <v>-734</v>
      </c>
      <c r="Y43" s="267">
        <v>-236</v>
      </c>
    </row>
    <row r="46" spans="2:25" ht="18" x14ac:dyDescent="0.35">
      <c r="B46" s="523" t="s">
        <v>539</v>
      </c>
    </row>
    <row r="47" spans="2:25" ht="126" x14ac:dyDescent="0.2">
      <c r="B47" s="524" t="s">
        <v>540</v>
      </c>
    </row>
    <row r="48" spans="2:25" ht="15.75" x14ac:dyDescent="0.2">
      <c r="B48" s="524"/>
    </row>
    <row r="49" spans="2:2" ht="47.25" x14ac:dyDescent="0.2">
      <c r="B49" s="524" t="s">
        <v>541</v>
      </c>
    </row>
    <row r="50" spans="2:2" ht="15.75" x14ac:dyDescent="0.2">
      <c r="B50" s="524"/>
    </row>
    <row r="51" spans="2:2" ht="15.75" x14ac:dyDescent="0.2">
      <c r="B51" s="525" t="s">
        <v>542</v>
      </c>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5DE2-C85B-4055-BC97-49977F155687}">
  <sheetPr>
    <tabColor rgb="FFFFC000"/>
  </sheetPr>
  <dimension ref="A1:W37"/>
  <sheetViews>
    <sheetView showGridLines="0" zoomScale="70" zoomScaleNormal="70" workbookViewId="0">
      <pane xSplit="2" ySplit="5" topLeftCell="H6" activePane="bottomRight" state="frozen"/>
      <selection pane="topRight"/>
      <selection pane="bottomLeft"/>
      <selection pane="bottomRight"/>
    </sheetView>
  </sheetViews>
  <sheetFormatPr defaultColWidth="9.140625" defaultRowHeight="15" outlineLevelCol="1" x14ac:dyDescent="0.2"/>
  <cols>
    <col min="1" max="1" width="2" style="107" customWidth="1"/>
    <col min="2" max="2" width="77.140625" style="84" customWidth="1"/>
    <col min="3" max="3" width="10.7109375" style="47" customWidth="1" outlineLevel="1"/>
    <col min="4" max="6" width="10.7109375" style="46" customWidth="1" outlineLevel="1"/>
    <col min="7" max="7" width="10.7109375" style="47" customWidth="1" outlineLevel="1"/>
    <col min="8" max="10" width="10.7109375" style="46" customWidth="1" outlineLevel="1"/>
    <col min="11" max="11" width="10.7109375" style="47" customWidth="1" outlineLevel="1"/>
    <col min="12" max="14" width="10.7109375" style="46" customWidth="1" outlineLevel="1"/>
    <col min="15" max="15" width="10.7109375" style="47" customWidth="1" outlineLevel="1"/>
    <col min="16" max="18" width="10.7109375" style="46" customWidth="1" outlineLevel="1"/>
    <col min="19" max="19" width="10.7109375" style="47" customWidth="1" outlineLevel="1"/>
    <col min="20" max="21" width="10.7109375" style="46" customWidth="1"/>
    <col min="22" max="23" width="11.140625" style="46" bestFit="1" customWidth="1"/>
    <col min="24" max="16384" width="9.140625" style="107"/>
  </cols>
  <sheetData>
    <row r="1" spans="1:23" ht="41.25" customHeight="1" x14ac:dyDescent="0.2">
      <c r="A1" s="212"/>
      <c r="C1" s="43"/>
      <c r="D1" s="42"/>
      <c r="E1" s="42"/>
      <c r="F1" s="42"/>
      <c r="G1" s="43"/>
      <c r="H1" s="42"/>
      <c r="I1" s="42"/>
      <c r="J1" s="42"/>
      <c r="K1" s="43"/>
      <c r="L1" s="42"/>
      <c r="M1" s="42"/>
      <c r="N1" s="42"/>
      <c r="O1" s="43"/>
      <c r="P1" s="42"/>
      <c r="Q1" s="42"/>
      <c r="R1" s="42"/>
      <c r="S1" s="43"/>
      <c r="T1" s="42"/>
      <c r="U1" s="42"/>
      <c r="V1" s="42"/>
      <c r="W1" s="42"/>
    </row>
    <row r="2" spans="1:23" ht="18" x14ac:dyDescent="0.2">
      <c r="B2" s="235" t="s">
        <v>565</v>
      </c>
      <c r="C2" s="45"/>
      <c r="D2" s="176"/>
      <c r="E2" s="176"/>
      <c r="F2" s="176"/>
      <c r="G2" s="45"/>
      <c r="H2" s="176"/>
      <c r="I2" s="176"/>
      <c r="J2" s="176"/>
      <c r="K2" s="45"/>
      <c r="L2" s="176"/>
      <c r="M2" s="176"/>
      <c r="N2" s="176"/>
      <c r="O2" s="45"/>
      <c r="P2" s="176"/>
      <c r="Q2" s="176"/>
      <c r="R2" s="176"/>
      <c r="S2" s="45"/>
      <c r="T2" s="176"/>
      <c r="U2" s="176"/>
      <c r="V2" s="176"/>
      <c r="W2" s="176"/>
    </row>
    <row r="3" spans="1:23" x14ac:dyDescent="0.2">
      <c r="C3" s="263"/>
      <c r="D3" s="262"/>
      <c r="E3" s="262"/>
      <c r="F3" s="262"/>
      <c r="G3" s="263"/>
      <c r="H3" s="262"/>
      <c r="I3" s="262"/>
      <c r="J3" s="262"/>
      <c r="K3" s="263"/>
    </row>
    <row r="4" spans="1:23" ht="15.75" x14ac:dyDescent="0.2">
      <c r="B4" s="502"/>
      <c r="C4" s="49">
        <v>2016</v>
      </c>
      <c r="D4" s="526" t="s">
        <v>293</v>
      </c>
      <c r="E4" s="179" t="s">
        <v>294</v>
      </c>
      <c r="F4" s="179" t="s">
        <v>295</v>
      </c>
      <c r="G4" s="49" t="s">
        <v>277</v>
      </c>
      <c r="H4" s="526" t="s">
        <v>278</v>
      </c>
      <c r="I4" s="179" t="s">
        <v>279</v>
      </c>
      <c r="J4" s="179" t="s">
        <v>280</v>
      </c>
      <c r="K4" s="49" t="s">
        <v>281</v>
      </c>
      <c r="L4" s="179" t="s">
        <v>282</v>
      </c>
      <c r="M4" s="179" t="s">
        <v>283</v>
      </c>
      <c r="N4" s="179" t="s">
        <v>284</v>
      </c>
      <c r="O4" s="49" t="s">
        <v>285</v>
      </c>
      <c r="P4" s="179" t="s">
        <v>286</v>
      </c>
      <c r="Q4" s="179" t="s">
        <v>287</v>
      </c>
      <c r="R4" s="179" t="s">
        <v>288</v>
      </c>
      <c r="S4" s="49" t="s">
        <v>289</v>
      </c>
      <c r="T4" s="179" t="s">
        <v>290</v>
      </c>
      <c r="U4" s="179" t="s">
        <v>291</v>
      </c>
      <c r="V4" s="179" t="s">
        <v>292</v>
      </c>
      <c r="W4" s="179" t="s">
        <v>570</v>
      </c>
    </row>
    <row r="5" spans="1:23" ht="15.75" x14ac:dyDescent="0.25">
      <c r="B5" s="87"/>
      <c r="C5" s="527" t="s">
        <v>298</v>
      </c>
      <c r="D5" s="527" t="s">
        <v>65</v>
      </c>
      <c r="E5" s="527" t="s">
        <v>275</v>
      </c>
      <c r="F5" s="527" t="s">
        <v>276</v>
      </c>
      <c r="G5" s="528" t="s">
        <v>510</v>
      </c>
      <c r="H5" s="527" t="s">
        <v>65</v>
      </c>
      <c r="I5" s="527" t="s">
        <v>275</v>
      </c>
      <c r="J5" s="527" t="s">
        <v>276</v>
      </c>
      <c r="K5" s="528" t="s">
        <v>274</v>
      </c>
      <c r="L5" s="527" t="s">
        <v>65</v>
      </c>
      <c r="M5" s="527" t="s">
        <v>275</v>
      </c>
      <c r="N5" s="527" t="s">
        <v>276</v>
      </c>
      <c r="O5" s="528" t="s">
        <v>274</v>
      </c>
      <c r="P5" s="527" t="s">
        <v>65</v>
      </c>
      <c r="Q5" s="527" t="s">
        <v>275</v>
      </c>
      <c r="R5" s="527" t="s">
        <v>276</v>
      </c>
      <c r="S5" s="528" t="s">
        <v>274</v>
      </c>
      <c r="T5" s="527" t="s">
        <v>65</v>
      </c>
      <c r="U5" s="527" t="s">
        <v>275</v>
      </c>
      <c r="V5" s="527" t="s">
        <v>276</v>
      </c>
      <c r="W5" s="527" t="s">
        <v>274</v>
      </c>
    </row>
    <row r="6" spans="1:23" ht="8.25" customHeight="1" x14ac:dyDescent="0.2">
      <c r="C6" s="43"/>
      <c r="D6" s="42"/>
      <c r="E6" s="42"/>
      <c r="F6" s="42"/>
      <c r="G6" s="43"/>
      <c r="H6" s="42"/>
      <c r="I6" s="42"/>
      <c r="J6" s="42"/>
      <c r="K6" s="43"/>
      <c r="L6" s="42"/>
      <c r="M6" s="42"/>
      <c r="N6" s="42"/>
      <c r="O6" s="43"/>
      <c r="P6" s="42"/>
      <c r="Q6" s="42"/>
      <c r="R6" s="42"/>
      <c r="S6" s="43"/>
      <c r="T6" s="42"/>
      <c r="U6" s="42"/>
      <c r="V6" s="42"/>
      <c r="W6" s="42"/>
    </row>
    <row r="7" spans="1:23" s="504" customFormat="1" ht="18" x14ac:dyDescent="0.25">
      <c r="B7" s="492" t="s">
        <v>551</v>
      </c>
      <c r="C7" s="505"/>
      <c r="D7" s="506"/>
      <c r="E7" s="506"/>
      <c r="F7" s="506"/>
      <c r="G7" s="505"/>
      <c r="H7" s="506"/>
      <c r="I7" s="506"/>
      <c r="J7" s="506"/>
      <c r="K7" s="505"/>
      <c r="L7" s="506"/>
      <c r="M7" s="507"/>
      <c r="N7" s="507"/>
      <c r="O7" s="508"/>
      <c r="P7" s="507"/>
      <c r="Q7" s="507"/>
      <c r="R7" s="507"/>
      <c r="S7" s="508"/>
      <c r="T7" s="507"/>
      <c r="U7" s="509"/>
      <c r="V7" s="507"/>
      <c r="W7" s="507"/>
    </row>
    <row r="8" spans="1:23" s="181" customFormat="1" ht="7.5" customHeight="1" x14ac:dyDescent="0.25">
      <c r="B8" s="510"/>
      <c r="C8" s="511"/>
      <c r="D8" s="512"/>
      <c r="E8" s="512"/>
      <c r="F8" s="512"/>
      <c r="G8" s="511"/>
      <c r="H8" s="512"/>
      <c r="I8" s="512"/>
      <c r="J8" s="512"/>
      <c r="K8" s="511"/>
      <c r="L8" s="512"/>
      <c r="M8" s="512"/>
      <c r="N8" s="512"/>
      <c r="O8" s="511"/>
      <c r="P8" s="512"/>
      <c r="Q8" s="512"/>
      <c r="R8" s="512"/>
      <c r="S8" s="511"/>
      <c r="T8" s="512"/>
      <c r="U8" s="512"/>
      <c r="V8" s="512"/>
      <c r="W8" s="512"/>
    </row>
    <row r="9" spans="1:23" s="84" customFormat="1" ht="15.75" x14ac:dyDescent="0.25">
      <c r="B9" s="265" t="s">
        <v>552</v>
      </c>
      <c r="C9" s="267"/>
      <c r="D9" s="266"/>
      <c r="E9" s="266"/>
      <c r="F9" s="266"/>
      <c r="G9" s="267"/>
      <c r="H9" s="266"/>
      <c r="I9" s="266"/>
      <c r="J9" s="266"/>
      <c r="K9" s="267"/>
      <c r="L9" s="266"/>
      <c r="M9" s="266"/>
      <c r="N9" s="266"/>
      <c r="O9" s="267"/>
      <c r="P9" s="266"/>
      <c r="Q9" s="266"/>
      <c r="R9" s="266"/>
      <c r="S9" s="267"/>
      <c r="T9" s="266"/>
      <c r="U9" s="266"/>
      <c r="V9" s="266"/>
      <c r="W9" s="266"/>
    </row>
    <row r="10" spans="1:23" s="84" customFormat="1" ht="15.75" x14ac:dyDescent="0.25">
      <c r="B10" s="93"/>
      <c r="C10" s="529"/>
      <c r="D10" s="530"/>
      <c r="E10" s="530"/>
      <c r="F10" s="530"/>
      <c r="G10" s="529"/>
      <c r="H10" s="530"/>
      <c r="I10" s="530"/>
      <c r="J10" s="530"/>
      <c r="K10" s="529"/>
      <c r="L10" s="530"/>
      <c r="M10" s="530"/>
      <c r="N10" s="530"/>
      <c r="O10" s="529"/>
      <c r="P10" s="530"/>
      <c r="Q10" s="530"/>
      <c r="R10" s="530"/>
      <c r="S10" s="529"/>
      <c r="T10" s="530"/>
      <c r="U10" s="530"/>
      <c r="V10" s="530"/>
      <c r="W10" s="530"/>
    </row>
    <row r="11" spans="1:23" s="84" customFormat="1" x14ac:dyDescent="0.2">
      <c r="B11" s="513" t="s">
        <v>487</v>
      </c>
      <c r="C11" s="148">
        <v>-315</v>
      </c>
      <c r="D11" s="149">
        <v>156</v>
      </c>
      <c r="E11" s="149">
        <v>70</v>
      </c>
      <c r="F11" s="149">
        <v>394</v>
      </c>
      <c r="G11" s="148">
        <v>531</v>
      </c>
      <c r="H11" s="149">
        <v>247</v>
      </c>
      <c r="I11" s="149">
        <v>263</v>
      </c>
      <c r="J11" s="149">
        <v>1078</v>
      </c>
      <c r="K11" s="148">
        <v>1605</v>
      </c>
      <c r="L11" s="149">
        <v>477</v>
      </c>
      <c r="M11" s="149">
        <v>302</v>
      </c>
      <c r="N11" s="149">
        <v>1336</v>
      </c>
      <c r="O11" s="148">
        <v>96</v>
      </c>
      <c r="P11" s="149">
        <v>234</v>
      </c>
      <c r="Q11" s="149">
        <v>188</v>
      </c>
      <c r="R11" s="149">
        <v>335</v>
      </c>
      <c r="S11" s="148">
        <v>3148</v>
      </c>
      <c r="T11" s="149">
        <v>492</v>
      </c>
      <c r="U11" s="531">
        <v>382</v>
      </c>
      <c r="V11" s="149">
        <v>598</v>
      </c>
      <c r="W11" s="149">
        <v>1025</v>
      </c>
    </row>
    <row r="12" spans="1:23" s="84" customFormat="1" x14ac:dyDescent="0.2">
      <c r="B12" s="513" t="s">
        <v>553</v>
      </c>
      <c r="C12" s="148">
        <v>622</v>
      </c>
      <c r="D12" s="149">
        <v>148</v>
      </c>
      <c r="E12" s="149">
        <v>88</v>
      </c>
      <c r="F12" s="149">
        <v>232</v>
      </c>
      <c r="G12" s="148">
        <v>89</v>
      </c>
      <c r="H12" s="149">
        <v>46</v>
      </c>
      <c r="I12" s="149">
        <v>-269</v>
      </c>
      <c r="J12" s="149">
        <v>-353</v>
      </c>
      <c r="K12" s="148">
        <v>-1847</v>
      </c>
      <c r="L12" s="149">
        <v>-272</v>
      </c>
      <c r="M12" s="149">
        <v>-212</v>
      </c>
      <c r="N12" s="149">
        <v>-1557</v>
      </c>
      <c r="O12" s="148">
        <v>27</v>
      </c>
      <c r="P12" s="149">
        <v>96</v>
      </c>
      <c r="Q12" s="149">
        <v>-77</v>
      </c>
      <c r="R12" s="149">
        <v>-22</v>
      </c>
      <c r="S12" s="148">
        <v>-261</v>
      </c>
      <c r="T12" s="149">
        <v>118</v>
      </c>
      <c r="U12" s="531">
        <v>73</v>
      </c>
      <c r="V12" s="149">
        <v>48</v>
      </c>
      <c r="W12" s="149">
        <v>-807</v>
      </c>
    </row>
    <row r="13" spans="1:23" s="84" customFormat="1" x14ac:dyDescent="0.2">
      <c r="B13" s="513" t="s">
        <v>96</v>
      </c>
      <c r="C13" s="148">
        <v>-322</v>
      </c>
      <c r="D13" s="149">
        <v>120</v>
      </c>
      <c r="E13" s="149">
        <v>71</v>
      </c>
      <c r="F13" s="149">
        <v>207</v>
      </c>
      <c r="G13" s="148">
        <v>15</v>
      </c>
      <c r="H13" s="149">
        <v>163</v>
      </c>
      <c r="I13" s="149">
        <v>180</v>
      </c>
      <c r="J13" s="149">
        <v>696</v>
      </c>
      <c r="K13" s="148">
        <v>577</v>
      </c>
      <c r="L13" s="149">
        <v>284</v>
      </c>
      <c r="M13" s="149">
        <v>186</v>
      </c>
      <c r="N13" s="149">
        <v>718</v>
      </c>
      <c r="O13" s="148">
        <v>-96</v>
      </c>
      <c r="P13" s="149">
        <v>170</v>
      </c>
      <c r="Q13" s="149">
        <v>144</v>
      </c>
      <c r="R13" s="149">
        <v>211</v>
      </c>
      <c r="S13" s="148">
        <v>400</v>
      </c>
      <c r="T13" s="149">
        <v>267</v>
      </c>
      <c r="U13" s="531">
        <v>220</v>
      </c>
      <c r="V13" s="149">
        <v>-147</v>
      </c>
      <c r="W13" s="149">
        <v>337</v>
      </c>
    </row>
    <row r="14" spans="1:23" s="84" customFormat="1" x14ac:dyDescent="0.2">
      <c r="B14" s="513" t="s">
        <v>120</v>
      </c>
      <c r="C14" s="148">
        <v>454</v>
      </c>
      <c r="D14" s="149">
        <v>112</v>
      </c>
      <c r="E14" s="149">
        <v>115</v>
      </c>
      <c r="F14" s="149">
        <v>117</v>
      </c>
      <c r="G14" s="148">
        <v>109</v>
      </c>
      <c r="H14" s="149">
        <v>106</v>
      </c>
      <c r="I14" s="149">
        <v>107</v>
      </c>
      <c r="J14" s="149">
        <v>102</v>
      </c>
      <c r="K14" s="148">
        <v>102</v>
      </c>
      <c r="L14" s="149">
        <v>128</v>
      </c>
      <c r="M14" s="149">
        <v>127</v>
      </c>
      <c r="N14" s="149">
        <v>127</v>
      </c>
      <c r="O14" s="148">
        <v>146</v>
      </c>
      <c r="P14" s="149">
        <v>135</v>
      </c>
      <c r="Q14" s="149">
        <v>136</v>
      </c>
      <c r="R14" s="149">
        <v>132</v>
      </c>
      <c r="S14" s="148">
        <v>134</v>
      </c>
      <c r="T14" s="149">
        <v>139</v>
      </c>
      <c r="U14" s="531">
        <v>140</v>
      </c>
      <c r="V14" s="149">
        <v>144</v>
      </c>
      <c r="W14" s="149">
        <v>136</v>
      </c>
    </row>
    <row r="15" spans="1:23" s="181" customFormat="1" ht="7.5" customHeight="1" x14ac:dyDescent="0.25">
      <c r="B15" s="510"/>
      <c r="C15" s="511"/>
      <c r="D15" s="512"/>
      <c r="E15" s="512"/>
      <c r="F15" s="512"/>
      <c r="G15" s="511"/>
      <c r="H15" s="512"/>
      <c r="I15" s="512"/>
      <c r="J15" s="512"/>
      <c r="K15" s="511"/>
      <c r="L15" s="512"/>
      <c r="M15" s="512"/>
      <c r="N15" s="512"/>
      <c r="O15" s="511"/>
      <c r="P15" s="512"/>
      <c r="Q15" s="512"/>
      <c r="R15" s="512"/>
      <c r="S15" s="511"/>
      <c r="T15" s="512"/>
      <c r="U15" s="512"/>
      <c r="V15" s="512"/>
      <c r="W15" s="512"/>
    </row>
    <row r="16" spans="1:23" s="84" customFormat="1" ht="15.75" x14ac:dyDescent="0.25">
      <c r="B16" s="265" t="s">
        <v>554</v>
      </c>
      <c r="C16" s="266">
        <f t="shared" ref="C16:U16" si="0">SUM(C11:C14)</f>
        <v>439</v>
      </c>
      <c r="D16" s="266">
        <f t="shared" si="0"/>
        <v>536</v>
      </c>
      <c r="E16" s="266">
        <f t="shared" si="0"/>
        <v>344</v>
      </c>
      <c r="F16" s="266">
        <f t="shared" si="0"/>
        <v>950</v>
      </c>
      <c r="G16" s="266">
        <f t="shared" si="0"/>
        <v>744</v>
      </c>
      <c r="H16" s="266">
        <f t="shared" si="0"/>
        <v>562</v>
      </c>
      <c r="I16" s="266">
        <f t="shared" si="0"/>
        <v>281</v>
      </c>
      <c r="J16" s="266">
        <f t="shared" si="0"/>
        <v>1523</v>
      </c>
      <c r="K16" s="266">
        <f t="shared" si="0"/>
        <v>437</v>
      </c>
      <c r="L16" s="266">
        <f t="shared" si="0"/>
        <v>617</v>
      </c>
      <c r="M16" s="266">
        <f t="shared" si="0"/>
        <v>403</v>
      </c>
      <c r="N16" s="266">
        <f t="shared" si="0"/>
        <v>624</v>
      </c>
      <c r="O16" s="266">
        <f t="shared" si="0"/>
        <v>173</v>
      </c>
      <c r="P16" s="266">
        <f t="shared" si="0"/>
        <v>635</v>
      </c>
      <c r="Q16" s="266">
        <f t="shared" si="0"/>
        <v>391</v>
      </c>
      <c r="R16" s="266">
        <f t="shared" si="0"/>
        <v>656</v>
      </c>
      <c r="S16" s="266">
        <f t="shared" si="0"/>
        <v>3421</v>
      </c>
      <c r="T16" s="266">
        <f t="shared" si="0"/>
        <v>1016</v>
      </c>
      <c r="U16" s="266">
        <f t="shared" si="0"/>
        <v>815</v>
      </c>
      <c r="V16" s="266">
        <f>SUM(V11:V14)</f>
        <v>643</v>
      </c>
      <c r="W16" s="266">
        <f>SUM(W11:W14)</f>
        <v>691</v>
      </c>
    </row>
    <row r="17" spans="2:23" s="84" customFormat="1" ht="15.75" x14ac:dyDescent="0.25">
      <c r="B17" s="93"/>
      <c r="C17" s="529"/>
      <c r="D17" s="530"/>
      <c r="E17" s="530"/>
      <c r="F17" s="530"/>
      <c r="G17" s="529"/>
      <c r="H17" s="530"/>
      <c r="I17" s="530"/>
      <c r="J17" s="530"/>
      <c r="K17" s="529"/>
      <c r="L17" s="530"/>
      <c r="M17" s="530"/>
      <c r="N17" s="530"/>
      <c r="O17" s="529"/>
      <c r="P17" s="530"/>
      <c r="Q17" s="530"/>
      <c r="R17" s="530"/>
      <c r="S17" s="529"/>
      <c r="T17" s="530"/>
      <c r="U17" s="530"/>
      <c r="V17" s="530"/>
      <c r="W17" s="530"/>
    </row>
    <row r="18" spans="2:23" s="84" customFormat="1" ht="30" customHeight="1" x14ac:dyDescent="0.2">
      <c r="B18" s="517" t="s">
        <v>555</v>
      </c>
      <c r="C18" s="535">
        <v>411</v>
      </c>
      <c r="D18" s="536">
        <v>-88</v>
      </c>
      <c r="E18" s="536">
        <v>-28</v>
      </c>
      <c r="F18" s="536">
        <v>-29</v>
      </c>
      <c r="G18" s="535">
        <v>-10</v>
      </c>
      <c r="H18" s="536">
        <v>-19</v>
      </c>
      <c r="I18" s="536">
        <v>0</v>
      </c>
      <c r="J18" s="536">
        <v>-5</v>
      </c>
      <c r="K18" s="535">
        <v>-96</v>
      </c>
      <c r="L18" s="536">
        <v>-7</v>
      </c>
      <c r="M18" s="536">
        <v>-4</v>
      </c>
      <c r="N18" s="536">
        <v>-1</v>
      </c>
      <c r="O18" s="535">
        <v>0</v>
      </c>
      <c r="P18" s="536">
        <v>0</v>
      </c>
      <c r="Q18" s="536">
        <v>-1</v>
      </c>
      <c r="R18" s="536">
        <v>0</v>
      </c>
      <c r="S18" s="535">
        <v>0</v>
      </c>
      <c r="T18" s="536">
        <v>-1</v>
      </c>
      <c r="U18" s="536">
        <v>-1</v>
      </c>
      <c r="V18" s="536">
        <v>2</v>
      </c>
      <c r="W18" s="536">
        <v>0</v>
      </c>
    </row>
    <row r="19" spans="2:23" s="84" customFormat="1" x14ac:dyDescent="0.2">
      <c r="B19" s="514" t="s">
        <v>556</v>
      </c>
      <c r="C19" s="148">
        <v>1079</v>
      </c>
      <c r="D19" s="149">
        <v>80</v>
      </c>
      <c r="E19" s="149">
        <v>101</v>
      </c>
      <c r="F19" s="149">
        <v>-77</v>
      </c>
      <c r="G19" s="148">
        <v>15</v>
      </c>
      <c r="H19" s="149">
        <v>78</v>
      </c>
      <c r="I19" s="149">
        <v>89</v>
      </c>
      <c r="J19" s="149">
        <v>-1210</v>
      </c>
      <c r="K19" s="148">
        <v>52</v>
      </c>
      <c r="L19" s="149">
        <v>55</v>
      </c>
      <c r="M19" s="149">
        <v>31</v>
      </c>
      <c r="N19" s="149">
        <v>9</v>
      </c>
      <c r="O19" s="148">
        <v>14</v>
      </c>
      <c r="P19" s="149">
        <v>26</v>
      </c>
      <c r="Q19" s="149">
        <v>-68</v>
      </c>
      <c r="R19" s="149">
        <v>16</v>
      </c>
      <c r="S19" s="148">
        <v>-23</v>
      </c>
      <c r="T19" s="149">
        <v>32</v>
      </c>
      <c r="U19" s="149">
        <v>-54</v>
      </c>
      <c r="V19" s="149">
        <v>44</v>
      </c>
      <c r="W19" s="149">
        <v>904</v>
      </c>
    </row>
    <row r="20" spans="2:23" s="84" customFormat="1" x14ac:dyDescent="0.2">
      <c r="B20" s="517" t="s">
        <v>557</v>
      </c>
      <c r="C20" s="148">
        <v>542</v>
      </c>
      <c r="D20" s="149">
        <v>125</v>
      </c>
      <c r="E20" s="149">
        <v>140</v>
      </c>
      <c r="F20" s="149">
        <v>153</v>
      </c>
      <c r="G20" s="148">
        <v>127</v>
      </c>
      <c r="H20" s="149">
        <v>121</v>
      </c>
      <c r="I20" s="149">
        <v>136</v>
      </c>
      <c r="J20" s="149">
        <v>131</v>
      </c>
      <c r="K20" s="148">
        <v>134</v>
      </c>
      <c r="L20" s="149">
        <v>124</v>
      </c>
      <c r="M20" s="149">
        <v>115</v>
      </c>
      <c r="N20" s="149">
        <v>135</v>
      </c>
      <c r="O20" s="148">
        <v>139</v>
      </c>
      <c r="P20" s="149">
        <v>150</v>
      </c>
      <c r="Q20" s="149">
        <v>157</v>
      </c>
      <c r="R20" s="149">
        <v>148</v>
      </c>
      <c r="S20" s="148">
        <v>183</v>
      </c>
      <c r="T20" s="149">
        <v>193</v>
      </c>
      <c r="U20" s="149">
        <v>240</v>
      </c>
      <c r="V20" s="149">
        <v>188</v>
      </c>
      <c r="W20" s="149">
        <v>184</v>
      </c>
    </row>
    <row r="21" spans="2:23" s="84" customFormat="1" x14ac:dyDescent="0.2">
      <c r="B21" s="517" t="s">
        <v>529</v>
      </c>
      <c r="C21" s="148">
        <v>434</v>
      </c>
      <c r="D21" s="149">
        <v>-21</v>
      </c>
      <c r="E21" s="149">
        <v>-93</v>
      </c>
      <c r="F21" s="149">
        <v>-29</v>
      </c>
      <c r="G21" s="148">
        <v>-1</v>
      </c>
      <c r="H21" s="149">
        <v>22</v>
      </c>
      <c r="I21" s="149">
        <v>-6</v>
      </c>
      <c r="J21" s="149">
        <v>0</v>
      </c>
      <c r="K21" s="148">
        <v>76</v>
      </c>
      <c r="L21" s="149">
        <v>-3</v>
      </c>
      <c r="M21" s="149">
        <v>-13</v>
      </c>
      <c r="N21" s="149">
        <v>-3</v>
      </c>
      <c r="O21" s="148">
        <v>330</v>
      </c>
      <c r="P21" s="149">
        <v>-3</v>
      </c>
      <c r="Q21" s="149">
        <v>1</v>
      </c>
      <c r="R21" s="149">
        <v>0</v>
      </c>
      <c r="S21" s="148">
        <v>0</v>
      </c>
      <c r="T21" s="149">
        <v>0</v>
      </c>
      <c r="U21" s="149">
        <v>0</v>
      </c>
      <c r="V21" s="149">
        <v>0</v>
      </c>
      <c r="W21" s="149">
        <v>0</v>
      </c>
    </row>
    <row r="22" spans="2:23" s="84" customFormat="1" x14ac:dyDescent="0.2">
      <c r="B22" s="517" t="s">
        <v>518</v>
      </c>
      <c r="C22" s="148">
        <v>0</v>
      </c>
      <c r="D22" s="149">
        <v>0</v>
      </c>
      <c r="E22" s="149">
        <v>0</v>
      </c>
      <c r="F22" s="149">
        <v>0</v>
      </c>
      <c r="G22" s="148">
        <v>0</v>
      </c>
      <c r="H22" s="149">
        <v>0</v>
      </c>
      <c r="I22" s="149">
        <v>0</v>
      </c>
      <c r="J22" s="149">
        <v>0</v>
      </c>
      <c r="K22" s="149">
        <v>0</v>
      </c>
      <c r="L22" s="149">
        <v>0</v>
      </c>
      <c r="M22" s="149">
        <v>0</v>
      </c>
      <c r="N22" s="149">
        <v>0</v>
      </c>
      <c r="O22" s="148">
        <v>0</v>
      </c>
      <c r="P22" s="149">
        <v>0</v>
      </c>
      <c r="Q22" s="149">
        <v>0</v>
      </c>
      <c r="R22" s="149">
        <v>0</v>
      </c>
      <c r="S22" s="148">
        <v>-2132</v>
      </c>
      <c r="T22" s="149">
        <v>0</v>
      </c>
      <c r="U22" s="149">
        <v>0</v>
      </c>
      <c r="V22" s="149">
        <v>0</v>
      </c>
      <c r="W22" s="149">
        <v>-180</v>
      </c>
    </row>
    <row r="23" spans="2:23" s="84" customFormat="1" x14ac:dyDescent="0.2">
      <c r="B23" s="517" t="s">
        <v>558</v>
      </c>
      <c r="C23" s="148">
        <v>0</v>
      </c>
      <c r="D23" s="149">
        <v>0</v>
      </c>
      <c r="E23" s="149">
        <v>0</v>
      </c>
      <c r="F23" s="149">
        <v>77</v>
      </c>
      <c r="G23" s="148">
        <v>0</v>
      </c>
      <c r="H23" s="149">
        <v>2</v>
      </c>
      <c r="I23" s="149">
        <v>0</v>
      </c>
      <c r="J23" s="149">
        <v>187</v>
      </c>
      <c r="K23" s="148">
        <v>4</v>
      </c>
      <c r="L23" s="149">
        <v>0</v>
      </c>
      <c r="M23" s="149">
        <v>0</v>
      </c>
      <c r="N23" s="149">
        <v>0</v>
      </c>
      <c r="O23" s="148">
        <v>173</v>
      </c>
      <c r="P23" s="149">
        <v>0</v>
      </c>
      <c r="Q23" s="149">
        <v>0</v>
      </c>
      <c r="R23" s="149">
        <v>0</v>
      </c>
      <c r="S23" s="148">
        <v>0</v>
      </c>
      <c r="T23" s="149">
        <v>0</v>
      </c>
      <c r="U23" s="149">
        <v>0</v>
      </c>
      <c r="V23" s="149">
        <v>0</v>
      </c>
      <c r="W23" s="149">
        <v>0</v>
      </c>
    </row>
    <row r="24" spans="2:23" s="84" customFormat="1" ht="18" customHeight="1" x14ac:dyDescent="0.2">
      <c r="B24" s="517" t="s">
        <v>532</v>
      </c>
      <c r="C24" s="148">
        <v>0</v>
      </c>
      <c r="D24" s="149">
        <v>0</v>
      </c>
      <c r="E24" s="149">
        <v>0</v>
      </c>
      <c r="F24" s="148">
        <v>0</v>
      </c>
      <c r="G24" s="148">
        <v>0</v>
      </c>
      <c r="H24" s="149">
        <v>0</v>
      </c>
      <c r="I24" s="149">
        <v>0</v>
      </c>
      <c r="J24" s="149">
        <v>0</v>
      </c>
      <c r="K24" s="149">
        <v>0</v>
      </c>
      <c r="L24" s="149">
        <v>0</v>
      </c>
      <c r="M24" s="149">
        <v>0</v>
      </c>
      <c r="N24" s="149">
        <v>0</v>
      </c>
      <c r="O24" s="148">
        <v>55</v>
      </c>
      <c r="P24" s="149">
        <v>9</v>
      </c>
      <c r="Q24" s="149">
        <v>12</v>
      </c>
      <c r="R24" s="149">
        <v>12</v>
      </c>
      <c r="S24" s="148">
        <v>30</v>
      </c>
      <c r="T24" s="149">
        <v>0</v>
      </c>
      <c r="U24" s="149">
        <v>0</v>
      </c>
      <c r="V24" s="149">
        <v>-8</v>
      </c>
      <c r="W24" s="149">
        <v>0</v>
      </c>
    </row>
    <row r="25" spans="2:23" s="84" customFormat="1" ht="18" customHeight="1" x14ac:dyDescent="0.2">
      <c r="B25" s="517" t="s">
        <v>522</v>
      </c>
      <c r="C25" s="148">
        <v>0</v>
      </c>
      <c r="D25" s="149">
        <v>0</v>
      </c>
      <c r="E25" s="149">
        <v>0</v>
      </c>
      <c r="F25" s="148">
        <v>0</v>
      </c>
      <c r="G25" s="148">
        <v>0</v>
      </c>
      <c r="H25" s="149">
        <v>0</v>
      </c>
      <c r="I25" s="149">
        <v>0</v>
      </c>
      <c r="J25" s="149">
        <v>0</v>
      </c>
      <c r="K25" s="149">
        <v>0</v>
      </c>
      <c r="L25" s="149">
        <v>0</v>
      </c>
      <c r="M25" s="149">
        <v>0</v>
      </c>
      <c r="N25" s="149">
        <v>0</v>
      </c>
      <c r="O25" s="148">
        <v>11</v>
      </c>
      <c r="P25" s="149">
        <v>0</v>
      </c>
      <c r="Q25" s="149">
        <v>0</v>
      </c>
      <c r="R25" s="149">
        <v>0</v>
      </c>
      <c r="S25" s="148">
        <v>0</v>
      </c>
      <c r="T25" s="149">
        <v>0</v>
      </c>
      <c r="U25" s="149">
        <v>0</v>
      </c>
      <c r="V25" s="149">
        <v>0</v>
      </c>
      <c r="W25" s="149">
        <v>0</v>
      </c>
    </row>
    <row r="26" spans="2:23" s="84" customFormat="1" x14ac:dyDescent="0.2">
      <c r="B26" s="517" t="s">
        <v>559</v>
      </c>
      <c r="C26" s="148">
        <v>6</v>
      </c>
      <c r="D26" s="149">
        <v>0</v>
      </c>
      <c r="E26" s="149">
        <v>3</v>
      </c>
      <c r="F26" s="148">
        <v>0</v>
      </c>
      <c r="G26" s="148">
        <v>0</v>
      </c>
      <c r="H26" s="149">
        <v>0</v>
      </c>
      <c r="I26" s="149">
        <v>0</v>
      </c>
      <c r="J26" s="149">
        <v>0</v>
      </c>
      <c r="K26" s="149">
        <v>0</v>
      </c>
      <c r="L26" s="149">
        <v>0</v>
      </c>
      <c r="M26" s="149">
        <v>0</v>
      </c>
      <c r="N26" s="149">
        <v>0</v>
      </c>
      <c r="O26" s="148">
        <v>4</v>
      </c>
      <c r="P26" s="149">
        <v>11</v>
      </c>
      <c r="Q26" s="149">
        <v>0</v>
      </c>
      <c r="R26" s="149">
        <v>0</v>
      </c>
      <c r="S26" s="148">
        <v>9</v>
      </c>
      <c r="T26" s="149">
        <v>41</v>
      </c>
      <c r="U26" s="149">
        <v>21</v>
      </c>
      <c r="V26" s="149">
        <v>223</v>
      </c>
      <c r="W26" s="149">
        <v>3</v>
      </c>
    </row>
    <row r="27" spans="2:23" s="84" customFormat="1" x14ac:dyDescent="0.2">
      <c r="B27" s="517" t="s">
        <v>533</v>
      </c>
      <c r="C27" s="148">
        <v>0</v>
      </c>
      <c r="D27" s="149">
        <v>0</v>
      </c>
      <c r="E27" s="149">
        <v>0</v>
      </c>
      <c r="F27" s="148">
        <v>0</v>
      </c>
      <c r="G27" s="148">
        <v>0</v>
      </c>
      <c r="H27" s="149">
        <v>0</v>
      </c>
      <c r="I27" s="149">
        <v>0</v>
      </c>
      <c r="J27" s="149">
        <v>0</v>
      </c>
      <c r="K27" s="149">
        <v>0</v>
      </c>
      <c r="L27" s="149">
        <v>64</v>
      </c>
      <c r="M27" s="149">
        <v>0</v>
      </c>
      <c r="N27" s="149">
        <v>26</v>
      </c>
      <c r="O27" s="148">
        <v>36</v>
      </c>
      <c r="P27" s="149">
        <v>-292</v>
      </c>
      <c r="Q27" s="149">
        <v>308</v>
      </c>
      <c r="R27" s="149">
        <v>-75</v>
      </c>
      <c r="S27" s="148">
        <v>109</v>
      </c>
      <c r="T27" s="149">
        <v>-61</v>
      </c>
      <c r="U27" s="149">
        <v>-5</v>
      </c>
      <c r="V27" s="149">
        <v>33</v>
      </c>
      <c r="W27" s="149">
        <v>-23</v>
      </c>
    </row>
    <row r="28" spans="2:23" s="84" customFormat="1" x14ac:dyDescent="0.2">
      <c r="B28" s="517" t="s">
        <v>256</v>
      </c>
      <c r="C28" s="148">
        <v>0</v>
      </c>
      <c r="D28" s="149">
        <v>0</v>
      </c>
      <c r="E28" s="149">
        <v>0</v>
      </c>
      <c r="F28" s="148">
        <v>0</v>
      </c>
      <c r="G28" s="148">
        <v>0</v>
      </c>
      <c r="H28" s="149">
        <v>0</v>
      </c>
      <c r="I28" s="149">
        <v>0</v>
      </c>
      <c r="J28" s="149">
        <v>0</v>
      </c>
      <c r="K28" s="149">
        <v>0</v>
      </c>
      <c r="L28" s="148">
        <v>0</v>
      </c>
      <c r="M28" s="149">
        <v>0</v>
      </c>
      <c r="N28" s="148">
        <v>0</v>
      </c>
      <c r="O28" s="148">
        <v>0</v>
      </c>
      <c r="P28" s="148">
        <v>0</v>
      </c>
      <c r="Q28" s="148">
        <v>0</v>
      </c>
      <c r="R28" s="149">
        <v>-117</v>
      </c>
      <c r="S28" s="148">
        <v>0</v>
      </c>
      <c r="T28" s="149">
        <v>0</v>
      </c>
      <c r="U28" s="149">
        <v>0</v>
      </c>
      <c r="V28" s="149">
        <v>0</v>
      </c>
      <c r="W28" s="149">
        <v>0</v>
      </c>
    </row>
    <row r="29" spans="2:23" s="84" customFormat="1" x14ac:dyDescent="0.2">
      <c r="B29" s="517" t="s">
        <v>535</v>
      </c>
      <c r="C29" s="148">
        <v>0</v>
      </c>
      <c r="D29" s="149">
        <v>0</v>
      </c>
      <c r="E29" s="149">
        <v>0</v>
      </c>
      <c r="F29" s="148">
        <v>0</v>
      </c>
      <c r="G29" s="148">
        <v>0</v>
      </c>
      <c r="H29" s="149">
        <v>0</v>
      </c>
      <c r="I29" s="149">
        <v>0</v>
      </c>
      <c r="J29" s="149">
        <v>0</v>
      </c>
      <c r="K29" s="149">
        <v>0</v>
      </c>
      <c r="L29" s="148">
        <v>0</v>
      </c>
      <c r="M29" s="149">
        <v>0</v>
      </c>
      <c r="N29" s="148">
        <v>0</v>
      </c>
      <c r="O29" s="148">
        <v>0</v>
      </c>
      <c r="P29" s="148">
        <v>0</v>
      </c>
      <c r="Q29" s="148">
        <v>0</v>
      </c>
      <c r="R29" s="149">
        <v>152</v>
      </c>
      <c r="S29" s="148">
        <v>0</v>
      </c>
      <c r="T29" s="149">
        <v>0</v>
      </c>
      <c r="U29" s="149">
        <v>0</v>
      </c>
      <c r="V29" s="149">
        <v>0</v>
      </c>
      <c r="W29" s="149">
        <v>0</v>
      </c>
    </row>
    <row r="30" spans="2:23" s="84" customFormat="1" x14ac:dyDescent="0.2">
      <c r="B30" s="517" t="s">
        <v>534</v>
      </c>
      <c r="C30" s="148">
        <v>0</v>
      </c>
      <c r="D30" s="149">
        <v>0</v>
      </c>
      <c r="E30" s="149">
        <v>0</v>
      </c>
      <c r="F30" s="148">
        <v>0</v>
      </c>
      <c r="G30" s="148">
        <v>0</v>
      </c>
      <c r="H30" s="149">
        <v>0</v>
      </c>
      <c r="I30" s="149">
        <v>0</v>
      </c>
      <c r="J30" s="149">
        <v>0</v>
      </c>
      <c r="K30" s="149">
        <v>0</v>
      </c>
      <c r="L30" s="148">
        <v>0</v>
      </c>
      <c r="M30" s="149">
        <v>0</v>
      </c>
      <c r="N30" s="148">
        <v>0</v>
      </c>
      <c r="O30" s="148">
        <v>0</v>
      </c>
      <c r="P30" s="148">
        <v>0</v>
      </c>
      <c r="Q30" s="148">
        <v>0</v>
      </c>
      <c r="R30" s="149">
        <v>0</v>
      </c>
      <c r="S30" s="148">
        <v>0</v>
      </c>
      <c r="T30" s="149">
        <v>-44</v>
      </c>
      <c r="U30" s="149">
        <v>-2</v>
      </c>
      <c r="V30" s="149">
        <v>0</v>
      </c>
      <c r="W30" s="149">
        <v>0</v>
      </c>
    </row>
    <row r="31" spans="2:23" s="84" customFormat="1" x14ac:dyDescent="0.2">
      <c r="B31" s="517" t="s">
        <v>560</v>
      </c>
      <c r="C31" s="148">
        <v>0</v>
      </c>
      <c r="D31" s="149">
        <v>0</v>
      </c>
      <c r="E31" s="149">
        <v>0</v>
      </c>
      <c r="F31" s="148">
        <v>0</v>
      </c>
      <c r="G31" s="148">
        <v>0</v>
      </c>
      <c r="H31" s="149">
        <v>0</v>
      </c>
      <c r="I31" s="149">
        <v>0</v>
      </c>
      <c r="J31" s="149">
        <v>0</v>
      </c>
      <c r="K31" s="149">
        <v>0</v>
      </c>
      <c r="L31" s="148">
        <v>0</v>
      </c>
      <c r="M31" s="149">
        <v>0</v>
      </c>
      <c r="N31" s="148">
        <v>0</v>
      </c>
      <c r="O31" s="148">
        <v>0</v>
      </c>
      <c r="P31" s="148">
        <v>0</v>
      </c>
      <c r="Q31" s="148">
        <v>0</v>
      </c>
      <c r="R31" s="149">
        <v>0</v>
      </c>
      <c r="S31" s="148">
        <v>0</v>
      </c>
      <c r="T31" s="149">
        <v>0</v>
      </c>
      <c r="U31" s="149">
        <v>0</v>
      </c>
      <c r="V31" s="149">
        <v>54</v>
      </c>
      <c r="W31" s="149">
        <v>0</v>
      </c>
    </row>
    <row r="32" spans="2:23" s="84" customFormat="1" x14ac:dyDescent="0.2">
      <c r="B32" s="517" t="s">
        <v>561</v>
      </c>
      <c r="C32" s="148">
        <v>84</v>
      </c>
      <c r="D32" s="149">
        <v>15</v>
      </c>
      <c r="E32" s="149">
        <v>14</v>
      </c>
      <c r="F32" s="149">
        <v>11</v>
      </c>
      <c r="G32" s="148">
        <v>8</v>
      </c>
      <c r="H32" s="149">
        <v>7</v>
      </c>
      <c r="I32" s="149">
        <v>8</v>
      </c>
      <c r="J32" s="149">
        <v>5</v>
      </c>
      <c r="K32" s="148">
        <v>39</v>
      </c>
      <c r="L32" s="149">
        <v>10</v>
      </c>
      <c r="M32" s="149">
        <v>9</v>
      </c>
      <c r="N32" s="149">
        <v>29</v>
      </c>
      <c r="O32" s="148">
        <v>12</v>
      </c>
      <c r="P32" s="149">
        <v>9</v>
      </c>
      <c r="Q32" s="149">
        <v>16</v>
      </c>
      <c r="R32" s="149">
        <v>42</v>
      </c>
      <c r="S32" s="148">
        <v>19</v>
      </c>
      <c r="T32" s="149">
        <v>6</v>
      </c>
      <c r="U32" s="149">
        <v>4</v>
      </c>
      <c r="V32" s="149">
        <v>6</v>
      </c>
      <c r="W32" s="149">
        <v>19</v>
      </c>
    </row>
    <row r="33" spans="2:23" s="181" customFormat="1" ht="7.5" customHeight="1" x14ac:dyDescent="0.25">
      <c r="B33" s="510"/>
      <c r="C33" s="511"/>
      <c r="D33" s="512"/>
      <c r="E33" s="512"/>
      <c r="F33" s="512"/>
      <c r="G33" s="511"/>
      <c r="H33" s="512"/>
      <c r="I33" s="512"/>
      <c r="J33" s="512"/>
      <c r="K33" s="511"/>
      <c r="L33" s="512"/>
      <c r="M33" s="512"/>
      <c r="N33" s="512"/>
      <c r="O33" s="511"/>
      <c r="P33" s="512"/>
      <c r="Q33" s="512"/>
      <c r="R33" s="512"/>
      <c r="S33" s="511"/>
      <c r="T33" s="512"/>
      <c r="U33" s="512"/>
      <c r="V33" s="512"/>
      <c r="W33" s="512"/>
    </row>
    <row r="34" spans="2:23" s="84" customFormat="1" ht="15.75" x14ac:dyDescent="0.25">
      <c r="B34" s="265" t="s">
        <v>562</v>
      </c>
      <c r="C34" s="266">
        <f t="shared" ref="C34:U34" si="1">SUM(C16:C32)</f>
        <v>2995</v>
      </c>
      <c r="D34" s="266">
        <f t="shared" si="1"/>
        <v>647</v>
      </c>
      <c r="E34" s="266">
        <f t="shared" si="1"/>
        <v>481</v>
      </c>
      <c r="F34" s="266">
        <f t="shared" ref="F34:O34" si="2">SUM(F16:F32)</f>
        <v>1056</v>
      </c>
      <c r="G34" s="266">
        <f t="shared" si="2"/>
        <v>883</v>
      </c>
      <c r="H34" s="266">
        <f t="shared" si="2"/>
        <v>773</v>
      </c>
      <c r="I34" s="266">
        <f t="shared" si="2"/>
        <v>508</v>
      </c>
      <c r="J34" s="266">
        <f t="shared" si="2"/>
        <v>631</v>
      </c>
      <c r="K34" s="266">
        <f t="shared" si="2"/>
        <v>646</v>
      </c>
      <c r="L34" s="266">
        <f t="shared" si="2"/>
        <v>860</v>
      </c>
      <c r="M34" s="266">
        <f t="shared" si="2"/>
        <v>541</v>
      </c>
      <c r="N34" s="266">
        <f t="shared" si="2"/>
        <v>819</v>
      </c>
      <c r="O34" s="266">
        <f t="shared" si="2"/>
        <v>947</v>
      </c>
      <c r="P34" s="266">
        <f t="shared" si="1"/>
        <v>545</v>
      </c>
      <c r="Q34" s="266">
        <f t="shared" si="1"/>
        <v>816</v>
      </c>
      <c r="R34" s="266">
        <f t="shared" si="1"/>
        <v>834</v>
      </c>
      <c r="S34" s="266">
        <f t="shared" si="1"/>
        <v>1616</v>
      </c>
      <c r="T34" s="266">
        <f t="shared" si="1"/>
        <v>1182</v>
      </c>
      <c r="U34" s="266">
        <f t="shared" si="1"/>
        <v>1018</v>
      </c>
      <c r="V34" s="266">
        <f>SUM(V16:V32)</f>
        <v>1185</v>
      </c>
      <c r="W34" s="266">
        <f>SUM(W16:W32)</f>
        <v>1598</v>
      </c>
    </row>
    <row r="35" spans="2:23" s="84" customFormat="1" x14ac:dyDescent="0.2">
      <c r="B35" s="514" t="s">
        <v>563</v>
      </c>
      <c r="C35" s="149">
        <v>45794</v>
      </c>
      <c r="D35" s="149">
        <v>10337</v>
      </c>
      <c r="E35" s="149">
        <v>10501</v>
      </c>
      <c r="F35" s="149">
        <v>11311</v>
      </c>
      <c r="G35" s="149">
        <v>11028</v>
      </c>
      <c r="H35" s="149">
        <v>10109</v>
      </c>
      <c r="I35" s="149">
        <v>10061</v>
      </c>
      <c r="J35" s="149">
        <v>10966</v>
      </c>
      <c r="K35" s="149">
        <v>10412</v>
      </c>
      <c r="L35" s="149">
        <v>9765</v>
      </c>
      <c r="M35" s="149">
        <v>9999</v>
      </c>
      <c r="N35" s="149">
        <v>10487</v>
      </c>
      <c r="O35" s="148">
        <v>9929</v>
      </c>
      <c r="P35" s="149">
        <v>9191</v>
      </c>
      <c r="Q35" s="149">
        <v>7827</v>
      </c>
      <c r="R35" s="149">
        <v>9455</v>
      </c>
      <c r="S35" s="148">
        <v>10278</v>
      </c>
      <c r="T35" s="149">
        <v>9337</v>
      </c>
      <c r="U35" s="149">
        <v>8859</v>
      </c>
      <c r="V35" s="149">
        <v>10326</v>
      </c>
      <c r="W35" s="149">
        <v>9971</v>
      </c>
    </row>
    <row r="36" spans="2:23" s="181" customFormat="1" ht="7.5" customHeight="1" x14ac:dyDescent="0.25">
      <c r="B36" s="510"/>
      <c r="C36" s="511"/>
      <c r="D36" s="512"/>
      <c r="E36" s="512"/>
      <c r="F36" s="512"/>
      <c r="G36" s="511"/>
      <c r="H36" s="512"/>
      <c r="I36" s="512"/>
      <c r="J36" s="512"/>
      <c r="K36" s="511"/>
      <c r="L36" s="512"/>
      <c r="M36" s="512"/>
      <c r="N36" s="512"/>
      <c r="O36" s="511"/>
      <c r="P36" s="512"/>
      <c r="Q36" s="512"/>
      <c r="R36" s="512"/>
      <c r="S36" s="511"/>
      <c r="T36" s="512"/>
      <c r="U36" s="512"/>
      <c r="V36" s="512"/>
      <c r="W36" s="512"/>
    </row>
    <row r="37" spans="2:23" s="84" customFormat="1" ht="15.75" x14ac:dyDescent="0.25">
      <c r="B37" s="265" t="s">
        <v>564</v>
      </c>
      <c r="C37" s="266">
        <f t="shared" ref="C37:U37" si="3">C34/C35*1000</f>
        <v>65.401580993143213</v>
      </c>
      <c r="D37" s="266">
        <f t="shared" si="3"/>
        <v>62.590693624842793</v>
      </c>
      <c r="E37" s="266">
        <f t="shared" si="3"/>
        <v>45.805161413198746</v>
      </c>
      <c r="F37" s="266">
        <f t="shared" si="3"/>
        <v>93.360445583944838</v>
      </c>
      <c r="G37" s="266">
        <f t="shared" si="3"/>
        <v>80.068915487849111</v>
      </c>
      <c r="H37" s="266">
        <f t="shared" si="3"/>
        <v>76.466514986645564</v>
      </c>
      <c r="I37" s="266">
        <f t="shared" si="3"/>
        <v>50.491998807275621</v>
      </c>
      <c r="J37" s="266">
        <f t="shared" si="3"/>
        <v>57.541491884005104</v>
      </c>
      <c r="K37" s="266">
        <f t="shared" si="3"/>
        <v>62.043795620437955</v>
      </c>
      <c r="L37" s="266">
        <f t="shared" si="3"/>
        <v>88.069636456733221</v>
      </c>
      <c r="M37" s="266">
        <f t="shared" si="3"/>
        <v>54.105410541054106</v>
      </c>
      <c r="N37" s="266">
        <f t="shared" si="3"/>
        <v>78.096691141413189</v>
      </c>
      <c r="O37" s="266">
        <f t="shared" si="3"/>
        <v>95.377177963541143</v>
      </c>
      <c r="P37" s="266">
        <f t="shared" si="3"/>
        <v>59.297138505059301</v>
      </c>
      <c r="Q37" s="266">
        <f t="shared" si="3"/>
        <v>104.25450364124185</v>
      </c>
      <c r="R37" s="266">
        <f t="shared" si="3"/>
        <v>88.207297726070863</v>
      </c>
      <c r="S37" s="266">
        <f t="shared" si="3"/>
        <v>157.22903288577544</v>
      </c>
      <c r="T37" s="266">
        <f t="shared" si="3"/>
        <v>126.59312412980614</v>
      </c>
      <c r="U37" s="266">
        <f t="shared" si="3"/>
        <v>114.91138954735297</v>
      </c>
      <c r="V37" s="266">
        <f>V34/V35*1000</f>
        <v>114.75886112725161</v>
      </c>
      <c r="W37" s="266">
        <f>W34/W35*1000</f>
        <v>160.26476782669744</v>
      </c>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W26"/>
  <sheetViews>
    <sheetView showGridLines="0" zoomScale="70" zoomScaleNormal="70" workbookViewId="0">
      <pane xSplit="2" ySplit="5" topLeftCell="C6" activePane="bottomRight" state="frozen"/>
      <selection pane="topRight"/>
      <selection pane="bottomLeft"/>
      <selection pane="bottomRight"/>
    </sheetView>
  </sheetViews>
  <sheetFormatPr defaultColWidth="9.140625" defaultRowHeight="15" outlineLevelCol="1" x14ac:dyDescent="0.2"/>
  <cols>
    <col min="1" max="1" width="1.42578125" style="107" customWidth="1"/>
    <col min="2" max="2" width="63" style="84" customWidth="1"/>
    <col min="3" max="3" width="9.7109375" style="107" customWidth="1" outlineLevel="1"/>
    <col min="4" max="5" width="9.7109375" style="46" customWidth="1" outlineLevel="1"/>
    <col min="6" max="6" width="9.7109375" style="47" customWidth="1" outlineLevel="1"/>
    <col min="7" max="9" width="9.7109375" style="46" customWidth="1" outlineLevel="1"/>
    <col min="10" max="10" width="9.7109375" style="47" customWidth="1" outlineLevel="1"/>
    <col min="11" max="13" width="9.7109375" style="46" customWidth="1" outlineLevel="1"/>
    <col min="14" max="14" width="9.7109375" style="47" customWidth="1" outlineLevel="1"/>
    <col min="15" max="17" width="9.7109375" style="46" customWidth="1" outlineLevel="1"/>
    <col min="18" max="18" width="9.7109375" style="47" customWidth="1" outlineLevel="1"/>
    <col min="19" max="22" width="9.7109375" style="46" customWidth="1"/>
    <col min="23" max="23" width="12.85546875" style="213" customWidth="1"/>
    <col min="24" max="16384" width="9.140625" style="107"/>
  </cols>
  <sheetData>
    <row r="1" spans="1:23" ht="41.25" customHeight="1" x14ac:dyDescent="0.2">
      <c r="A1" s="234"/>
      <c r="C1" s="103"/>
      <c r="D1" s="42"/>
      <c r="E1" s="42"/>
      <c r="F1" s="43"/>
      <c r="G1" s="42"/>
      <c r="H1" s="42"/>
      <c r="I1" s="42"/>
      <c r="J1" s="43"/>
      <c r="K1" s="42"/>
      <c r="L1" s="42"/>
      <c r="M1" s="42"/>
      <c r="N1" s="43"/>
      <c r="O1" s="42"/>
      <c r="P1" s="42"/>
      <c r="Q1" s="42"/>
      <c r="R1" s="43"/>
      <c r="S1" s="42"/>
      <c r="T1" s="42"/>
      <c r="U1" s="42"/>
      <c r="V1" s="42"/>
    </row>
    <row r="2" spans="1:23" ht="18" x14ac:dyDescent="0.2">
      <c r="B2" s="235" t="s">
        <v>544</v>
      </c>
      <c r="C2" s="236"/>
      <c r="D2" s="176"/>
      <c r="E2" s="176"/>
      <c r="F2" s="45"/>
      <c r="G2" s="176"/>
      <c r="H2" s="176"/>
      <c r="I2" s="176"/>
      <c r="J2" s="45"/>
      <c r="K2" s="176"/>
      <c r="L2" s="176"/>
      <c r="M2" s="176"/>
      <c r="N2" s="45"/>
      <c r="O2" s="176"/>
      <c r="P2" s="176"/>
      <c r="Q2" s="176"/>
      <c r="R2" s="45"/>
      <c r="S2" s="176"/>
      <c r="T2" s="176"/>
      <c r="U2" s="176"/>
      <c r="V2" s="176"/>
    </row>
    <row r="3" spans="1:23" ht="14.25" customHeight="1" x14ac:dyDescent="0.2">
      <c r="C3" s="46"/>
      <c r="W3" s="107"/>
    </row>
    <row r="4" spans="1:23" ht="15.75" x14ac:dyDescent="0.25">
      <c r="B4" s="237"/>
      <c r="C4" s="179" t="s">
        <v>293</v>
      </c>
      <c r="D4" s="179" t="s">
        <v>294</v>
      </c>
      <c r="E4" s="179" t="s">
        <v>295</v>
      </c>
      <c r="F4" s="49" t="s">
        <v>277</v>
      </c>
      <c r="G4" s="179" t="s">
        <v>278</v>
      </c>
      <c r="H4" s="179" t="s">
        <v>279</v>
      </c>
      <c r="I4" s="179" t="s">
        <v>280</v>
      </c>
      <c r="J4" s="49" t="s">
        <v>281</v>
      </c>
      <c r="K4" s="179" t="s">
        <v>282</v>
      </c>
      <c r="L4" s="179" t="s">
        <v>283</v>
      </c>
      <c r="M4" s="179" t="s">
        <v>284</v>
      </c>
      <c r="N4" s="49" t="s">
        <v>285</v>
      </c>
      <c r="O4" s="179" t="s">
        <v>286</v>
      </c>
      <c r="P4" s="179" t="s">
        <v>287</v>
      </c>
      <c r="Q4" s="179" t="s">
        <v>288</v>
      </c>
      <c r="R4" s="49" t="s">
        <v>289</v>
      </c>
      <c r="S4" s="179" t="s">
        <v>290</v>
      </c>
      <c r="T4" s="179" t="s">
        <v>291</v>
      </c>
      <c r="U4" s="179" t="s">
        <v>292</v>
      </c>
      <c r="V4" s="179" t="s">
        <v>570</v>
      </c>
      <c r="W4" s="107"/>
    </row>
    <row r="5" spans="1:23" s="501" customFormat="1" ht="15.75" x14ac:dyDescent="0.25">
      <c r="C5" s="501">
        <v>42825</v>
      </c>
      <c r="D5" s="501">
        <v>42916</v>
      </c>
      <c r="E5" s="501">
        <v>43008</v>
      </c>
      <c r="F5" s="501">
        <v>43100</v>
      </c>
      <c r="G5" s="501">
        <v>43190</v>
      </c>
      <c r="H5" s="501">
        <v>43281</v>
      </c>
      <c r="I5" s="501">
        <v>43373</v>
      </c>
      <c r="J5" s="501">
        <v>43465</v>
      </c>
      <c r="K5" s="501">
        <v>43555</v>
      </c>
      <c r="L5" s="501">
        <v>43646</v>
      </c>
      <c r="M5" s="501">
        <v>43738</v>
      </c>
      <c r="N5" s="501">
        <v>43830</v>
      </c>
      <c r="O5" s="501">
        <v>43921</v>
      </c>
      <c r="P5" s="501">
        <v>44012</v>
      </c>
      <c r="Q5" s="501">
        <v>44104</v>
      </c>
      <c r="R5" s="501">
        <v>44196</v>
      </c>
      <c r="S5" s="501">
        <v>44286</v>
      </c>
      <c r="T5" s="501">
        <v>44377</v>
      </c>
      <c r="U5" s="501">
        <v>44469</v>
      </c>
      <c r="V5" s="501">
        <v>43099</v>
      </c>
    </row>
    <row r="6" spans="1:23" ht="7.5" customHeight="1" x14ac:dyDescent="0.2">
      <c r="C6" s="42"/>
      <c r="D6" s="42"/>
      <c r="E6" s="42"/>
      <c r="F6" s="43"/>
      <c r="G6" s="42"/>
      <c r="H6" s="42"/>
      <c r="I6" s="42"/>
      <c r="J6" s="43"/>
      <c r="K6" s="42"/>
      <c r="L6" s="42"/>
      <c r="M6" s="42"/>
      <c r="N6" s="43"/>
      <c r="O6" s="42"/>
      <c r="P6" s="42"/>
      <c r="Q6" s="42"/>
      <c r="R6" s="43"/>
      <c r="S6" s="42"/>
      <c r="T6" s="42"/>
      <c r="U6" s="42"/>
      <c r="V6" s="42"/>
      <c r="W6" s="107"/>
    </row>
    <row r="7" spans="1:23" s="84" customFormat="1" ht="15.75" x14ac:dyDescent="0.2">
      <c r="B7" s="238" t="s">
        <v>237</v>
      </c>
      <c r="C7" s="239"/>
      <c r="D7" s="239"/>
      <c r="E7" s="239"/>
      <c r="F7" s="240"/>
      <c r="G7" s="239"/>
      <c r="H7" s="239"/>
      <c r="I7" s="239"/>
      <c r="J7" s="240"/>
      <c r="K7" s="239"/>
      <c r="L7" s="239"/>
      <c r="M7" s="239"/>
      <c r="N7" s="240"/>
      <c r="O7" s="239"/>
      <c r="P7" s="239"/>
      <c r="Q7" s="239"/>
      <c r="R7" s="240"/>
      <c r="S7" s="239"/>
      <c r="T7" s="239"/>
      <c r="U7" s="239"/>
      <c r="V7" s="239"/>
    </row>
    <row r="8" spans="1:23" s="84" customFormat="1" ht="6.75" customHeight="1" x14ac:dyDescent="0.2">
      <c r="B8" s="241"/>
      <c r="C8" s="242"/>
      <c r="D8" s="242"/>
      <c r="E8" s="242"/>
      <c r="F8" s="243"/>
      <c r="G8" s="242"/>
      <c r="H8" s="242"/>
      <c r="I8" s="242"/>
      <c r="J8" s="243"/>
      <c r="K8" s="242"/>
      <c r="L8" s="242"/>
      <c r="M8" s="242"/>
      <c r="N8" s="243"/>
      <c r="O8" s="242"/>
      <c r="P8" s="242"/>
      <c r="Q8" s="242"/>
      <c r="R8" s="243"/>
      <c r="S8" s="242"/>
      <c r="T8" s="242"/>
      <c r="U8" s="242"/>
      <c r="V8" s="242"/>
    </row>
    <row r="9" spans="1:23" ht="15.75" x14ac:dyDescent="0.25">
      <c r="B9" s="244" t="s">
        <v>236</v>
      </c>
      <c r="C9" s="245"/>
      <c r="D9" s="246"/>
      <c r="E9" s="246"/>
      <c r="F9" s="247"/>
      <c r="G9" s="246"/>
      <c r="H9" s="246"/>
      <c r="I9" s="246"/>
      <c r="J9" s="247"/>
      <c r="K9" s="246"/>
      <c r="L9" s="246"/>
      <c r="M9" s="246"/>
      <c r="N9" s="247"/>
      <c r="O9" s="246"/>
      <c r="P9" s="246"/>
      <c r="Q9" s="246"/>
      <c r="R9" s="247"/>
      <c r="S9" s="246"/>
      <c r="T9" s="248"/>
      <c r="U9" s="246"/>
      <c r="V9" s="246"/>
    </row>
    <row r="10" spans="1:23" s="84" customFormat="1" x14ac:dyDescent="0.2">
      <c r="B10" s="241"/>
      <c r="C10" s="242"/>
      <c r="D10" s="242"/>
      <c r="E10" s="242"/>
      <c r="F10" s="243"/>
      <c r="G10" s="242"/>
      <c r="H10" s="242"/>
      <c r="I10" s="242"/>
      <c r="J10" s="243"/>
      <c r="K10" s="242"/>
      <c r="L10" s="242"/>
      <c r="M10" s="242"/>
      <c r="N10" s="243"/>
      <c r="O10" s="242"/>
      <c r="P10" s="242"/>
      <c r="Q10" s="242"/>
      <c r="R10" s="243"/>
      <c r="S10" s="242"/>
      <c r="T10" s="242"/>
      <c r="U10" s="242"/>
      <c r="V10" s="242"/>
    </row>
    <row r="11" spans="1:23" s="249" customFormat="1" ht="18" x14ac:dyDescent="0.25">
      <c r="B11" s="172" t="s">
        <v>98</v>
      </c>
      <c r="C11" s="250">
        <v>-125</v>
      </c>
      <c r="D11" s="250">
        <f>-265+125</f>
        <v>-140</v>
      </c>
      <c r="E11" s="250">
        <f>-418+265</f>
        <v>-153</v>
      </c>
      <c r="F11" s="250">
        <f>-545+418</f>
        <v>-127</v>
      </c>
      <c r="G11" s="250">
        <v>-121</v>
      </c>
      <c r="H11" s="250">
        <v>-136</v>
      </c>
      <c r="I11" s="250">
        <v>-131</v>
      </c>
      <c r="J11" s="250">
        <f>-522+388</f>
        <v>-134</v>
      </c>
      <c r="K11" s="250">
        <v>-124</v>
      </c>
      <c r="L11" s="250">
        <v>-115</v>
      </c>
      <c r="M11" s="250">
        <v>-135</v>
      </c>
      <c r="N11" s="250">
        <f>-513+374</f>
        <v>-139</v>
      </c>
      <c r="O11" s="250">
        <v>-150</v>
      </c>
      <c r="P11" s="250">
        <v>-157</v>
      </c>
      <c r="Q11" s="250">
        <v>-148</v>
      </c>
      <c r="R11" s="250">
        <f>-638+455</f>
        <v>-183</v>
      </c>
      <c r="S11" s="250">
        <v>-193</v>
      </c>
      <c r="T11" s="250">
        <v>-240</v>
      </c>
      <c r="U11" s="250">
        <v>-188</v>
      </c>
      <c r="V11" s="250">
        <v>-184</v>
      </c>
    </row>
    <row r="12" spans="1:23" s="251" customFormat="1" ht="18" x14ac:dyDescent="0.25">
      <c r="B12" s="252"/>
      <c r="C12" s="253"/>
      <c r="D12" s="253"/>
      <c r="E12" s="253"/>
      <c r="F12" s="254"/>
      <c r="G12" s="253"/>
      <c r="H12" s="253"/>
      <c r="I12" s="253"/>
      <c r="J12" s="254"/>
      <c r="K12" s="253"/>
      <c r="L12" s="253"/>
      <c r="M12" s="253"/>
      <c r="N12" s="254"/>
      <c r="O12" s="253"/>
      <c r="P12" s="253"/>
      <c r="Q12" s="253"/>
      <c r="R12" s="254"/>
      <c r="S12" s="253"/>
      <c r="T12" s="255"/>
      <c r="U12" s="253"/>
      <c r="V12" s="253"/>
    </row>
    <row r="13" spans="1:23" s="249" customFormat="1" ht="18" x14ac:dyDescent="0.25">
      <c r="B13" s="172" t="s">
        <v>234</v>
      </c>
      <c r="C13" s="250">
        <v>-69</v>
      </c>
      <c r="D13" s="250">
        <f>-129+69</f>
        <v>-60</v>
      </c>
      <c r="E13" s="250">
        <f>-190+129</f>
        <v>-61</v>
      </c>
      <c r="F13" s="250">
        <f>-248+190</f>
        <v>-58</v>
      </c>
      <c r="G13" s="250">
        <v>-59</v>
      </c>
      <c r="H13" s="250">
        <v>-57</v>
      </c>
      <c r="I13" s="250">
        <v>-68</v>
      </c>
      <c r="J13" s="250">
        <f>-255+184</f>
        <v>-71</v>
      </c>
      <c r="K13" s="250">
        <v>-74</v>
      </c>
      <c r="L13" s="250">
        <v>-74</v>
      </c>
      <c r="M13" s="250">
        <v>-67</v>
      </c>
      <c r="N13" s="250">
        <f>-323+215</f>
        <v>-108</v>
      </c>
      <c r="O13" s="250">
        <v>-63</v>
      </c>
      <c r="P13" s="250">
        <v>-80</v>
      </c>
      <c r="Q13" s="250">
        <v>-85</v>
      </c>
      <c r="R13" s="250">
        <f>-323+228</f>
        <v>-95</v>
      </c>
      <c r="S13" s="250">
        <v>-101</v>
      </c>
      <c r="T13" s="250">
        <v>-93</v>
      </c>
      <c r="U13" s="250">
        <v>-101</v>
      </c>
      <c r="V13" s="250">
        <v>-137</v>
      </c>
    </row>
    <row r="14" spans="1:23" ht="25.5" x14ac:dyDescent="0.2">
      <c r="B14" s="256" t="s">
        <v>235</v>
      </c>
      <c r="C14" s="84"/>
      <c r="D14" s="57"/>
      <c r="E14" s="57"/>
      <c r="F14" s="58"/>
      <c r="G14" s="57"/>
      <c r="H14" s="57"/>
      <c r="I14" s="57"/>
      <c r="J14" s="58"/>
      <c r="K14" s="57"/>
      <c r="L14" s="57"/>
      <c r="M14" s="57"/>
      <c r="N14" s="58"/>
      <c r="O14" s="57"/>
      <c r="P14" s="57"/>
      <c r="Q14" s="57"/>
      <c r="R14" s="58"/>
      <c r="S14" s="57"/>
      <c r="T14" s="257"/>
      <c r="U14" s="57"/>
      <c r="V14" s="57"/>
    </row>
    <row r="15" spans="1:23" s="249" customFormat="1" ht="18" x14ac:dyDescent="0.25">
      <c r="B15" s="172" t="s">
        <v>238</v>
      </c>
      <c r="C15" s="250">
        <v>-10</v>
      </c>
      <c r="D15" s="250">
        <f>-19+10</f>
        <v>-9</v>
      </c>
      <c r="E15" s="250">
        <f>-33+19</f>
        <v>-14</v>
      </c>
      <c r="F15" s="250">
        <f>-55+33</f>
        <v>-22</v>
      </c>
      <c r="G15" s="250">
        <v>-78</v>
      </c>
      <c r="H15" s="250">
        <v>-89</v>
      </c>
      <c r="I15" s="250">
        <v>-82</v>
      </c>
      <c r="J15" s="250">
        <f>-328+249</f>
        <v>-79</v>
      </c>
      <c r="K15" s="250">
        <v>-50</v>
      </c>
      <c r="L15" s="250">
        <v>-75</v>
      </c>
      <c r="M15" s="250">
        <v>-74</v>
      </c>
      <c r="N15" s="250">
        <f>-249+199</f>
        <v>-50</v>
      </c>
      <c r="O15" s="250">
        <v>-55</v>
      </c>
      <c r="P15" s="250">
        <v>-58</v>
      </c>
      <c r="Q15" s="250">
        <v>-66</v>
      </c>
      <c r="R15" s="250">
        <f>-253+179</f>
        <v>-74</v>
      </c>
      <c r="S15" s="250">
        <v>-78</v>
      </c>
      <c r="T15" s="250">
        <v>-82</v>
      </c>
      <c r="U15" s="250">
        <v>-87</v>
      </c>
      <c r="V15" s="250">
        <v>-89</v>
      </c>
    </row>
    <row r="16" spans="1:23" ht="18" x14ac:dyDescent="0.25">
      <c r="B16" s="258"/>
      <c r="C16" s="84"/>
      <c r="D16" s="57"/>
      <c r="E16" s="57"/>
      <c r="F16" s="58"/>
      <c r="G16" s="57"/>
      <c r="H16" s="57"/>
      <c r="I16" s="57"/>
      <c r="J16" s="58"/>
      <c r="K16" s="57"/>
      <c r="L16" s="57"/>
      <c r="M16" s="57"/>
      <c r="N16" s="58"/>
      <c r="O16" s="57"/>
      <c r="P16" s="57"/>
      <c r="Q16" s="57"/>
      <c r="R16" s="58"/>
      <c r="S16" s="57"/>
      <c r="T16" s="259"/>
      <c r="U16" s="57"/>
      <c r="V16" s="57"/>
    </row>
    <row r="17" spans="1:23" ht="15.75" x14ac:dyDescent="0.25">
      <c r="B17" s="244" t="s">
        <v>5</v>
      </c>
      <c r="C17" s="245"/>
      <c r="D17" s="246"/>
      <c r="E17" s="246"/>
      <c r="F17" s="247"/>
      <c r="G17" s="246"/>
      <c r="H17" s="246"/>
      <c r="I17" s="246"/>
      <c r="J17" s="247"/>
      <c r="K17" s="246"/>
      <c r="L17" s="246"/>
      <c r="M17" s="246"/>
      <c r="N17" s="247"/>
      <c r="O17" s="246"/>
      <c r="P17" s="246"/>
      <c r="Q17" s="246"/>
      <c r="R17" s="247"/>
      <c r="S17" s="246"/>
      <c r="T17" s="248"/>
      <c r="U17" s="246"/>
      <c r="V17" s="246"/>
    </row>
    <row r="18" spans="1:23" x14ac:dyDescent="0.2">
      <c r="B18" s="260"/>
      <c r="C18" s="84"/>
      <c r="D18" s="57"/>
      <c r="E18" s="57"/>
      <c r="F18" s="58"/>
      <c r="G18" s="57"/>
      <c r="H18" s="57"/>
      <c r="I18" s="57"/>
      <c r="J18" s="58"/>
      <c r="K18" s="57"/>
      <c r="L18" s="57"/>
      <c r="M18" s="57"/>
      <c r="N18" s="58"/>
      <c r="O18" s="57"/>
      <c r="P18" s="57"/>
      <c r="Q18" s="57"/>
      <c r="R18" s="58"/>
      <c r="S18" s="57"/>
      <c r="T18" s="261"/>
      <c r="U18" s="57"/>
      <c r="V18" s="57"/>
    </row>
    <row r="19" spans="1:23" s="249" customFormat="1" ht="18" x14ac:dyDescent="0.25">
      <c r="B19" s="172" t="s">
        <v>239</v>
      </c>
      <c r="C19" s="250">
        <f>63</f>
        <v>63</v>
      </c>
      <c r="D19" s="250">
        <f>133-63</f>
        <v>70</v>
      </c>
      <c r="E19" s="250">
        <f>205-133</f>
        <v>72</v>
      </c>
      <c r="F19" s="250">
        <f>298-205</f>
        <v>93</v>
      </c>
      <c r="G19" s="250">
        <v>71</v>
      </c>
      <c r="H19" s="250">
        <f>172-71</f>
        <v>101</v>
      </c>
      <c r="I19" s="250">
        <f>287-172</f>
        <v>115</v>
      </c>
      <c r="J19" s="250">
        <f>430-287</f>
        <v>143</v>
      </c>
      <c r="K19" s="250">
        <v>128</v>
      </c>
      <c r="L19" s="250">
        <f>260-128</f>
        <v>132</v>
      </c>
      <c r="M19" s="250">
        <f>413-260</f>
        <v>153</v>
      </c>
      <c r="N19" s="250">
        <f>595-413</f>
        <v>182</v>
      </c>
      <c r="O19" s="250">
        <v>106</v>
      </c>
      <c r="P19" s="250">
        <f>223-106</f>
        <v>117</v>
      </c>
      <c r="Q19" s="250">
        <f>399-223</f>
        <v>176</v>
      </c>
      <c r="R19" s="250">
        <f>606-399</f>
        <v>207</v>
      </c>
      <c r="S19" s="250">
        <v>110</v>
      </c>
      <c r="T19" s="250">
        <v>125</v>
      </c>
      <c r="U19" s="250">
        <v>139</v>
      </c>
      <c r="V19" s="250">
        <v>210</v>
      </c>
    </row>
    <row r="20" spans="1:23" s="46" customFormat="1" x14ac:dyDescent="0.2">
      <c r="A20" s="107"/>
      <c r="B20" s="260"/>
      <c r="C20" s="84"/>
      <c r="D20" s="57"/>
      <c r="E20" s="57"/>
      <c r="F20" s="58"/>
      <c r="G20" s="57"/>
      <c r="H20" s="57"/>
      <c r="I20" s="57"/>
      <c r="J20" s="58"/>
      <c r="K20" s="57"/>
      <c r="L20" s="57"/>
      <c r="M20" s="57"/>
      <c r="N20" s="58"/>
      <c r="O20" s="57"/>
      <c r="P20" s="57"/>
      <c r="Q20" s="57"/>
      <c r="R20" s="58"/>
      <c r="S20" s="57"/>
      <c r="T20" s="261"/>
      <c r="U20" s="57"/>
      <c r="V20" s="57"/>
      <c r="W20" s="213"/>
    </row>
    <row r="21" spans="1:23" s="249" customFormat="1" ht="18" x14ac:dyDescent="0.25">
      <c r="B21" s="172" t="s">
        <v>240</v>
      </c>
      <c r="C21" s="250">
        <f>0</f>
        <v>0</v>
      </c>
      <c r="D21" s="250">
        <f>0-0</f>
        <v>0</v>
      </c>
      <c r="E21" s="250">
        <f>2-0</f>
        <v>2</v>
      </c>
      <c r="F21" s="250">
        <f>2-2</f>
        <v>0</v>
      </c>
      <c r="G21" s="250">
        <v>0</v>
      </c>
      <c r="H21" s="250">
        <f>0-0</f>
        <v>0</v>
      </c>
      <c r="I21" s="250">
        <f>0-0</f>
        <v>0</v>
      </c>
      <c r="J21" s="250">
        <f>1-0</f>
        <v>1</v>
      </c>
      <c r="K21" s="250">
        <v>2</v>
      </c>
      <c r="L21" s="250">
        <f>2-2</f>
        <v>0</v>
      </c>
      <c r="M21" s="250">
        <f>2-2</f>
        <v>0</v>
      </c>
      <c r="N21" s="250">
        <f>36-2</f>
        <v>34</v>
      </c>
      <c r="O21" s="250">
        <v>0</v>
      </c>
      <c r="P21" s="250">
        <f>1-0</f>
        <v>1</v>
      </c>
      <c r="Q21" s="250">
        <f>3-1</f>
        <v>2</v>
      </c>
      <c r="R21" s="250">
        <f>13-3</f>
        <v>10</v>
      </c>
      <c r="S21" s="250">
        <v>31</v>
      </c>
      <c r="T21" s="250">
        <v>21</v>
      </c>
      <c r="U21" s="250">
        <v>0</v>
      </c>
      <c r="V21" s="250">
        <v>0</v>
      </c>
    </row>
    <row r="22" spans="1:23" s="46" customFormat="1" x14ac:dyDescent="0.2">
      <c r="A22" s="107"/>
      <c r="B22" s="84"/>
      <c r="C22" s="84"/>
      <c r="D22" s="57"/>
      <c r="E22" s="57"/>
      <c r="F22" s="58"/>
      <c r="G22" s="57"/>
      <c r="H22" s="57"/>
      <c r="I22" s="57"/>
      <c r="J22" s="58"/>
      <c r="K22" s="57"/>
      <c r="L22" s="57"/>
      <c r="M22" s="57"/>
      <c r="N22" s="58"/>
      <c r="O22" s="57"/>
      <c r="P22" s="57"/>
      <c r="Q22" s="57"/>
      <c r="R22" s="58"/>
      <c r="S22" s="57"/>
      <c r="T22" s="100"/>
      <c r="U22" s="57"/>
      <c r="V22" s="57"/>
      <c r="W22" s="213"/>
    </row>
    <row r="23" spans="1:23" s="46" customFormat="1" ht="18" x14ac:dyDescent="0.25">
      <c r="A23" s="107"/>
      <c r="B23" s="258"/>
      <c r="C23" s="84"/>
      <c r="D23" s="57"/>
      <c r="E23" s="57"/>
      <c r="F23" s="58"/>
      <c r="G23" s="57"/>
      <c r="H23" s="57"/>
      <c r="I23" s="57"/>
      <c r="J23" s="58"/>
      <c r="K23" s="57"/>
      <c r="L23" s="57"/>
      <c r="M23" s="57"/>
      <c r="N23" s="58"/>
      <c r="O23" s="57"/>
      <c r="P23" s="57"/>
      <c r="Q23" s="57"/>
      <c r="R23" s="58"/>
      <c r="S23" s="57"/>
      <c r="T23" s="100"/>
      <c r="U23" s="57"/>
      <c r="V23" s="57"/>
      <c r="W23" s="213"/>
    </row>
    <row r="24" spans="1:23" s="46" customFormat="1" x14ac:dyDescent="0.2">
      <c r="A24" s="107"/>
      <c r="B24" s="84"/>
      <c r="C24" s="84"/>
      <c r="D24" s="57"/>
      <c r="E24" s="57"/>
      <c r="F24" s="58"/>
      <c r="G24" s="57"/>
      <c r="H24" s="57"/>
      <c r="I24" s="57"/>
      <c r="J24" s="58"/>
      <c r="K24" s="57"/>
      <c r="L24" s="57"/>
      <c r="M24" s="57"/>
      <c r="N24" s="58"/>
      <c r="O24" s="57"/>
      <c r="P24" s="57"/>
      <c r="Q24" s="57"/>
      <c r="R24" s="58"/>
      <c r="S24" s="57"/>
      <c r="T24" s="100"/>
      <c r="U24" s="57"/>
      <c r="V24" s="57"/>
      <c r="W24" s="213"/>
    </row>
    <row r="25" spans="1:23" s="46" customFormat="1" ht="18" x14ac:dyDescent="0.25">
      <c r="A25" s="107"/>
      <c r="B25" s="258"/>
      <c r="C25" s="84"/>
      <c r="D25" s="57"/>
      <c r="E25" s="57"/>
      <c r="F25" s="58"/>
      <c r="G25" s="57"/>
      <c r="H25" s="57"/>
      <c r="I25" s="57"/>
      <c r="J25" s="107"/>
      <c r="K25" s="57"/>
      <c r="L25" s="57"/>
      <c r="M25" s="57"/>
      <c r="N25" s="58"/>
      <c r="O25" s="57"/>
      <c r="P25" s="57"/>
      <c r="Q25" s="57"/>
      <c r="R25" s="58"/>
      <c r="S25" s="57"/>
      <c r="T25" s="100"/>
      <c r="U25" s="57"/>
      <c r="V25" s="57"/>
      <c r="W25" s="213"/>
    </row>
    <row r="26" spans="1:23" s="46" customFormat="1" x14ac:dyDescent="0.2">
      <c r="A26" s="107"/>
      <c r="B26" s="84"/>
      <c r="C26" s="84"/>
      <c r="D26" s="57"/>
      <c r="E26" s="57"/>
      <c r="F26" s="58"/>
      <c r="G26" s="57"/>
      <c r="H26" s="57"/>
      <c r="I26" s="57"/>
      <c r="J26" s="58"/>
      <c r="K26" s="57"/>
      <c r="L26" s="57"/>
      <c r="M26" s="57"/>
      <c r="N26" s="58"/>
      <c r="O26" s="57"/>
      <c r="P26" s="57"/>
      <c r="Q26" s="57"/>
      <c r="R26" s="58"/>
      <c r="S26" s="57"/>
      <c r="T26" s="100"/>
      <c r="U26" s="57"/>
      <c r="V26" s="57"/>
      <c r="W26" s="213"/>
    </row>
  </sheetData>
  <phoneticPr fontId="105"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9EA07-9637-4B71-A294-B34EFBD5CBBA}">
  <ds:schemaRefs>
    <ds:schemaRef ds:uri="http://schemas.microsoft.com/sharepoint/v3/contenttype/forms"/>
  </ds:schemaRefs>
</ds:datastoreItem>
</file>

<file path=customXml/itemProps2.xml><?xml version="1.0" encoding="utf-8"?>
<ds:datastoreItem xmlns:ds="http://schemas.openxmlformats.org/officeDocument/2006/customXml" ds:itemID="{37AFD72B-F871-48A8-B6BE-ADE1DFDFC10F}">
  <ds:schemaRefs>
    <ds:schemaRef ds:uri="http://purl.org/dc/elements/1.1/"/>
    <ds:schemaRef ds:uri="http://schemas.microsoft.com/office/2006/documentManagement/types"/>
    <ds:schemaRef ds:uri="1ed7f566-b73a-4d9d-a2a9-298344578dc3"/>
    <ds:schemaRef ds:uri="http://schemas.openxmlformats.org/package/2006/metadata/core-properties"/>
    <ds:schemaRef ds:uri="http://schemas.microsoft.com/office/2006/metadata/properties"/>
    <ds:schemaRef ds:uri="http://www.w3.org/XML/1998/namespace"/>
    <ds:schemaRef ds:uri="http://purl.org/dc/terms/"/>
    <ds:schemaRef ds:uri="87f7c4e3-65fe-4ae2-859f-2ab27c1cc9b7"/>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Investments (CAPEX)</vt:lpstr>
      <vt:lpstr>9. Expenses by nature</vt:lpstr>
      <vt:lpstr>10. Hedge</vt:lpstr>
      <vt:lpstr>11. Debt</vt:lpstr>
      <vt:lpstr>12. Macroeconomics</vt:lpstr>
      <vt:lpstr>13. ESG</vt:lpstr>
      <vt:lpstr>14. Dividends</vt:lpstr>
      <vt:lpstr>15. Consensus</vt:lpstr>
      <vt:lpstr>16.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Lara Ribeiro de Lima</cp:lastModifiedBy>
  <cp:revision/>
  <dcterms:created xsi:type="dcterms:W3CDTF">2020-10-20T14:40:25Z</dcterms:created>
  <dcterms:modified xsi:type="dcterms:W3CDTF">2022-03-23T17:18:46Z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2022-03-23T17:18:46Z</vt:lpwstr>
  </property>
  <property fmtid="{D5CDD505-2E9C-101B-9397-08002B2CF9AE}" pid="5" name="MSIP_Label_22deaceb-9851-4663-bccf-596767454be3_Method">
    <vt:lpwstr>Standard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4e75b54c-0df1-4fec-8115-cc0502feb12e</vt:lpwstr>
  </property>
  <property fmtid="{D5CDD505-2E9C-101B-9397-08002B2CF9AE}" pid="9" name="MSIP_Label_22deaceb-9851-4663-bccf-596767454be3_ContentBits">
    <vt:lpwstr>2</vt:lpwstr>
  </property>
</Properties>
</file>