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1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ate1904="1" codeName="EstaPastaDeTrabalho" defaultThemeVersion="166925"/>
  <mc:AlternateContent xmlns:mc="http://schemas.openxmlformats.org/markup-compatibility/2006">
    <mc:Choice Requires="x15">
      <x15ac:absPath xmlns:x15ac="http://schemas.microsoft.com/office/spreadsheetml/2010/11/ac" url="Y:\BR_DFCRI_RINV\NP-1\4_Resultados Trimestrais\2024\2T\Planilha Valuation\"/>
    </mc:Choice>
  </mc:AlternateContent>
  <xr:revisionPtr revIDLastSave="0" documentId="13_ncr:1_{E989F508-9D85-41CE-8376-88202A9B26F4}" xr6:coauthVersionLast="47" xr6:coauthVersionMax="47" xr10:uidLastSave="{00000000-0000-0000-0000-000000000000}"/>
  <bookViews>
    <workbookView xWindow="-110" yWindow="-110" windowWidth="19420" windowHeight="10300" tabRatio="901" xr2:uid="{00000000-000D-0000-FFFF-FFFF00000000}"/>
  </bookViews>
  <sheets>
    <sheet name="Index" sheetId="49" r:id="rId1"/>
    <sheet name="1. Volume" sheetId="17" r:id="rId2"/>
    <sheet name="2. Income Statement" sheetId="37" r:id="rId3"/>
    <sheet name="3. Balance Sheet" sheetId="38" r:id="rId4"/>
    <sheet name="4. CFR" sheetId="40" r:id="rId5"/>
    <sheet name="5. Segment Reporting" sheetId="42" r:id="rId6"/>
    <sheet name="6. Reconciliation" sheetId="47" r:id="rId7"/>
    <sheet name="7. EBITDA Reconciliation" sheetId="48" r:id="rId8"/>
    <sheet name="8. Investments (CAPEX)" sheetId="46" r:id="rId9"/>
    <sheet name="9. Expenses by nature" sheetId="39" r:id="rId10"/>
    <sheet name="10. Hedge" sheetId="35" r:id="rId11"/>
    <sheet name="11. Debt" sheetId="29" r:id="rId12"/>
    <sheet name="12. Macroeconomics" sheetId="30" state="hidden" r:id="rId13"/>
    <sheet name="12. ESG" sheetId="34" r:id="rId14"/>
    <sheet name="13.Dividends" sheetId="50" r:id="rId15"/>
    <sheet name="14. Consensus" sheetId="31" r:id="rId16"/>
    <sheet name="15. Disclaimer" sheetId="16"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a" localSheetId="1">'1. Volume'!#REF!</definedName>
    <definedName name="\a" localSheetId="10">'10. Hedge'!#REF!</definedName>
    <definedName name="\a" localSheetId="11">'11. Debt'!#REF!</definedName>
    <definedName name="\a" localSheetId="13">'12. ESG'!#REF!</definedName>
    <definedName name="\a" localSheetId="12">'12. Macroeconomics'!#REF!</definedName>
    <definedName name="\a" localSheetId="14">#REF!</definedName>
    <definedName name="\a" localSheetId="15">'14. Consensus'!#REF!</definedName>
    <definedName name="\a" localSheetId="2">'2. Income Statement'!#REF!</definedName>
    <definedName name="\a" localSheetId="3">'3. Balance Sheet'!#REF!</definedName>
    <definedName name="\a" localSheetId="4">'4. CFR'!#REF!</definedName>
    <definedName name="\a" localSheetId="5">'5. Segment Reporting'!#REF!</definedName>
    <definedName name="\a" localSheetId="6">'6. Reconciliation'!#REF!</definedName>
    <definedName name="\a" localSheetId="7">'7. EBITDA Reconciliation'!#REF!</definedName>
    <definedName name="\a" localSheetId="8">'8. Investments (CAPEX)'!#REF!</definedName>
    <definedName name="\a" localSheetId="9">'9. Expenses by nature'!#REF!</definedName>
    <definedName name="\a">#REF!</definedName>
    <definedName name="\b" localSheetId="1">'1. Volume'!#REF!</definedName>
    <definedName name="\b" localSheetId="10">'10. Hedge'!#REF!</definedName>
    <definedName name="\b" localSheetId="11">'11. Debt'!#REF!</definedName>
    <definedName name="\b" localSheetId="13">'12. ESG'!#REF!</definedName>
    <definedName name="\b" localSheetId="12">'12. Macroeconomics'!#REF!</definedName>
    <definedName name="\b" localSheetId="14">#REF!</definedName>
    <definedName name="\b" localSheetId="15">'14. Consensus'!#REF!</definedName>
    <definedName name="\b" localSheetId="2">'2. Income Statement'!#REF!</definedName>
    <definedName name="\b" localSheetId="3">'3. Balance Sheet'!#REF!</definedName>
    <definedName name="\b" localSheetId="4">'4. CFR'!#REF!</definedName>
    <definedName name="\b" localSheetId="5">'5. Segment Reporting'!#REF!</definedName>
    <definedName name="\b" localSheetId="6">'6. Reconciliation'!#REF!</definedName>
    <definedName name="\b" localSheetId="7">'7. EBITDA Reconciliation'!#REF!</definedName>
    <definedName name="\b" localSheetId="8">'8. Investments (CAPEX)'!#REF!</definedName>
    <definedName name="\b" localSheetId="9">'9. Expenses by nature'!#REF!</definedName>
    <definedName name="\b">#REF!</definedName>
    <definedName name="\c" localSheetId="1">'1. Volume'!#REF!</definedName>
    <definedName name="\c" localSheetId="10">'10. Hedge'!#REF!</definedName>
    <definedName name="\c" localSheetId="11">'11. Debt'!#REF!</definedName>
    <definedName name="\c" localSheetId="13">'12. ESG'!#REF!</definedName>
    <definedName name="\c" localSheetId="12">'12. Macroeconomics'!#REF!</definedName>
    <definedName name="\c" localSheetId="14">#REF!</definedName>
    <definedName name="\c" localSheetId="15">'14. Consensus'!#REF!</definedName>
    <definedName name="\c" localSheetId="2">'2. Income Statement'!#REF!</definedName>
    <definedName name="\c" localSheetId="3">'3. Balance Sheet'!#REF!</definedName>
    <definedName name="\c" localSheetId="4">'4. CFR'!#REF!</definedName>
    <definedName name="\c" localSheetId="5">'5. Segment Reporting'!#REF!</definedName>
    <definedName name="\c" localSheetId="6">'6. Reconciliation'!#REF!</definedName>
    <definedName name="\c" localSheetId="7">'7. EBITDA Reconciliation'!#REF!</definedName>
    <definedName name="\c" localSheetId="8">'8. Investments (CAPEX)'!#REF!</definedName>
    <definedName name="\c" localSheetId="9">'9. Expenses by nature'!#REF!</definedName>
    <definedName name="\c">#REF!</definedName>
    <definedName name="\d" localSheetId="14">#REF!</definedName>
    <definedName name="\d" localSheetId="6">#REF!</definedName>
    <definedName name="\d" localSheetId="7">#REF!</definedName>
    <definedName name="\d" localSheetId="8">#REF!</definedName>
    <definedName name="\d">#REF!</definedName>
    <definedName name="\e" localSheetId="14">#REF!</definedName>
    <definedName name="\e" localSheetId="6">#REF!</definedName>
    <definedName name="\e" localSheetId="7">#REF!</definedName>
    <definedName name="\e" localSheetId="8">#REF!</definedName>
    <definedName name="\e">#REF!</definedName>
    <definedName name="\f" localSheetId="14">#REF!</definedName>
    <definedName name="\f" localSheetId="6">#REF!</definedName>
    <definedName name="\f" localSheetId="7">#REF!</definedName>
    <definedName name="\f" localSheetId="8">#REF!</definedName>
    <definedName name="\f">#REF!</definedName>
    <definedName name="\P" localSheetId="14">#REF!</definedName>
    <definedName name="\P" localSheetId="6">#REF!</definedName>
    <definedName name="\P" localSheetId="7">#REF!</definedName>
    <definedName name="\P" localSheetId="8">#REF!</definedName>
    <definedName name="\P">#REF!</definedName>
    <definedName name="\wer" localSheetId="14">#REF!</definedName>
    <definedName name="\wer" localSheetId="6">#REF!</definedName>
    <definedName name="\wer" localSheetId="7">#REF!</definedName>
    <definedName name="\wer" localSheetId="8">#REF!</definedName>
    <definedName name="\wer">#REF!</definedName>
    <definedName name="\xyz" localSheetId="14">#REF!</definedName>
    <definedName name="\xyz" localSheetId="6">#REF!</definedName>
    <definedName name="\xyz" localSheetId="7">#REF!</definedName>
    <definedName name="\xyz" localSheetId="8">#REF!</definedName>
    <definedName name="\xyz">#REF!</definedName>
    <definedName name="\z" localSheetId="14">#REF!</definedName>
    <definedName name="\z" localSheetId="6">#REF!</definedName>
    <definedName name="\z" localSheetId="7">#REF!</definedName>
    <definedName name="\z" localSheetId="8">#REF!</definedName>
    <definedName name="\z">#REF!</definedName>
    <definedName name="______DAT11" localSheetId="14">#REF!</definedName>
    <definedName name="______DAT11" localSheetId="6">#REF!</definedName>
    <definedName name="______DAT11" localSheetId="7">#REF!</definedName>
    <definedName name="______DAT11" localSheetId="8">#REF!</definedName>
    <definedName name="______DAT11">#REF!</definedName>
    <definedName name="______f222" localSheetId="14">#REF!</definedName>
    <definedName name="______f222" localSheetId="6">#REF!</definedName>
    <definedName name="______f222" localSheetId="7">#REF!</definedName>
    <definedName name="______f222" localSheetId="8">#REF!</definedName>
    <definedName name="______f222">#REF!</definedName>
    <definedName name="_____DAT11" localSheetId="14">#REF!</definedName>
    <definedName name="_____DAT11" localSheetId="6">#REF!</definedName>
    <definedName name="_____DAT11" localSheetId="7">#REF!</definedName>
    <definedName name="_____DAT11" localSheetId="8">#REF!</definedName>
    <definedName name="_____DAT11">#REF!</definedName>
    <definedName name="_____f222" localSheetId="14">#REF!</definedName>
    <definedName name="_____f222" localSheetId="6">#REF!</definedName>
    <definedName name="_____f222" localSheetId="7">#REF!</definedName>
    <definedName name="_____f222" localSheetId="8">#REF!</definedName>
    <definedName name="_____f222">#REF!</definedName>
    <definedName name="____DAT11" localSheetId="14">#REF!</definedName>
    <definedName name="____DAT11" localSheetId="6">#REF!</definedName>
    <definedName name="____DAT11" localSheetId="7">#REF!</definedName>
    <definedName name="____DAT11" localSheetId="8">#REF!</definedName>
    <definedName name="____DAT11">#REF!</definedName>
    <definedName name="____f222" localSheetId="14">#REF!</definedName>
    <definedName name="____f222" localSheetId="6">#REF!</definedName>
    <definedName name="____f222" localSheetId="7">#REF!</definedName>
    <definedName name="____f222" localSheetId="8">#REF!</definedName>
    <definedName name="____f222">#REF!</definedName>
    <definedName name="___a1" localSheetId="14">#REF!</definedName>
    <definedName name="___a1" localSheetId="6">#REF!</definedName>
    <definedName name="___a1" localSheetId="7">#REF!</definedName>
    <definedName name="___a1" localSheetId="8">#REF!</definedName>
    <definedName name="___a1">#REF!</definedName>
    <definedName name="___a2" localSheetId="14">#REF!</definedName>
    <definedName name="___a2" localSheetId="6">#REF!</definedName>
    <definedName name="___a2" localSheetId="7">#REF!</definedName>
    <definedName name="___a2" localSheetId="8">#REF!</definedName>
    <definedName name="___a2">#REF!</definedName>
    <definedName name="___a3" localSheetId="14">#REF!</definedName>
    <definedName name="___a3" localSheetId="6">#REF!</definedName>
    <definedName name="___a3" localSheetId="7">#REF!</definedName>
    <definedName name="___a3" localSheetId="8">#REF!</definedName>
    <definedName name="___a3">#REF!</definedName>
    <definedName name="___a4" localSheetId="14">#REF!</definedName>
    <definedName name="___a4" localSheetId="6">#REF!</definedName>
    <definedName name="___a4" localSheetId="7">#REF!</definedName>
    <definedName name="___a4" localSheetId="8">#REF!</definedName>
    <definedName name="___a4">#REF!</definedName>
    <definedName name="___a5" localSheetId="14">#REF!</definedName>
    <definedName name="___a5" localSheetId="6">#REF!</definedName>
    <definedName name="___a5" localSheetId="7">#REF!</definedName>
    <definedName name="___a5" localSheetId="8">#REF!</definedName>
    <definedName name="___a5">#REF!</definedName>
    <definedName name="___a6" localSheetId="14">#REF!</definedName>
    <definedName name="___a6" localSheetId="6">#REF!</definedName>
    <definedName name="___a6" localSheetId="7">#REF!</definedName>
    <definedName name="___a6" localSheetId="8">#REF!</definedName>
    <definedName name="___a6">#REF!</definedName>
    <definedName name="___DAT11" localSheetId="14">#REF!</definedName>
    <definedName name="___DAT11" localSheetId="6">#REF!</definedName>
    <definedName name="___DAT11" localSheetId="7">#REF!</definedName>
    <definedName name="___DAT11" localSheetId="8">#REF!</definedName>
    <definedName name="___DAT11">#REF!</definedName>
    <definedName name="___f222" localSheetId="14">#REF!</definedName>
    <definedName name="___f222" localSheetId="6">#REF!</definedName>
    <definedName name="___f222" localSheetId="7">#REF!</definedName>
    <definedName name="___f222" localSheetId="8">#REF!</definedName>
    <definedName name="___f222">#REF!</definedName>
    <definedName name="__a1" localSheetId="14">#REF!</definedName>
    <definedName name="__a1" localSheetId="6">#REF!</definedName>
    <definedName name="__a1" localSheetId="7">#REF!</definedName>
    <definedName name="__a1" localSheetId="8">#REF!</definedName>
    <definedName name="__a1">#REF!</definedName>
    <definedName name="__a2" localSheetId="14">#REF!</definedName>
    <definedName name="__a2" localSheetId="6">#REF!</definedName>
    <definedName name="__a2" localSheetId="7">#REF!</definedName>
    <definedName name="__a2" localSheetId="8">#REF!</definedName>
    <definedName name="__a2">#REF!</definedName>
    <definedName name="__a3" localSheetId="14">#REF!</definedName>
    <definedName name="__a3" localSheetId="6">#REF!</definedName>
    <definedName name="__a3" localSheetId="7">#REF!</definedName>
    <definedName name="__a3" localSheetId="8">#REF!</definedName>
    <definedName name="__a3">#REF!</definedName>
    <definedName name="__a4" localSheetId="14">#REF!</definedName>
    <definedName name="__a4" localSheetId="6">#REF!</definedName>
    <definedName name="__a4" localSheetId="7">#REF!</definedName>
    <definedName name="__a4" localSheetId="8">#REF!</definedName>
    <definedName name="__a4">#REF!</definedName>
    <definedName name="__a5" localSheetId="14">#REF!</definedName>
    <definedName name="__a5" localSheetId="6">#REF!</definedName>
    <definedName name="__a5" localSheetId="7">#REF!</definedName>
    <definedName name="__a5" localSheetId="8">#REF!</definedName>
    <definedName name="__a5">#REF!</definedName>
    <definedName name="__a6" localSheetId="14">#REF!</definedName>
    <definedName name="__a6" localSheetId="6">#REF!</definedName>
    <definedName name="__a6" localSheetId="7">#REF!</definedName>
    <definedName name="__a6" localSheetId="8">#REF!</definedName>
    <definedName name="__a6">#REF!</definedName>
    <definedName name="__DAT1" localSheetId="14">#REF!</definedName>
    <definedName name="__DAT1" localSheetId="6">#REF!</definedName>
    <definedName name="__DAT1" localSheetId="7">#REF!</definedName>
    <definedName name="__DAT1" localSheetId="8">#REF!</definedName>
    <definedName name="__DAT1">#REF!</definedName>
    <definedName name="__DAT10" localSheetId="14">#REF!</definedName>
    <definedName name="__DAT10" localSheetId="6">#REF!</definedName>
    <definedName name="__DAT10" localSheetId="7">#REF!</definedName>
    <definedName name="__DAT10" localSheetId="8">#REF!</definedName>
    <definedName name="__DAT10">#REF!</definedName>
    <definedName name="__DAT11" localSheetId="14">#REF!</definedName>
    <definedName name="__DAT11" localSheetId="6">#REF!</definedName>
    <definedName name="__DAT11" localSheetId="7">#REF!</definedName>
    <definedName name="__DAT11" localSheetId="8">#REF!</definedName>
    <definedName name="__DAT11">#REF!</definedName>
    <definedName name="__DAT12" localSheetId="14">'[1]1302402001'!#REF!</definedName>
    <definedName name="__DAT12" localSheetId="6">'[1]1302402001'!#REF!</definedName>
    <definedName name="__DAT12" localSheetId="7">'[1]1302402001'!#REF!</definedName>
    <definedName name="__DAT12" localSheetId="8">'[1]1302402001'!#REF!</definedName>
    <definedName name="__DAT12">'[1]1302402001'!#REF!</definedName>
    <definedName name="__DAT2" localSheetId="1">'1. Volume'!#REF!</definedName>
    <definedName name="__DAT2" localSheetId="10">'10. Hedge'!#REF!</definedName>
    <definedName name="__DAT2" localSheetId="11">'11. Debt'!#REF!</definedName>
    <definedName name="__DAT2" localSheetId="13">'12. ESG'!#REF!</definedName>
    <definedName name="__DAT2" localSheetId="12">'12. Macroeconomics'!#REF!</definedName>
    <definedName name="__DAT2" localSheetId="14">#REF!</definedName>
    <definedName name="__DAT2" localSheetId="15">'14. Consensus'!#REF!</definedName>
    <definedName name="__DAT2" localSheetId="2">'2. Income Statement'!#REF!</definedName>
    <definedName name="__DAT2" localSheetId="3">'3. Balance Sheet'!#REF!</definedName>
    <definedName name="__DAT2" localSheetId="4">'4. CFR'!#REF!</definedName>
    <definedName name="__DAT2" localSheetId="5">'5. Segment Reporting'!#REF!</definedName>
    <definedName name="__DAT2" localSheetId="6">'6. Reconciliation'!#REF!</definedName>
    <definedName name="__DAT2" localSheetId="7">'7. EBITDA Reconciliation'!#REF!</definedName>
    <definedName name="__DAT2" localSheetId="8">'8. Investments (CAPEX)'!#REF!</definedName>
    <definedName name="__DAT2" localSheetId="9">'9. Expenses by nature'!#REF!</definedName>
    <definedName name="__DAT2">#REF!</definedName>
    <definedName name="__DAT3" localSheetId="1">'1. Volume'!#REF!</definedName>
    <definedName name="__DAT3" localSheetId="10">'10. Hedge'!#REF!</definedName>
    <definedName name="__DAT3" localSheetId="11">'11. Debt'!#REF!</definedName>
    <definedName name="__DAT3" localSheetId="13">'12. ESG'!#REF!</definedName>
    <definedName name="__DAT3" localSheetId="12">'12. Macroeconomics'!#REF!</definedName>
    <definedName name="__DAT3" localSheetId="14">#REF!</definedName>
    <definedName name="__DAT3" localSheetId="15">'14. Consensus'!#REF!</definedName>
    <definedName name="__DAT3" localSheetId="2">'2. Income Statement'!#REF!</definedName>
    <definedName name="__DAT3" localSheetId="3">'3. Balance Sheet'!#REF!</definedName>
    <definedName name="__DAT3" localSheetId="4">'4. CFR'!#REF!</definedName>
    <definedName name="__DAT3" localSheetId="5">'5. Segment Reporting'!#REF!</definedName>
    <definedName name="__DAT3" localSheetId="6">'6. Reconciliation'!#REF!</definedName>
    <definedName name="__DAT3" localSheetId="7">'7. EBITDA Reconciliation'!#REF!</definedName>
    <definedName name="__DAT3" localSheetId="8">'8. Investments (CAPEX)'!#REF!</definedName>
    <definedName name="__DAT3" localSheetId="9">'9. Expenses by nature'!#REF!</definedName>
    <definedName name="__DAT3">#REF!</definedName>
    <definedName name="__DAT4" localSheetId="1">'1. Volume'!#REF!</definedName>
    <definedName name="__DAT4" localSheetId="10">'10. Hedge'!#REF!</definedName>
    <definedName name="__DAT4" localSheetId="11">'11. Debt'!#REF!</definedName>
    <definedName name="__DAT4" localSheetId="13">'12. ESG'!#REF!</definedName>
    <definedName name="__DAT4" localSheetId="12">'12. Macroeconomics'!#REF!</definedName>
    <definedName name="__DAT4" localSheetId="14">#REF!</definedName>
    <definedName name="__DAT4" localSheetId="15">'14. Consensus'!#REF!</definedName>
    <definedName name="__DAT4" localSheetId="2">'2. Income Statement'!#REF!</definedName>
    <definedName name="__DAT4" localSheetId="3">'3. Balance Sheet'!#REF!</definedName>
    <definedName name="__DAT4" localSheetId="4">'4. CFR'!#REF!</definedName>
    <definedName name="__DAT4" localSheetId="5">'5. Segment Reporting'!#REF!</definedName>
    <definedName name="__DAT4" localSheetId="6">'6. Reconciliation'!#REF!</definedName>
    <definedName name="__DAT4" localSheetId="7">'7. EBITDA Reconciliation'!#REF!</definedName>
    <definedName name="__DAT4" localSheetId="8">'8. Investments (CAPEX)'!#REF!</definedName>
    <definedName name="__DAT4" localSheetId="9">'9. Expenses by nature'!#REF!</definedName>
    <definedName name="__DAT4">#REF!</definedName>
    <definedName name="__DAT5" localSheetId="14">#REF!</definedName>
    <definedName name="__DAT5" localSheetId="6">#REF!</definedName>
    <definedName name="__DAT5" localSheetId="7">#REF!</definedName>
    <definedName name="__DAT5" localSheetId="8">#REF!</definedName>
    <definedName name="__DAT5">#REF!</definedName>
    <definedName name="__DAT6" localSheetId="14">#REF!</definedName>
    <definedName name="__DAT6" localSheetId="6">#REF!</definedName>
    <definedName name="__DAT6" localSheetId="7">#REF!</definedName>
    <definedName name="__DAT6" localSheetId="8">#REF!</definedName>
    <definedName name="__DAT6">#REF!</definedName>
    <definedName name="__DAT7" localSheetId="14">#REF!</definedName>
    <definedName name="__DAT7" localSheetId="6">#REF!</definedName>
    <definedName name="__DAT7" localSheetId="7">#REF!</definedName>
    <definedName name="__DAT7" localSheetId="8">#REF!</definedName>
    <definedName name="__DAT7">#REF!</definedName>
    <definedName name="__DAT8" localSheetId="14">#REF!</definedName>
    <definedName name="__DAT8" localSheetId="6">#REF!</definedName>
    <definedName name="__DAT8" localSheetId="7">#REF!</definedName>
    <definedName name="__DAT8" localSheetId="8">#REF!</definedName>
    <definedName name="__DAT8">#REF!</definedName>
    <definedName name="__DAT9" localSheetId="14">#REF!</definedName>
    <definedName name="__DAT9" localSheetId="6">#REF!</definedName>
    <definedName name="__DAT9" localSheetId="7">#REF!</definedName>
    <definedName name="__DAT9" localSheetId="8">#REF!</definedName>
    <definedName name="__DAT9">#REF!</definedName>
    <definedName name="__f222" localSheetId="14">#REF!</definedName>
    <definedName name="__f222" localSheetId="6">#REF!</definedName>
    <definedName name="__f222" localSheetId="7">#REF!</definedName>
    <definedName name="__f222" localSheetId="8">#REF!</definedName>
    <definedName name="__f222">#REF!</definedName>
    <definedName name="__f223" localSheetId="14">#REF!</definedName>
    <definedName name="__f223" localSheetId="6">#REF!</definedName>
    <definedName name="__f223" localSheetId="7">#REF!</definedName>
    <definedName name="__f223" localSheetId="8">#REF!</definedName>
    <definedName name="__f223">#REF!</definedName>
    <definedName name="__us98" localSheetId="14">#REF!</definedName>
    <definedName name="__us98" localSheetId="6">#REF!</definedName>
    <definedName name="__us98" localSheetId="7">#REF!</definedName>
    <definedName name="__us98" localSheetId="8">#REF!</definedName>
    <definedName name="__us98">#REF!</definedName>
    <definedName name="__us99" localSheetId="14">#REF!</definedName>
    <definedName name="__us99" localSheetId="6">#REF!</definedName>
    <definedName name="__us99" localSheetId="7">#REF!</definedName>
    <definedName name="__us99" localSheetId="8">#REF!</definedName>
    <definedName name="__us99">#REF!</definedName>
    <definedName name="_a1" localSheetId="14">#REF!</definedName>
    <definedName name="_a1" localSheetId="6">#REF!</definedName>
    <definedName name="_a1" localSheetId="7">#REF!</definedName>
    <definedName name="_a1" localSheetId="8">#REF!</definedName>
    <definedName name="_a1">#REF!</definedName>
    <definedName name="_a2" localSheetId="14">#REF!</definedName>
    <definedName name="_a2" localSheetId="6">#REF!</definedName>
    <definedName name="_a2" localSheetId="7">#REF!</definedName>
    <definedName name="_a2" localSheetId="8">#REF!</definedName>
    <definedName name="_a2">#REF!</definedName>
    <definedName name="_a3" localSheetId="14">#REF!</definedName>
    <definedName name="_a3" localSheetId="6">#REF!</definedName>
    <definedName name="_a3" localSheetId="7">#REF!</definedName>
    <definedName name="_a3" localSheetId="8">#REF!</definedName>
    <definedName name="_a3">#REF!</definedName>
    <definedName name="_a4" localSheetId="14">#REF!</definedName>
    <definedName name="_a4" localSheetId="6">#REF!</definedName>
    <definedName name="_a4" localSheetId="7">#REF!</definedName>
    <definedName name="_a4" localSheetId="8">#REF!</definedName>
    <definedName name="_a4">#REF!</definedName>
    <definedName name="_a5" localSheetId="14">#REF!</definedName>
    <definedName name="_a5" localSheetId="6">#REF!</definedName>
    <definedName name="_a5" localSheetId="7">#REF!</definedName>
    <definedName name="_a5" localSheetId="8">#REF!</definedName>
    <definedName name="_a5">#REF!</definedName>
    <definedName name="_a6" localSheetId="14">#REF!</definedName>
    <definedName name="_a6" localSheetId="6">#REF!</definedName>
    <definedName name="_a6" localSheetId="7">#REF!</definedName>
    <definedName name="_a6" localSheetId="8">#REF!</definedName>
    <definedName name="_a6">#REF!</definedName>
    <definedName name="_DAT1" localSheetId="14">#REF!</definedName>
    <definedName name="_DAT1" localSheetId="6">#REF!</definedName>
    <definedName name="_DAT1" localSheetId="7">#REF!</definedName>
    <definedName name="_DAT1" localSheetId="8">#REF!</definedName>
    <definedName name="_DAT1">#REF!</definedName>
    <definedName name="_DAT10" localSheetId="14">#REF!</definedName>
    <definedName name="_DAT10" localSheetId="6">#REF!</definedName>
    <definedName name="_DAT10" localSheetId="7">#REF!</definedName>
    <definedName name="_DAT10" localSheetId="8">#REF!</definedName>
    <definedName name="_DAT10">#REF!</definedName>
    <definedName name="_DAT11" localSheetId="14">#REF!</definedName>
    <definedName name="_DAT11" localSheetId="6">#REF!</definedName>
    <definedName name="_DAT11" localSheetId="7">#REF!</definedName>
    <definedName name="_DAT11" localSheetId="8">#REF!</definedName>
    <definedName name="_DAT11">#REF!</definedName>
    <definedName name="_DAT12" localSheetId="14">#REF!</definedName>
    <definedName name="_DAT12" localSheetId="6">#REF!</definedName>
    <definedName name="_DAT12" localSheetId="7">#REF!</definedName>
    <definedName name="_DAT12" localSheetId="8">#REF!</definedName>
    <definedName name="_DAT12">#REF!</definedName>
    <definedName name="_DAT13" localSheetId="14">#REF!</definedName>
    <definedName name="_DAT13" localSheetId="6">#REF!</definedName>
    <definedName name="_DAT13" localSheetId="7">#REF!</definedName>
    <definedName name="_DAT13" localSheetId="8">#REF!</definedName>
    <definedName name="_DAT13">#REF!</definedName>
    <definedName name="_DAT14" localSheetId="14">#REF!</definedName>
    <definedName name="_DAT14" localSheetId="6">#REF!</definedName>
    <definedName name="_DAT14" localSheetId="7">#REF!</definedName>
    <definedName name="_DAT14" localSheetId="8">#REF!</definedName>
    <definedName name="_DAT14">#REF!</definedName>
    <definedName name="_DAT15" localSheetId="14">#REF!</definedName>
    <definedName name="_DAT15" localSheetId="6">#REF!</definedName>
    <definedName name="_DAT15" localSheetId="7">#REF!</definedName>
    <definedName name="_DAT15" localSheetId="8">#REF!</definedName>
    <definedName name="_DAT15">#REF!</definedName>
    <definedName name="_DAT16" localSheetId="14">#REF!</definedName>
    <definedName name="_DAT16" localSheetId="6">#REF!</definedName>
    <definedName name="_DAT16" localSheetId="7">#REF!</definedName>
    <definedName name="_DAT16" localSheetId="8">#REF!</definedName>
    <definedName name="_DAT16">#REF!</definedName>
    <definedName name="_DAT17" localSheetId="14">#REF!</definedName>
    <definedName name="_DAT17" localSheetId="6">#REF!</definedName>
    <definedName name="_DAT17" localSheetId="7">#REF!</definedName>
    <definedName name="_DAT17" localSheetId="8">#REF!</definedName>
    <definedName name="_DAT17">#REF!</definedName>
    <definedName name="_DAT18" localSheetId="14">#REF!</definedName>
    <definedName name="_DAT18" localSheetId="6">#REF!</definedName>
    <definedName name="_DAT18" localSheetId="7">#REF!</definedName>
    <definedName name="_DAT18" localSheetId="8">#REF!</definedName>
    <definedName name="_DAT18">#REF!</definedName>
    <definedName name="_DAT2" localSheetId="14">#REF!</definedName>
    <definedName name="_DAT2" localSheetId="6">#REF!</definedName>
    <definedName name="_DAT2" localSheetId="7">#REF!</definedName>
    <definedName name="_DAT2" localSheetId="8">#REF!</definedName>
    <definedName name="_DAT2">#REF!</definedName>
    <definedName name="_DAT3" localSheetId="14">#REF!</definedName>
    <definedName name="_DAT3" localSheetId="6">#REF!</definedName>
    <definedName name="_DAT3" localSheetId="7">#REF!</definedName>
    <definedName name="_DAT3" localSheetId="8">#REF!</definedName>
    <definedName name="_DAT3">#REF!</definedName>
    <definedName name="_DAT4" localSheetId="14">#REF!</definedName>
    <definedName name="_DAT4" localSheetId="6">#REF!</definedName>
    <definedName name="_DAT4" localSheetId="7">#REF!</definedName>
    <definedName name="_DAT4" localSheetId="8">#REF!</definedName>
    <definedName name="_DAT4">#REF!</definedName>
    <definedName name="_DAT5" localSheetId="14">#REF!</definedName>
    <definedName name="_DAT5" localSheetId="6">#REF!</definedName>
    <definedName name="_DAT5" localSheetId="7">#REF!</definedName>
    <definedName name="_DAT5" localSheetId="8">#REF!</definedName>
    <definedName name="_DAT5">#REF!</definedName>
    <definedName name="_DAT6" localSheetId="14">#REF!</definedName>
    <definedName name="_DAT6" localSheetId="6">#REF!</definedName>
    <definedName name="_DAT6" localSheetId="7">#REF!</definedName>
    <definedName name="_DAT6" localSheetId="8">#REF!</definedName>
    <definedName name="_DAT6">#REF!</definedName>
    <definedName name="_DAT7" localSheetId="14">#REF!</definedName>
    <definedName name="_DAT7" localSheetId="6">#REF!</definedName>
    <definedName name="_DAT7" localSheetId="7">#REF!</definedName>
    <definedName name="_DAT7" localSheetId="8">#REF!</definedName>
    <definedName name="_DAT7">#REF!</definedName>
    <definedName name="_DAT8" localSheetId="14">#REF!</definedName>
    <definedName name="_DAT8" localSheetId="6">#REF!</definedName>
    <definedName name="_DAT8" localSheetId="7">#REF!</definedName>
    <definedName name="_DAT8" localSheetId="8">#REF!</definedName>
    <definedName name="_DAT8">#REF!</definedName>
    <definedName name="_DAT9" localSheetId="14">#REF!</definedName>
    <definedName name="_DAT9" localSheetId="6">#REF!</definedName>
    <definedName name="_DAT9" localSheetId="7">#REF!</definedName>
    <definedName name="_DAT9" localSheetId="8">#REF!</definedName>
    <definedName name="_DAT9">#REF!</definedName>
    <definedName name="_f222" localSheetId="14">#REF!</definedName>
    <definedName name="_f222" localSheetId="6">#REF!</definedName>
    <definedName name="_f222" localSheetId="7">#REF!</definedName>
    <definedName name="_f222" localSheetId="8">#REF!</definedName>
    <definedName name="_f222">#REF!</definedName>
    <definedName name="_f223" localSheetId="14">#REF!</definedName>
    <definedName name="_f223" localSheetId="6">#REF!</definedName>
    <definedName name="_f223" localSheetId="7">#REF!</definedName>
    <definedName name="_f223" localSheetId="8">#REF!</definedName>
    <definedName name="_f223">#REF!</definedName>
    <definedName name="_t2" localSheetId="14">#REF!</definedName>
    <definedName name="_t2" localSheetId="6">#REF!</definedName>
    <definedName name="_t2" localSheetId="7">#REF!</definedName>
    <definedName name="_t2" localSheetId="8">#REF!</definedName>
    <definedName name="_t2">#REF!</definedName>
    <definedName name="_t3" localSheetId="14">#REF!</definedName>
    <definedName name="_t3" localSheetId="6">#REF!</definedName>
    <definedName name="_t3" localSheetId="7">#REF!</definedName>
    <definedName name="_t3" localSheetId="8">#REF!</definedName>
    <definedName name="_t3">#REF!</definedName>
    <definedName name="_us98" localSheetId="14">#REF!</definedName>
    <definedName name="_us98" localSheetId="6">#REF!</definedName>
    <definedName name="_us98" localSheetId="7">#REF!</definedName>
    <definedName name="_us98" localSheetId="8">#REF!</definedName>
    <definedName name="_us98">#REF!</definedName>
    <definedName name="_us99" localSheetId="14">#REF!</definedName>
    <definedName name="_us99" localSheetId="6">#REF!</definedName>
    <definedName name="_us99" localSheetId="7">#REF!</definedName>
    <definedName name="_us99" localSheetId="8">#REF!</definedName>
    <definedName name="_us99">#REF!</definedName>
    <definedName name="a" localSheetId="14">#REF!</definedName>
    <definedName name="a" localSheetId="6">#REF!</definedName>
    <definedName name="a" localSheetId="7">#REF!</definedName>
    <definedName name="a" localSheetId="8">#REF!</definedName>
    <definedName name="a">#REF!</definedName>
    <definedName name="aaaaaaaaaaaaaaaaaa" localSheetId="14">#REF!</definedName>
    <definedName name="aaaaaaaaaaaaaaaaaa" localSheetId="6">#REF!</definedName>
    <definedName name="aaaaaaaaaaaaaaaaaa" localSheetId="7">#REF!</definedName>
    <definedName name="aaaaaaaaaaaaaaaaaa" localSheetId="8">#REF!</definedName>
    <definedName name="aaaaaaaaaaaaaaaaaa">#REF!</definedName>
    <definedName name="AC_cxbc" localSheetId="14">#REF!</definedName>
    <definedName name="AC_cxbc" localSheetId="6">#REF!</definedName>
    <definedName name="AC_cxbc" localSheetId="7">#REF!</definedName>
    <definedName name="AC_cxbc" localSheetId="8">#REF!</definedName>
    <definedName name="AC_cxbc">#REF!</definedName>
    <definedName name="AC_desp_ex_seg" localSheetId="14">#REF!</definedName>
    <definedName name="AC_desp_ex_seg" localSheetId="6">#REF!</definedName>
    <definedName name="AC_desp_ex_seg" localSheetId="7">#REF!</definedName>
    <definedName name="AC_desp_ex_seg" localSheetId="8">#REF!</definedName>
    <definedName name="AC_desp_ex_seg">#REF!</definedName>
    <definedName name="AC_divid_arec" localSheetId="14">#REF!</definedName>
    <definedName name="AC_divid_arec" localSheetId="6">#REF!</definedName>
    <definedName name="AC_divid_arec" localSheetId="7">#REF!</definedName>
    <definedName name="AC_divid_arec" localSheetId="8">#REF!</definedName>
    <definedName name="AC_divid_arec">#REF!</definedName>
    <definedName name="AC_estoq" localSheetId="14">#REF!</definedName>
    <definedName name="AC_estoq" localSheetId="6">#REF!</definedName>
    <definedName name="AC_estoq" localSheetId="7">#REF!</definedName>
    <definedName name="AC_estoq" localSheetId="8">#REF!</definedName>
    <definedName name="AC_estoq">#REF!</definedName>
    <definedName name="AC_jr_cap_pp" localSheetId="14">#REF!</definedName>
    <definedName name="AC_jr_cap_pp" localSheetId="6">#REF!</definedName>
    <definedName name="AC_jr_cap_pp" localSheetId="7">#REF!</definedName>
    <definedName name="AC_jr_cap_pp" localSheetId="8">#REF!</definedName>
    <definedName name="AC_jr_cap_pp">#REF!</definedName>
    <definedName name="AC_out_ac" localSheetId="14">#REF!</definedName>
    <definedName name="AC_out_ac" localSheetId="6">#REF!</definedName>
    <definedName name="AC_out_ac" localSheetId="7">#REF!</definedName>
    <definedName name="AC_out_ac" localSheetId="8">#REF!</definedName>
    <definedName name="AC_out_ac">#REF!</definedName>
    <definedName name="AC_out_ctarec" localSheetId="14">#REF!</definedName>
    <definedName name="AC_out_ctarec" localSheetId="6">#REF!</definedName>
    <definedName name="AC_out_ctarec" localSheetId="7">#REF!</definedName>
    <definedName name="AC_out_ctarec" localSheetId="8">#REF!</definedName>
    <definedName name="AC_out_ctarec">#REF!</definedName>
    <definedName name="AC_prov_dd" localSheetId="14">[2]ADM_Áreas_Milhares!#REF!</definedName>
    <definedName name="AC_prov_dd" localSheetId="6">[2]ADM_Áreas_Milhares!#REF!</definedName>
    <definedName name="AC_prov_dd" localSheetId="7">[2]ADM_Áreas_Milhares!#REF!</definedName>
    <definedName name="AC_prov_dd" localSheetId="8">[2]ADM_Áreas_Milhares!#REF!</definedName>
    <definedName name="AC_prov_dd">[2]ADM_Áreas_Milhares!#REF!</definedName>
    <definedName name="anexo1" localSheetId="1">'1. Volume'!#REF!</definedName>
    <definedName name="anexo1" localSheetId="10">'10. Hedge'!#REF!</definedName>
    <definedName name="anexo1" localSheetId="11">'11. Debt'!#REF!</definedName>
    <definedName name="anexo1" localSheetId="13">'12. ESG'!#REF!</definedName>
    <definedName name="anexo1" localSheetId="12">'12. Macroeconomics'!#REF!</definedName>
    <definedName name="anexo1" localSheetId="14">#REF!</definedName>
    <definedName name="anexo1" localSheetId="15">'14. Consensus'!#REF!</definedName>
    <definedName name="anexo1" localSheetId="2">'2. Income Statement'!#REF!</definedName>
    <definedName name="anexo1" localSheetId="3">'3. Balance Sheet'!#REF!</definedName>
    <definedName name="anexo1" localSheetId="4">'4. CFR'!#REF!</definedName>
    <definedName name="anexo1" localSheetId="5">'5. Segment Reporting'!#REF!</definedName>
    <definedName name="anexo1" localSheetId="6">'6. Reconciliation'!#REF!</definedName>
    <definedName name="anexo1" localSheetId="7">'7. EBITDA Reconciliation'!#REF!</definedName>
    <definedName name="anexo1" localSheetId="8">'8. Investments (CAPEX)'!#REF!</definedName>
    <definedName name="anexo1" localSheetId="9">'9. Expenses by nature'!#REF!</definedName>
    <definedName name="anexo1">#REF!</definedName>
    <definedName name="anexo2" localSheetId="1">'1. Volume'!#REF!</definedName>
    <definedName name="anexo2" localSheetId="10">'10. Hedge'!#REF!</definedName>
    <definedName name="anexo2" localSheetId="11">'11. Debt'!#REF!</definedName>
    <definedName name="anexo2" localSheetId="13">'12. ESG'!#REF!</definedName>
    <definedName name="anexo2" localSheetId="12">'12. Macroeconomics'!#REF!</definedName>
    <definedName name="anexo2" localSheetId="14">#REF!</definedName>
    <definedName name="anexo2" localSheetId="15">'14. Consensus'!#REF!</definedName>
    <definedName name="anexo2" localSheetId="2">'2. Income Statement'!#REF!</definedName>
    <definedName name="anexo2" localSheetId="3">'3. Balance Sheet'!#REF!</definedName>
    <definedName name="anexo2" localSheetId="4">'4. CFR'!#REF!</definedName>
    <definedName name="anexo2" localSheetId="5">'5. Segment Reporting'!#REF!</definedName>
    <definedName name="anexo2" localSheetId="6">'6. Reconciliation'!#REF!</definedName>
    <definedName name="anexo2" localSheetId="7">'7. EBITDA Reconciliation'!#REF!</definedName>
    <definedName name="anexo2" localSheetId="8">'8. Investments (CAPEX)'!#REF!</definedName>
    <definedName name="anexo2" localSheetId="9">'9. Expenses by nature'!#REF!</definedName>
    <definedName name="anexo2">#REF!</definedName>
    <definedName name="AnexoA11" localSheetId="1">'1. Volume'!#REF!</definedName>
    <definedName name="AnexoA11" localSheetId="10">'10. Hedge'!#REF!</definedName>
    <definedName name="AnexoA11" localSheetId="11">'11. Debt'!#REF!</definedName>
    <definedName name="AnexoA11" localSheetId="13">'12. ESG'!#REF!</definedName>
    <definedName name="AnexoA11" localSheetId="12">'12. Macroeconomics'!#REF!</definedName>
    <definedName name="AnexoA11" localSheetId="14">#REF!</definedName>
    <definedName name="AnexoA11" localSheetId="15">'14. Consensus'!#REF!</definedName>
    <definedName name="AnexoA11" localSheetId="2">'2. Income Statement'!#REF!</definedName>
    <definedName name="AnexoA11" localSheetId="3">'3. Balance Sheet'!#REF!</definedName>
    <definedName name="AnexoA11" localSheetId="4">'4. CFR'!#REF!</definedName>
    <definedName name="AnexoA11" localSheetId="5">'5. Segment Reporting'!#REF!</definedName>
    <definedName name="AnexoA11" localSheetId="6">'6. Reconciliation'!#REF!</definedName>
    <definedName name="AnexoA11" localSheetId="7">'7. EBITDA Reconciliation'!#REF!</definedName>
    <definedName name="AnexoA11" localSheetId="8">'8. Investments (CAPEX)'!#REF!</definedName>
    <definedName name="AnexoA11" localSheetId="9">'9. Expenses by nature'!#REF!</definedName>
    <definedName name="AnexoA11">#REF!</definedName>
    <definedName name="AP_prov_aband" localSheetId="14">#REF!</definedName>
    <definedName name="AP_prov_aband" localSheetId="6">#REF!</definedName>
    <definedName name="AP_prov_aband" localSheetId="7">#REF!</definedName>
    <definedName name="AP_prov_aband" localSheetId="8">#REF!</definedName>
    <definedName name="AP_prov_aband">#REF!</definedName>
    <definedName name="AP_tot_ap" localSheetId="14">#REF!</definedName>
    <definedName name="AP_tot_ap" localSheetId="6">#REF!</definedName>
    <definedName name="AP_tot_ap" localSheetId="7">#REF!</definedName>
    <definedName name="AP_tot_ap" localSheetId="8">#REF!</definedName>
    <definedName name="AP_tot_ap">#REF!</definedName>
    <definedName name="AQUI1" localSheetId="14">[3]QUADRO_51!#REF!</definedName>
    <definedName name="AQUI1" localSheetId="6">[3]QUADRO_51!#REF!</definedName>
    <definedName name="AQUI1" localSheetId="7">[3]QUADRO_51!#REF!</definedName>
    <definedName name="AQUI1" localSheetId="8">[3]QUADRO_51!#REF!</definedName>
    <definedName name="AQUI1">[3]QUADRO_51!#REF!</definedName>
    <definedName name="AR_1" localSheetId="1">'1. Volume'!#REF!</definedName>
    <definedName name="AR_1" localSheetId="10">'10. Hedge'!#REF!</definedName>
    <definedName name="AR_1" localSheetId="11">'11. Debt'!#REF!</definedName>
    <definedName name="AR_1" localSheetId="13">'12. ESG'!#REF!</definedName>
    <definedName name="AR_1" localSheetId="12">'12. Macroeconomics'!#REF!</definedName>
    <definedName name="AR_1" localSheetId="14">#REF!</definedName>
    <definedName name="AR_1" localSheetId="15">'14. Consensus'!#REF!</definedName>
    <definedName name="AR_1" localSheetId="2">'2. Income Statement'!#REF!</definedName>
    <definedName name="AR_1" localSheetId="3">'3. Balance Sheet'!#REF!</definedName>
    <definedName name="AR_1" localSheetId="4">'4. CFR'!#REF!</definedName>
    <definedName name="AR_1" localSheetId="5">'5. Segment Reporting'!#REF!</definedName>
    <definedName name="AR_1" localSheetId="6">'6. Reconciliation'!#REF!</definedName>
    <definedName name="AR_1" localSheetId="7">'7. EBITDA Reconciliation'!#REF!</definedName>
    <definedName name="AR_1" localSheetId="8">'8. Investments (CAPEX)'!#REF!</definedName>
    <definedName name="AR_1" localSheetId="9">'9. Expenses by nature'!#REF!</definedName>
    <definedName name="AR_1">#REF!</definedName>
    <definedName name="AR_1a" localSheetId="1">'1. Volume'!#REF!</definedName>
    <definedName name="AR_1a" localSheetId="10">'10. Hedge'!#REF!</definedName>
    <definedName name="AR_1a" localSheetId="11">'11. Debt'!#REF!</definedName>
    <definedName name="AR_1a" localSheetId="13">'12. ESG'!#REF!</definedName>
    <definedName name="AR_1a" localSheetId="12">'12. Macroeconomics'!#REF!</definedName>
    <definedName name="AR_1a" localSheetId="14">#REF!</definedName>
    <definedName name="AR_1a" localSheetId="15">'14. Consensus'!#REF!</definedName>
    <definedName name="AR_1a" localSheetId="2">'2. Income Statement'!#REF!</definedName>
    <definedName name="AR_1a" localSheetId="3">'3. Balance Sheet'!#REF!</definedName>
    <definedName name="AR_1a" localSheetId="4">'4. CFR'!#REF!</definedName>
    <definedName name="AR_1a" localSheetId="5">'5. Segment Reporting'!#REF!</definedName>
    <definedName name="AR_1a" localSheetId="6">'6. Reconciliation'!#REF!</definedName>
    <definedName name="AR_1a" localSheetId="7">'7. EBITDA Reconciliation'!#REF!</definedName>
    <definedName name="AR_1a" localSheetId="8">'8. Investments (CAPEX)'!#REF!</definedName>
    <definedName name="AR_1a" localSheetId="9">'9. Expenses by nature'!#REF!</definedName>
    <definedName name="AR_1a">#REF!</definedName>
    <definedName name="_xlnm.Extract" localSheetId="1">'1. Volume'!#REF!</definedName>
    <definedName name="_xlnm.Extract" localSheetId="10">'10. Hedge'!#REF!</definedName>
    <definedName name="_xlnm.Extract" localSheetId="11">'11. Debt'!#REF!</definedName>
    <definedName name="_xlnm.Extract" localSheetId="13">'12. ESG'!#REF!</definedName>
    <definedName name="_xlnm.Extract" localSheetId="12">'12. Macroeconomics'!#REF!</definedName>
    <definedName name="_xlnm.Extract" localSheetId="14">#REF!</definedName>
    <definedName name="_xlnm.Extract" localSheetId="15">'14. Consensus'!#REF!</definedName>
    <definedName name="_xlnm.Extract" localSheetId="2">'2. Income Statement'!#REF!</definedName>
    <definedName name="_xlnm.Extract" localSheetId="3">'3. Balance Sheet'!#REF!</definedName>
    <definedName name="_xlnm.Extract" localSheetId="4">'4. CFR'!#REF!</definedName>
    <definedName name="_xlnm.Extract" localSheetId="5">'5. Segment Reporting'!#REF!</definedName>
    <definedName name="_xlnm.Extract" localSheetId="6">'6. Reconciliation'!#REF!</definedName>
    <definedName name="_xlnm.Extract" localSheetId="7">'7. EBITDA Reconciliation'!#REF!</definedName>
    <definedName name="_xlnm.Extract" localSheetId="8">'8. Investments (CAPEX)'!#REF!</definedName>
    <definedName name="_xlnm.Extract" localSheetId="9">'9. Expenses by nature'!#REF!</definedName>
    <definedName name="_xlnm.Extract">#REF!</definedName>
    <definedName name="ASFOR_260" localSheetId="14">#REF!</definedName>
    <definedName name="ASFOR_260" localSheetId="6">#REF!</definedName>
    <definedName name="ASFOR_260" localSheetId="7">#REF!</definedName>
    <definedName name="ASFOR_260" localSheetId="8">#REF!</definedName>
    <definedName name="ASFOR_260">#REF!</definedName>
    <definedName name="ativo" localSheetId="14">#REF!</definedName>
    <definedName name="ativo" localSheetId="6">#REF!</definedName>
    <definedName name="ativo" localSheetId="7">#REF!</definedName>
    <definedName name="ativo" localSheetId="8">#REF!</definedName>
    <definedName name="ativo">#REF!</definedName>
    <definedName name="ATIVO_CONS" localSheetId="14">#REF!</definedName>
    <definedName name="ATIVO_CONS" localSheetId="6">#REF!</definedName>
    <definedName name="ATIVO_CONS" localSheetId="7">#REF!</definedName>
    <definedName name="ATIVO_CONS" localSheetId="8">#REF!</definedName>
    <definedName name="ATIVO_CONS">#REF!</definedName>
    <definedName name="ATIVO_CONS1" localSheetId="14">#REF!</definedName>
    <definedName name="ATIVO_CONS1" localSheetId="6">#REF!</definedName>
    <definedName name="ATIVO_CONS1" localSheetId="7">#REF!</definedName>
    <definedName name="ATIVO_CONS1" localSheetId="8">#REF!</definedName>
    <definedName name="ATIVO_CONS1">#REF!</definedName>
    <definedName name="ativoconsolidado010114" localSheetId="14">[4]BP!#REF!</definedName>
    <definedName name="ativoconsolidado010114" localSheetId="6">[4]BP!#REF!</definedName>
    <definedName name="ativoconsolidado010114" localSheetId="7">[4]BP!#REF!</definedName>
    <definedName name="ativoconsolidado010114" localSheetId="8">[4]BP!#REF!</definedName>
    <definedName name="ativoconsolidado010114">[4]BP!#REF!</definedName>
    <definedName name="ativoconsolidado2014" localSheetId="14">[4]BP!#REF!</definedName>
    <definedName name="ativoconsolidado2014" localSheetId="6">[4]BP!#REF!</definedName>
    <definedName name="ativoconsolidado2014" localSheetId="7">[4]BP!#REF!</definedName>
    <definedName name="ativoconsolidado2014" localSheetId="8">[4]BP!#REF!</definedName>
    <definedName name="ativoconsolidado2014">[4]BP!#REF!</definedName>
    <definedName name="ativoconsolidado2015" localSheetId="6">#REF!</definedName>
    <definedName name="ativoconsolidado2015" localSheetId="7">#REF!</definedName>
    <definedName name="ativoconsolidado2015" localSheetId="8">#REF!</definedName>
    <definedName name="ativoconsolidado2015">#REF!</definedName>
    <definedName name="ativocontroladora010114" localSheetId="14">[4]BP!#REF!</definedName>
    <definedName name="ativocontroladora010114" localSheetId="6">[4]BP!#REF!</definedName>
    <definedName name="ativocontroladora010114" localSheetId="7">[4]BP!#REF!</definedName>
    <definedName name="ativocontroladora010114" localSheetId="8">[4]BP!#REF!</definedName>
    <definedName name="ativocontroladora010114">[4]BP!#REF!</definedName>
    <definedName name="ativocontroladora2014" localSheetId="14">[4]BP!#REF!</definedName>
    <definedName name="ativocontroladora2014" localSheetId="6">[4]BP!#REF!</definedName>
    <definedName name="ativocontroladora2014" localSheetId="7">[4]BP!#REF!</definedName>
    <definedName name="ativocontroladora2014" localSheetId="8">[4]BP!#REF!</definedName>
    <definedName name="ativocontroladora2014">[4]BP!#REF!</definedName>
    <definedName name="ativocontroladora2015" localSheetId="6">#REF!</definedName>
    <definedName name="ativocontroladora2015" localSheetId="7">#REF!</definedName>
    <definedName name="ativocontroladora2015" localSheetId="8">#REF!</definedName>
    <definedName name="ativocontroladora2015">#REF!</definedName>
    <definedName name="B" localSheetId="1">'1. Volume'!#REF!</definedName>
    <definedName name="B" localSheetId="10">'10. Hedge'!#REF!</definedName>
    <definedName name="B" localSheetId="11">'11. Debt'!#REF!</definedName>
    <definedName name="B" localSheetId="13">'12. ESG'!#REF!</definedName>
    <definedName name="B" localSheetId="12">'12. Macroeconomics'!#REF!</definedName>
    <definedName name="B" localSheetId="14">#REF!</definedName>
    <definedName name="B" localSheetId="15">'14. Consensus'!#REF!</definedName>
    <definedName name="B" localSheetId="2">'2. Income Statement'!#REF!</definedName>
    <definedName name="B" localSheetId="3">'3. Balance Sheet'!#REF!</definedName>
    <definedName name="B" localSheetId="4">'4. CFR'!#REF!</definedName>
    <definedName name="B" localSheetId="5">'5. Segment Reporting'!#REF!</definedName>
    <definedName name="B" localSheetId="6">'6. Reconciliation'!#REF!</definedName>
    <definedName name="B" localSheetId="7">'7. EBITDA Reconciliation'!#REF!</definedName>
    <definedName name="B" localSheetId="8">'8. Investments (CAPEX)'!#REF!</definedName>
    <definedName name="B" localSheetId="9">'9. Expenses by nature'!#REF!</definedName>
    <definedName name="B">#REF!</definedName>
    <definedName name="BALANÇO_COMANDER" localSheetId="1">'1. Volume'!#REF!</definedName>
    <definedName name="BALANÇO_COMANDER" localSheetId="10">'10. Hedge'!#REF!</definedName>
    <definedName name="BALANÇO_COMANDER" localSheetId="11">'11. Debt'!#REF!</definedName>
    <definedName name="BALANÇO_COMANDER" localSheetId="13">'12. ESG'!#REF!</definedName>
    <definedName name="BALANÇO_COMANDER" localSheetId="12">'12. Macroeconomics'!#REF!</definedName>
    <definedName name="BALANÇO_COMANDER" localSheetId="14">#REF!</definedName>
    <definedName name="BALANÇO_COMANDER" localSheetId="15">'14. Consensus'!#REF!</definedName>
    <definedName name="BALANÇO_COMANDER" localSheetId="2">'2. Income Statement'!#REF!</definedName>
    <definedName name="BALANÇO_COMANDER" localSheetId="3">'3. Balance Sheet'!#REF!</definedName>
    <definedName name="BALANÇO_COMANDER" localSheetId="4">'4. CFR'!#REF!</definedName>
    <definedName name="BALANÇO_COMANDER" localSheetId="5">'5. Segment Reporting'!#REF!</definedName>
    <definedName name="BALANÇO_COMANDER" localSheetId="6">'6. Reconciliation'!#REF!</definedName>
    <definedName name="BALANÇO_COMANDER" localSheetId="7">'7. EBITDA Reconciliation'!#REF!</definedName>
    <definedName name="BALANÇO_COMANDER" localSheetId="8">'8. Investments (CAPEX)'!#REF!</definedName>
    <definedName name="BALANÇO_COMANDER" localSheetId="9">'9. Expenses by nature'!#REF!</definedName>
    <definedName name="BALANÇO_COMANDER">#REF!</definedName>
    <definedName name="_xlnm.Database" localSheetId="1">'1. Volume'!#REF!</definedName>
    <definedName name="_xlnm.Database" localSheetId="10">'10. Hedge'!#REF!</definedName>
    <definedName name="_xlnm.Database" localSheetId="11">'11. Debt'!#REF!</definedName>
    <definedName name="_xlnm.Database" localSheetId="13">'12. ESG'!#REF!</definedName>
    <definedName name="_xlnm.Database" localSheetId="12">'12. Macroeconomics'!#REF!</definedName>
    <definedName name="_xlnm.Database" localSheetId="14">#REF!</definedName>
    <definedName name="_xlnm.Database" localSheetId="15">'14. Consensus'!#REF!</definedName>
    <definedName name="_xlnm.Database" localSheetId="2">'2. Income Statement'!#REF!</definedName>
    <definedName name="_xlnm.Database" localSheetId="3">'3. Balance Sheet'!#REF!</definedName>
    <definedName name="_xlnm.Database" localSheetId="4">'4. CFR'!#REF!</definedName>
    <definedName name="_xlnm.Database" localSheetId="5">'5. Segment Reporting'!#REF!</definedName>
    <definedName name="_xlnm.Database" localSheetId="6">'6. Reconciliation'!#REF!</definedName>
    <definedName name="_xlnm.Database" localSheetId="7">'7. EBITDA Reconciliation'!#REF!</definedName>
    <definedName name="_xlnm.Database" localSheetId="8">'8. Investments (CAPEX)'!#REF!</definedName>
    <definedName name="_xlnm.Database" localSheetId="9">'9. Expenses by nature'!#REF!</definedName>
    <definedName name="_xlnm.Database">#REF!</definedName>
    <definedName name="Base">'[5]Base Jan 07'!$A$2:$N$78</definedName>
    <definedName name="BDANEXO11" localSheetId="1">'1. Volume'!#REF!</definedName>
    <definedName name="BDANEXO11" localSheetId="10">'10. Hedge'!#REF!</definedName>
    <definedName name="BDANEXO11" localSheetId="11">'11. Debt'!#REF!</definedName>
    <definedName name="BDANEXO11" localSheetId="13">'12. ESG'!#REF!</definedName>
    <definedName name="BDANEXO11" localSheetId="12">'12. Macroeconomics'!#REF!</definedName>
    <definedName name="BDANEXO11" localSheetId="14">#REF!</definedName>
    <definedName name="BDANEXO11" localSheetId="15">'14. Consensus'!#REF!</definedName>
    <definedName name="BDANEXO11" localSheetId="2">'2. Income Statement'!#REF!</definedName>
    <definedName name="BDANEXO11" localSheetId="3">'3. Balance Sheet'!#REF!</definedName>
    <definedName name="BDANEXO11" localSheetId="4">'4. CFR'!#REF!</definedName>
    <definedName name="BDANEXO11" localSheetId="5">'5. Segment Reporting'!#REF!</definedName>
    <definedName name="BDANEXO11" localSheetId="6">'6. Reconciliation'!#REF!</definedName>
    <definedName name="BDANEXO11" localSheetId="7">'7. EBITDA Reconciliation'!#REF!</definedName>
    <definedName name="BDANEXO11" localSheetId="8">'8. Investments (CAPEX)'!#REF!</definedName>
    <definedName name="BDANEXO11" localSheetId="9">'9. Expenses by nature'!#REF!</definedName>
    <definedName name="BDANEXO11">#REF!</definedName>
    <definedName name="BDDIVID" localSheetId="1">'1. Volume'!#REF!</definedName>
    <definedName name="BDDIVID" localSheetId="10">'10. Hedge'!#REF!</definedName>
    <definedName name="BDDIVID" localSheetId="11">'11. Debt'!#REF!</definedName>
    <definedName name="BDDIVID" localSheetId="13">'12. ESG'!#REF!</definedName>
    <definedName name="BDDIVID" localSheetId="12">'12. Macroeconomics'!#REF!</definedName>
    <definedName name="BDDIVID" localSheetId="14">#REF!</definedName>
    <definedName name="BDDIVID" localSheetId="15">'14. Consensus'!#REF!</definedName>
    <definedName name="BDDIVID" localSheetId="2">'2. Income Statement'!#REF!</definedName>
    <definedName name="BDDIVID" localSheetId="3">'3. Balance Sheet'!#REF!</definedName>
    <definedName name="BDDIVID" localSheetId="4">'4. CFR'!#REF!</definedName>
    <definedName name="BDDIVID" localSheetId="5">'5. Segment Reporting'!#REF!</definedName>
    <definedName name="BDDIVID" localSheetId="6">'6. Reconciliation'!#REF!</definedName>
    <definedName name="BDDIVID" localSheetId="7">'7. EBITDA Reconciliation'!#REF!</definedName>
    <definedName name="BDDIVID" localSheetId="8">'8. Investments (CAPEX)'!#REF!</definedName>
    <definedName name="BDDIVID" localSheetId="9">'9. Expenses by nature'!#REF!</definedName>
    <definedName name="BDDIVID">#REF!</definedName>
    <definedName name="BIP_Mant_venda_Ing" localSheetId="1">'1. Volume'!#REF!</definedName>
    <definedName name="BIP_Mant_venda_Ing" localSheetId="10">'10. Hedge'!#REF!</definedName>
    <definedName name="BIP_Mant_venda_Ing" localSheetId="11">'11. Debt'!#REF!</definedName>
    <definedName name="BIP_Mant_venda_Ing" localSheetId="13">'12. ESG'!#REF!</definedName>
    <definedName name="BIP_Mant_venda_Ing" localSheetId="12">'12. Macroeconomics'!#REF!</definedName>
    <definedName name="BIP_Mant_venda_Ing" localSheetId="14">#REF!</definedName>
    <definedName name="BIP_Mant_venda_Ing" localSheetId="15">'14. Consensus'!#REF!</definedName>
    <definedName name="BIP_Mant_venda_Ing" localSheetId="2">'2. Income Statement'!#REF!</definedName>
    <definedName name="BIP_Mant_venda_Ing" localSheetId="3">'3. Balance Sheet'!#REF!</definedName>
    <definedName name="BIP_Mant_venda_Ing" localSheetId="4">'4. CFR'!#REF!</definedName>
    <definedName name="BIP_Mant_venda_Ing" localSheetId="5">'5. Segment Reporting'!#REF!</definedName>
    <definedName name="BIP_Mant_venda_Ing" localSheetId="6">'6. Reconciliation'!#REF!</definedName>
    <definedName name="BIP_Mant_venda_Ing" localSheetId="7">'7. EBITDA Reconciliation'!#REF!</definedName>
    <definedName name="BIP_Mant_venda_Ing" localSheetId="8">'8. Investments (CAPEX)'!#REF!</definedName>
    <definedName name="BIP_Mant_venda_Ing" localSheetId="9">'9. Expenses by nature'!#REF!</definedName>
    <definedName name="BIP_Mant_venda_Ing">#REF!</definedName>
    <definedName name="BIP_MantVenda_Esp" localSheetId="14">#REF!</definedName>
    <definedName name="BIP_MantVenda_Esp" localSheetId="6">#REF!</definedName>
    <definedName name="BIP_MantVenda_Esp" localSheetId="7">#REF!</definedName>
    <definedName name="BIP_MantVenda_Esp" localSheetId="8">#REF!</definedName>
    <definedName name="BIP_MantVenda_Esp">#REF!</definedName>
    <definedName name="BIP_MantVenda_Port" localSheetId="14">#REF!</definedName>
    <definedName name="BIP_MantVenda_Port" localSheetId="6">#REF!</definedName>
    <definedName name="BIP_MantVenda_Port" localSheetId="7">#REF!</definedName>
    <definedName name="BIP_MantVenda_Port" localSheetId="8">#REF!</definedName>
    <definedName name="BIP_MantVenda_Port">#REF!</definedName>
    <definedName name="BOTOES" localSheetId="14">#REF!</definedName>
    <definedName name="BOTOES" localSheetId="6">#REF!</definedName>
    <definedName name="BOTOES" localSheetId="7">#REF!</definedName>
    <definedName name="BOTOES" localSheetId="8">#REF!</definedName>
    <definedName name="BOTOES">#REF!</definedName>
    <definedName name="BOTÕES" localSheetId="14">#REF!</definedName>
    <definedName name="BOTÕES" localSheetId="6">#REF!</definedName>
    <definedName name="BOTÕES" localSheetId="7">#REF!</definedName>
    <definedName name="BOTÕES" localSheetId="8">#REF!</definedName>
    <definedName name="BOTÕES">#REF!</definedName>
    <definedName name="BOTÕES_IMPRESSÃO" localSheetId="14">#REF!</definedName>
    <definedName name="BOTÕES_IMPRESSÃO" localSheetId="6">#REF!</definedName>
    <definedName name="BOTÕES_IMPRESSÃO" localSheetId="7">#REF!</definedName>
    <definedName name="BOTÕES_IMPRESSÃO" localSheetId="8">#REF!</definedName>
    <definedName name="BOTÕES_IMPRESSÃO">#REF!</definedName>
    <definedName name="BR___DISTRIB." localSheetId="14">#REF!</definedName>
    <definedName name="BR___DISTRIB." localSheetId="6">#REF!</definedName>
    <definedName name="BR___DISTRIB." localSheetId="7">#REF!</definedName>
    <definedName name="BR___DISTRIB." localSheetId="8">#REF!</definedName>
    <definedName name="BR___DISTRIB.">#REF!</definedName>
    <definedName name="CASH_FLOW_FASB.95" localSheetId="14">#REF!</definedName>
    <definedName name="CASH_FLOW_FASB.95" localSheetId="6">#REF!</definedName>
    <definedName name="CASH_FLOW_FASB.95" localSheetId="7">#REF!</definedName>
    <definedName name="CASH_FLOW_FASB.95" localSheetId="8">#REF!</definedName>
    <definedName name="CASH_FLOW_FASB.95">#REF!</definedName>
    <definedName name="CASH_FLOW_FASB_95" localSheetId="14">#REF!</definedName>
    <definedName name="CASH_FLOW_FASB_95" localSheetId="6">#REF!</definedName>
    <definedName name="CASH_FLOW_FASB_95" localSheetId="7">#REF!</definedName>
    <definedName name="CASH_FLOW_FASB_95" localSheetId="8">#REF!</definedName>
    <definedName name="CASH_FLOW_FASB_95">#REF!</definedName>
    <definedName name="CDGN" localSheetId="14">#REF!</definedName>
    <definedName name="CDGN" localSheetId="6">#REF!</definedName>
    <definedName name="CDGN" localSheetId="7">#REF!</definedName>
    <definedName name="CDGN" localSheetId="8">#REF!</definedName>
    <definedName name="CDGN">#REF!</definedName>
    <definedName name="CENPES_650" localSheetId="14">#REF!</definedName>
    <definedName name="CENPES_650" localSheetId="6">#REF!</definedName>
    <definedName name="CENPES_650" localSheetId="7">#REF!</definedName>
    <definedName name="CENPES_650" localSheetId="8">#REF!</definedName>
    <definedName name="CENPES_650">#REF!</definedName>
    <definedName name="coname" localSheetId="14">#REF!</definedName>
    <definedName name="coname" localSheetId="6">#REF!</definedName>
    <definedName name="coname" localSheetId="7">#REF!</definedName>
    <definedName name="coname" localSheetId="8">#REF!</definedName>
    <definedName name="coname">#REF!</definedName>
    <definedName name="consodef_51" localSheetId="14">#REF!</definedName>
    <definedName name="consodef_51" localSheetId="6">#REF!</definedName>
    <definedName name="consodef_51" localSheetId="7">#REF!</definedName>
    <definedName name="consodef_51" localSheetId="8">#REF!</definedName>
    <definedName name="consodef_51">#REF!</definedName>
    <definedName name="consodef_51a" localSheetId="14">#REF!</definedName>
    <definedName name="consodef_51a" localSheetId="6">#REF!</definedName>
    <definedName name="consodef_51a" localSheetId="7">#REF!</definedName>
    <definedName name="consodef_51a" localSheetId="8">#REF!</definedName>
    <definedName name="consodef_51a">#REF!</definedName>
    <definedName name="consodef_51c" localSheetId="14">#REF!</definedName>
    <definedName name="consodef_51c" localSheetId="6">#REF!</definedName>
    <definedName name="consodef_51c" localSheetId="7">#REF!</definedName>
    <definedName name="consodef_51c" localSheetId="8">#REF!</definedName>
    <definedName name="consodef_51c">#REF!</definedName>
    <definedName name="consoest_51" localSheetId="14">#REF!</definedName>
    <definedName name="consoest_51" localSheetId="6">#REF!</definedName>
    <definedName name="consoest_51" localSheetId="7">#REF!</definedName>
    <definedName name="consoest_51" localSheetId="8">#REF!</definedName>
    <definedName name="consoest_51">#REF!</definedName>
    <definedName name="consoest_51a" localSheetId="14">#REF!</definedName>
    <definedName name="consoest_51a" localSheetId="6">#REF!</definedName>
    <definedName name="consoest_51a" localSheetId="7">#REF!</definedName>
    <definedName name="consoest_51a" localSheetId="8">#REF!</definedName>
    <definedName name="consoest_51a">#REF!</definedName>
    <definedName name="consoest_51c" localSheetId="14">#REF!</definedName>
    <definedName name="consoest_51c" localSheetId="6">#REF!</definedName>
    <definedName name="consoest_51c" localSheetId="7">#REF!</definedName>
    <definedName name="consoest_51c" localSheetId="8">#REF!</definedName>
    <definedName name="consoest_51c">#REF!</definedName>
    <definedName name="Criteria_MI" localSheetId="14">#REF!</definedName>
    <definedName name="Criteria_MI" localSheetId="6">#REF!</definedName>
    <definedName name="Criteria_MI" localSheetId="7">#REF!</definedName>
    <definedName name="Criteria_MI" localSheetId="8">#REF!</definedName>
    <definedName name="Criteria_MI">#REF!</definedName>
    <definedName name="_xlnm.Criteria" localSheetId="14">#REF!</definedName>
    <definedName name="_xlnm.Criteria" localSheetId="6">#REF!</definedName>
    <definedName name="_xlnm.Criteria" localSheetId="7">#REF!</definedName>
    <definedName name="_xlnm.Criteria" localSheetId="8">#REF!</definedName>
    <definedName name="_xlnm.Criteria">#REF!</definedName>
    <definedName name="Custos" localSheetId="14">#REF!</definedName>
    <definedName name="Custos" localSheetId="6">#REF!</definedName>
    <definedName name="Custos" localSheetId="7">#REF!</definedName>
    <definedName name="Custos" localSheetId="8">#REF!</definedName>
    <definedName name="Custos">#REF!</definedName>
    <definedName name="d" localSheetId="14">#REF!</definedName>
    <definedName name="d" localSheetId="6">#REF!</definedName>
    <definedName name="d" localSheetId="7">#REF!</definedName>
    <definedName name="d" localSheetId="8">#REF!</definedName>
    <definedName name="d">#REF!</definedName>
    <definedName name="da" localSheetId="14">#REF!</definedName>
    <definedName name="da" localSheetId="6">#REF!</definedName>
    <definedName name="da" localSheetId="7">#REF!</definedName>
    <definedName name="da" localSheetId="8">#REF!</definedName>
    <definedName name="da">#REF!</definedName>
    <definedName name="DADOS" localSheetId="14">#REF!</definedName>
    <definedName name="DADOS" localSheetId="6">#REF!</definedName>
    <definedName name="DADOS" localSheetId="7">#REF!</definedName>
    <definedName name="DADOS" localSheetId="8">#REF!</definedName>
    <definedName name="DADOS">#REF!</definedName>
    <definedName name="Database_MI" localSheetId="14">#REF!</definedName>
    <definedName name="Database_MI" localSheetId="6">#REF!</definedName>
    <definedName name="Database_MI" localSheetId="7">#REF!</definedName>
    <definedName name="Database_MI" localSheetId="8">#REF!</definedName>
    <definedName name="Database_MI">#REF!</definedName>
    <definedName name="ddddddddddddddddddd" localSheetId="14">#REF!</definedName>
    <definedName name="ddddddddddddddddddd" localSheetId="6">#REF!</definedName>
    <definedName name="ddddddddddddddddddd" localSheetId="7">#REF!</definedName>
    <definedName name="ddddddddddddddddddd" localSheetId="8">#REF!</definedName>
    <definedName name="ddddddddddddddddddd">#REF!</definedName>
    <definedName name="Demonstração">'[6]Demonstração (2)'!$A$12:$M$46</definedName>
    <definedName name="DEMONSTRAÇÃO_DO_RESULTADO_CONSOLIDADO___LEGISLAÇÃO_SOCIETÁRIA">'[7]RESULTADO '!$A$1:$Q$103</definedName>
    <definedName name="DemResultado" localSheetId="1">'1. Volume'!#REF!</definedName>
    <definedName name="DemResultado" localSheetId="10">'10. Hedge'!#REF!</definedName>
    <definedName name="DemResultado" localSheetId="11">'11. Debt'!#REF!</definedName>
    <definedName name="DemResultado" localSheetId="13">'12. ESG'!#REF!</definedName>
    <definedName name="DemResultado" localSheetId="12">'12. Macroeconomics'!#REF!</definedName>
    <definedName name="DemResultado" localSheetId="14">#REF!</definedName>
    <definedName name="DemResultado" localSheetId="15">'14. Consensus'!#REF!</definedName>
    <definedName name="DemResultado" localSheetId="2">'2. Income Statement'!#REF!</definedName>
    <definedName name="DemResultado" localSheetId="3">'3. Balance Sheet'!#REF!</definedName>
    <definedName name="DemResultado" localSheetId="4">'4. CFR'!#REF!</definedName>
    <definedName name="DemResultado" localSheetId="5">'5. Segment Reporting'!#REF!</definedName>
    <definedName name="DemResultado" localSheetId="6">'6. Reconciliation'!#REF!</definedName>
    <definedName name="DemResultado" localSheetId="7">'7. EBITDA Reconciliation'!#REF!</definedName>
    <definedName name="DemResultado" localSheetId="8">'8. Investments (CAPEX)'!#REF!</definedName>
    <definedName name="DemResultado" localSheetId="9">'9. Expenses by nature'!#REF!</definedName>
    <definedName name="DemResultado">#REF!</definedName>
    <definedName name="DESP_FINANCEIRA">[8]ELIM_FINANCEIRA!$F$1:$W$82</definedName>
    <definedName name="DESTQ_COMAND" localSheetId="1">'1. Volume'!#REF!</definedName>
    <definedName name="DESTQ_COMAND" localSheetId="10">'10. Hedge'!#REF!</definedName>
    <definedName name="DESTQ_COMAND" localSheetId="11">'11. Debt'!#REF!</definedName>
    <definedName name="DESTQ_COMAND" localSheetId="13">'12. ESG'!#REF!</definedName>
    <definedName name="DESTQ_COMAND" localSheetId="12">'12. Macroeconomics'!#REF!</definedName>
    <definedName name="DESTQ_COMAND" localSheetId="14">#REF!</definedName>
    <definedName name="DESTQ_COMAND" localSheetId="15">'14. Consensus'!#REF!</definedName>
    <definedName name="DESTQ_COMAND" localSheetId="2">'2. Income Statement'!#REF!</definedName>
    <definedName name="DESTQ_COMAND" localSheetId="3">'3. Balance Sheet'!#REF!</definedName>
    <definedName name="DESTQ_COMAND" localSheetId="4">'4. CFR'!#REF!</definedName>
    <definedName name="DESTQ_COMAND" localSheetId="5">'5. Segment Reporting'!#REF!</definedName>
    <definedName name="DESTQ_COMAND" localSheetId="6">'6. Reconciliation'!#REF!</definedName>
    <definedName name="DESTQ_COMAND" localSheetId="7">'7. EBITDA Reconciliation'!#REF!</definedName>
    <definedName name="DESTQ_COMAND" localSheetId="8">'8. Investments (CAPEX)'!#REF!</definedName>
    <definedName name="DESTQ_COMAND" localSheetId="9">'9. Expenses by nature'!#REF!</definedName>
    <definedName name="DESTQ_COMAND">#REF!</definedName>
    <definedName name="DETALHE_ENDIVID___SEFIN" localSheetId="1">'1. Volume'!#REF!</definedName>
    <definedName name="DETALHE_ENDIVID___SEFIN" localSheetId="10">'10. Hedge'!#REF!</definedName>
    <definedName name="DETALHE_ENDIVID___SEFIN" localSheetId="11">'11. Debt'!#REF!</definedName>
    <definedName name="DETALHE_ENDIVID___SEFIN" localSheetId="13">'12. ESG'!#REF!</definedName>
    <definedName name="DETALHE_ENDIVID___SEFIN" localSheetId="12">'12. Macroeconomics'!#REF!</definedName>
    <definedName name="DETALHE_ENDIVID___SEFIN" localSheetId="14">#REF!</definedName>
    <definedName name="DETALHE_ENDIVID___SEFIN" localSheetId="15">'14. Consensus'!#REF!</definedName>
    <definedName name="DETALHE_ENDIVID___SEFIN" localSheetId="2">'2. Income Statement'!#REF!</definedName>
    <definedName name="DETALHE_ENDIVID___SEFIN" localSheetId="3">'3. Balance Sheet'!#REF!</definedName>
    <definedName name="DETALHE_ENDIVID___SEFIN" localSheetId="4">'4. CFR'!#REF!</definedName>
    <definedName name="DETALHE_ENDIVID___SEFIN" localSheetId="5">'5. Segment Reporting'!#REF!</definedName>
    <definedName name="DETALHE_ENDIVID___SEFIN" localSheetId="6">'6. Reconciliation'!#REF!</definedName>
    <definedName name="DETALHE_ENDIVID___SEFIN" localSheetId="7">'7. EBITDA Reconciliation'!#REF!</definedName>
    <definedName name="DETALHE_ENDIVID___SEFIN" localSheetId="8">'8. Investments (CAPEX)'!#REF!</definedName>
    <definedName name="DETALHE_ENDIVID___SEFIN" localSheetId="9">'9. Expenses by nature'!#REF!</definedName>
    <definedName name="DETALHE_ENDIVID___SEFIN">#REF!</definedName>
    <definedName name="dew" localSheetId="14">#REF!</definedName>
    <definedName name="dew" localSheetId="6">#REF!</definedName>
    <definedName name="dew" localSheetId="7">#REF!</definedName>
    <definedName name="dew" localSheetId="8">#REF!</definedName>
    <definedName name="dew">#REF!</definedName>
    <definedName name="DFLABR99">[9]DFLSUBS!$AW$1:$BK$23</definedName>
    <definedName name="DFLFEV99">[9]DFLSUBS!$Q$1:$AE$23</definedName>
    <definedName name="DFLJAN99">[9]DFLSUBS!$A$1:$O$22</definedName>
    <definedName name="DFLJUN99">[9]DFLSUBS!$CC$1:$CQ$22</definedName>
    <definedName name="DFLJUNAC">[9]DFLSUBS!$CC$44:$CQ$62</definedName>
    <definedName name="DFLMAI99">[9]DFLSUBS!$BM$1:$CA$22</definedName>
    <definedName name="DFLMAR99">[9]DFLSUBS!$AG$1:$AU$23</definedName>
    <definedName name="DFLMARAC">[9]DFLSUBS!$AG$44:$AU$62</definedName>
    <definedName name="doar" localSheetId="1">'1. Volume'!#REF!</definedName>
    <definedName name="doar" localSheetId="10">'10. Hedge'!#REF!</definedName>
    <definedName name="doar" localSheetId="11">'11. Debt'!#REF!</definedName>
    <definedName name="doar" localSheetId="13">'12. ESG'!#REF!</definedName>
    <definedName name="doar" localSheetId="12">'12. Macroeconomics'!#REF!</definedName>
    <definedName name="doar" localSheetId="14">#REF!</definedName>
    <definedName name="doar" localSheetId="15">'14. Consensus'!#REF!</definedName>
    <definedName name="doar" localSheetId="2">'2. Income Statement'!#REF!</definedName>
    <definedName name="doar" localSheetId="3">'3. Balance Sheet'!#REF!</definedName>
    <definedName name="doar" localSheetId="4">'4. CFR'!#REF!</definedName>
    <definedName name="doar" localSheetId="5">'5. Segment Reporting'!#REF!</definedName>
    <definedName name="doar" localSheetId="6">'6. Reconciliation'!#REF!</definedName>
    <definedName name="doar" localSheetId="7">'7. EBITDA Reconciliation'!#REF!</definedName>
    <definedName name="doar" localSheetId="8">'8. Investments (CAPEX)'!#REF!</definedName>
    <definedName name="doar" localSheetId="9">'9. Expenses by nature'!#REF!</definedName>
    <definedName name="doar">#REF!</definedName>
    <definedName name="DÓLAR" localSheetId="1">'1. Volume'!#REF!</definedName>
    <definedName name="DÓLAR" localSheetId="10">'10. Hedge'!#REF!</definedName>
    <definedName name="DÓLAR" localSheetId="11">'11. Debt'!#REF!</definedName>
    <definedName name="DÓLAR" localSheetId="13">'12. ESG'!#REF!</definedName>
    <definedName name="DÓLAR" localSheetId="12">'12. Macroeconomics'!#REF!</definedName>
    <definedName name="DÓLAR" localSheetId="14">#REF!</definedName>
    <definedName name="DÓLAR" localSheetId="15">'14. Consensus'!#REF!</definedName>
    <definedName name="DÓLAR" localSheetId="2">'2. Income Statement'!#REF!</definedName>
    <definedName name="DÓLAR" localSheetId="3">'3. Balance Sheet'!#REF!</definedName>
    <definedName name="DÓLAR" localSheetId="4">'4. CFR'!#REF!</definedName>
    <definedName name="DÓLAR" localSheetId="5">'5. Segment Reporting'!#REF!</definedName>
    <definedName name="DÓLAR" localSheetId="6">'6. Reconciliation'!#REF!</definedName>
    <definedName name="DÓLAR" localSheetId="7">'7. EBITDA Reconciliation'!#REF!</definedName>
    <definedName name="DÓLAR" localSheetId="8">'8. Investments (CAPEX)'!#REF!</definedName>
    <definedName name="DÓLAR" localSheetId="9">'9. Expenses by nature'!#REF!</definedName>
    <definedName name="DÓLAR">#REF!</definedName>
    <definedName name="DOLARMES1" localSheetId="1">[10]TAXAS!#REF!</definedName>
    <definedName name="DOLARMES1" localSheetId="10">[10]TAXAS!#REF!</definedName>
    <definedName name="DOLARMES1" localSheetId="11">[10]TAXAS!#REF!</definedName>
    <definedName name="DOLARMES1" localSheetId="13">[10]TAXAS!#REF!</definedName>
    <definedName name="DOLARMES1" localSheetId="12">[10]TAXAS!#REF!</definedName>
    <definedName name="DOLARMES1" localSheetId="15">[10]TAXAS!#REF!</definedName>
    <definedName name="DOLARMES1" localSheetId="2">[10]TAXAS!#REF!</definedName>
    <definedName name="DOLARMES1" localSheetId="3">[10]TAXAS!#REF!</definedName>
    <definedName name="DOLARMES1" localSheetId="4">[10]TAXAS!#REF!</definedName>
    <definedName name="DOLARMES1" localSheetId="5">[10]TAXAS!#REF!</definedName>
    <definedName name="DOLARMES1" localSheetId="6">[10]TAXAS!#REF!</definedName>
    <definedName name="DOLARMES1" localSheetId="7">[10]TAXAS!#REF!</definedName>
    <definedName name="DOLARMES1" localSheetId="8">[10]TAXAS!#REF!</definedName>
    <definedName name="DOLARMES1" localSheetId="9">[10]TAXAS!#REF!</definedName>
    <definedName name="DOLARMES1">[10]TAXAS!#REF!</definedName>
    <definedName name="dqw" localSheetId="14">#REF!</definedName>
    <definedName name="dqw" localSheetId="6">#REF!</definedName>
    <definedName name="dqw" localSheetId="7">#REF!</definedName>
    <definedName name="dqw" localSheetId="8">#REF!</definedName>
    <definedName name="dqw">#REF!</definedName>
    <definedName name="DRE_CONSOL">'[11]RESULTADO '!$A$1:$R$103</definedName>
    <definedName name="DRE_lucro_liq">[12]RESGAAP!$G$44</definedName>
    <definedName name="dsa" localSheetId="1">'1. Volume'!#REF!</definedName>
    <definedName name="dsa" localSheetId="10">'10. Hedge'!#REF!</definedName>
    <definedName name="dsa" localSheetId="11">'11. Debt'!#REF!</definedName>
    <definedName name="dsa" localSheetId="13">'12. ESG'!#REF!</definedName>
    <definedName name="dsa" localSheetId="12">'12. Macroeconomics'!#REF!</definedName>
    <definedName name="dsa" localSheetId="14">#REF!</definedName>
    <definedName name="dsa" localSheetId="15">'14. Consensus'!#REF!</definedName>
    <definedName name="dsa" localSheetId="2">'2. Income Statement'!#REF!</definedName>
    <definedName name="dsa" localSheetId="3">'3. Balance Sheet'!#REF!</definedName>
    <definedName name="dsa" localSheetId="4">'4. CFR'!#REF!</definedName>
    <definedName name="dsa" localSheetId="5">'5. Segment Reporting'!#REF!</definedName>
    <definedName name="dsa" localSheetId="6">'6. Reconciliation'!#REF!</definedName>
    <definedName name="dsa" localSheetId="7">'7. EBITDA Reconciliation'!#REF!</definedName>
    <definedName name="dsa" localSheetId="8">'8. Investments (CAPEX)'!#REF!</definedName>
    <definedName name="dsa" localSheetId="9">'9. Expenses by nature'!#REF!</definedName>
    <definedName name="dsa">#REF!</definedName>
    <definedName name="DSNC" localSheetId="1">'1. Volume'!#REF!</definedName>
    <definedName name="DSNC" localSheetId="10">'10. Hedge'!#REF!</definedName>
    <definedName name="DSNC" localSheetId="11">'11. Debt'!#REF!</definedName>
    <definedName name="DSNC" localSheetId="13">'12. ESG'!#REF!</definedName>
    <definedName name="DSNC" localSheetId="12">'12. Macroeconomics'!#REF!</definedName>
    <definedName name="DSNC" localSheetId="14">#REF!</definedName>
    <definedName name="DSNC" localSheetId="15">'14. Consensus'!#REF!</definedName>
    <definedName name="DSNC" localSheetId="2">'2. Income Statement'!#REF!</definedName>
    <definedName name="DSNC" localSheetId="3">'3. Balance Sheet'!#REF!</definedName>
    <definedName name="DSNC" localSheetId="4">'4. CFR'!#REF!</definedName>
    <definedName name="DSNC" localSheetId="5">'5. Segment Reporting'!#REF!</definedName>
    <definedName name="DSNC" localSheetId="6">'6. Reconciliation'!#REF!</definedName>
    <definedName name="DSNC" localSheetId="7">'7. EBITDA Reconciliation'!#REF!</definedName>
    <definedName name="DSNC" localSheetId="8">'8. Investments (CAPEX)'!#REF!</definedName>
    <definedName name="DSNC" localSheetId="9">'9. Expenses by nature'!#REF!</definedName>
    <definedName name="DSNC">#REF!</definedName>
    <definedName name="DTBASA_325" localSheetId="1">'1. Volume'!#REF!</definedName>
    <definedName name="DTBASA_325" localSheetId="10">'10. Hedge'!#REF!</definedName>
    <definedName name="DTBASA_325" localSheetId="11">'11. Debt'!#REF!</definedName>
    <definedName name="DTBASA_325" localSheetId="13">'12. ESG'!#REF!</definedName>
    <definedName name="DTBASA_325" localSheetId="12">'12. Macroeconomics'!#REF!</definedName>
    <definedName name="DTBASA_325" localSheetId="14">#REF!</definedName>
    <definedName name="DTBASA_325" localSheetId="15">'14. Consensus'!#REF!</definedName>
    <definedName name="DTBASA_325" localSheetId="2">'2. Income Statement'!#REF!</definedName>
    <definedName name="DTBASA_325" localSheetId="3">'3. Balance Sheet'!#REF!</definedName>
    <definedName name="DTBASA_325" localSheetId="4">'4. CFR'!#REF!</definedName>
    <definedName name="DTBASA_325" localSheetId="5">'5. Segment Reporting'!#REF!</definedName>
    <definedName name="DTBASA_325" localSheetId="6">'6. Reconciliation'!#REF!</definedName>
    <definedName name="DTBASA_325" localSheetId="7">'7. EBITDA Reconciliation'!#REF!</definedName>
    <definedName name="DTBASA_325" localSheetId="8">'8. Investments (CAPEX)'!#REF!</definedName>
    <definedName name="DTBASA_325" localSheetId="9">'9. Expenses by nature'!#REF!</definedName>
    <definedName name="DTBASA_325">#REF!</definedName>
    <definedName name="DTCS_315" localSheetId="14">#REF!</definedName>
    <definedName name="DTCS_315" localSheetId="6">#REF!</definedName>
    <definedName name="DTCS_315" localSheetId="7">#REF!</definedName>
    <definedName name="DTCS_315" localSheetId="8">#REF!</definedName>
    <definedName name="DTCS_315">#REF!</definedName>
    <definedName name="DTNEST_330" localSheetId="14">#REF!</definedName>
    <definedName name="DTNEST_330" localSheetId="6">#REF!</definedName>
    <definedName name="DTNEST_330" localSheetId="7">#REF!</definedName>
    <definedName name="DTNEST_330" localSheetId="8">#REF!</definedName>
    <definedName name="DTNEST_330">#REF!</definedName>
    <definedName name="DTSE_390" localSheetId="14">#REF!</definedName>
    <definedName name="DTSE_390" localSheetId="6">#REF!</definedName>
    <definedName name="DTSE_390" localSheetId="7">#REF!</definedName>
    <definedName name="DTSE_390" localSheetId="8">#REF!</definedName>
    <definedName name="DTSE_390">#REF!</definedName>
    <definedName name="DTSUL_380" localSheetId="14">#REF!</definedName>
    <definedName name="DTSUL_380" localSheetId="6">#REF!</definedName>
    <definedName name="DTSUL_380" localSheetId="7">#REF!</definedName>
    <definedName name="DTSUL_380" localSheetId="8">#REF!</definedName>
    <definedName name="DTSUL_380">#REF!</definedName>
    <definedName name="e" localSheetId="14">#REF!</definedName>
    <definedName name="e" localSheetId="6">#REF!</definedName>
    <definedName name="e" localSheetId="7">#REF!</definedName>
    <definedName name="e" localSheetId="8">#REF!</definedName>
    <definedName name="e">#REF!</definedName>
    <definedName name="E_P_AM_131" localSheetId="14">#REF!</definedName>
    <definedName name="E_P_AM_131" localSheetId="6">#REF!</definedName>
    <definedName name="E_P_AM_131" localSheetId="7">#REF!</definedName>
    <definedName name="E_P_AM_131" localSheetId="8">#REF!</definedName>
    <definedName name="E_P_AM_131">#REF!</definedName>
    <definedName name="E_P_BA_110" localSheetId="14">#REF!</definedName>
    <definedName name="E_P_BA_110" localSheetId="6">#REF!</definedName>
    <definedName name="E_P_BA_110" localSheetId="7">#REF!</definedName>
    <definedName name="E_P_BA_110" localSheetId="8">#REF!</definedName>
    <definedName name="E_P_BA_110">#REF!</definedName>
    <definedName name="E_P_BC_160" localSheetId="14">#REF!</definedName>
    <definedName name="E_P_BC_160" localSheetId="6">#REF!</definedName>
    <definedName name="E_P_BC_160" localSheetId="7">#REF!</definedName>
    <definedName name="E_P_BC_160" localSheetId="8">#REF!</definedName>
    <definedName name="E_P_BC_160">#REF!</definedName>
    <definedName name="E_P_ES_162" localSheetId="14">#REF!</definedName>
    <definedName name="E_P_ES_162" localSheetId="6">#REF!</definedName>
    <definedName name="E_P_ES_162" localSheetId="7">#REF!</definedName>
    <definedName name="E_P_ES_162" localSheetId="8">#REF!</definedName>
    <definedName name="E_P_ES_162">#REF!</definedName>
    <definedName name="E_P_RN_CE_161" localSheetId="14">#REF!</definedName>
    <definedName name="E_P_RN_CE_161" localSheetId="6">#REF!</definedName>
    <definedName name="E_P_RN_CE_161" localSheetId="7">#REF!</definedName>
    <definedName name="E_P_RN_CE_161" localSheetId="8">#REF!</definedName>
    <definedName name="E_P_RN_CE_161">#REF!</definedName>
    <definedName name="E_P_SE_AL_120" localSheetId="14">#REF!</definedName>
    <definedName name="E_P_SE_AL_120" localSheetId="6">#REF!</definedName>
    <definedName name="E_P_SE_AL_120" localSheetId="7">#REF!</definedName>
    <definedName name="E_P_SE_AL_120" localSheetId="8">#REF!</definedName>
    <definedName name="E_P_SE_AL_120">#REF!</definedName>
    <definedName name="E_P_SUL_170" localSheetId="14">#REF!</definedName>
    <definedName name="E_P_SUL_170" localSheetId="6">#REF!</definedName>
    <definedName name="E_P_SUL_170" localSheetId="7">#REF!</definedName>
    <definedName name="E_P_SUL_170" localSheetId="8">#REF!</definedName>
    <definedName name="E_P_SUL_170">#REF!</definedName>
    <definedName name="EDS" localSheetId="14">#REF!</definedName>
    <definedName name="EDS" localSheetId="6">#REF!</definedName>
    <definedName name="EDS" localSheetId="7">#REF!</definedName>
    <definedName name="EDS" localSheetId="8">#REF!</definedName>
    <definedName name="EDS">#REF!</definedName>
    <definedName name="ELP_financ">[12]BAL!$G$72</definedName>
    <definedName name="ELP_tot_elp">[12]BAL!$G$80</definedName>
    <definedName name="Encargo_Vendas" localSheetId="1">'1. Volume'!#REF!</definedName>
    <definedName name="Encargo_Vendas" localSheetId="10">'10. Hedge'!#REF!</definedName>
    <definedName name="Encargo_Vendas" localSheetId="11">'11. Debt'!#REF!</definedName>
    <definedName name="Encargo_Vendas" localSheetId="13">'12. ESG'!#REF!</definedName>
    <definedName name="Encargo_Vendas" localSheetId="12">'12. Macroeconomics'!#REF!</definedName>
    <definedName name="Encargo_Vendas" localSheetId="14">#REF!</definedName>
    <definedName name="Encargo_Vendas" localSheetId="15">'14. Consensus'!#REF!</definedName>
    <definedName name="Encargo_Vendas" localSheetId="2">'2. Income Statement'!#REF!</definedName>
    <definedName name="Encargo_Vendas" localSheetId="3">'3. Balance Sheet'!#REF!</definedName>
    <definedName name="Encargo_Vendas" localSheetId="4">'4. CFR'!#REF!</definedName>
    <definedName name="Encargo_Vendas" localSheetId="5">'5. Segment Reporting'!#REF!</definedName>
    <definedName name="Encargo_Vendas" localSheetId="6">'6. Reconciliation'!#REF!</definedName>
    <definedName name="Encargo_Vendas" localSheetId="7">'7. EBITDA Reconciliation'!#REF!</definedName>
    <definedName name="Encargo_Vendas" localSheetId="8">'8. Investments (CAPEX)'!#REF!</definedName>
    <definedName name="Encargo_Vendas" localSheetId="9">'9. Expenses by nature'!#REF!</definedName>
    <definedName name="Encargo_Vendas">#REF!</definedName>
    <definedName name="ENDIV._BR___DISTRIBUIDORA" localSheetId="1">'1. Volume'!#REF!</definedName>
    <definedName name="ENDIV._BR___DISTRIBUIDORA" localSheetId="10">'10. Hedge'!#REF!</definedName>
    <definedName name="ENDIV._BR___DISTRIBUIDORA" localSheetId="11">'11. Debt'!#REF!</definedName>
    <definedName name="ENDIV._BR___DISTRIBUIDORA" localSheetId="13">'12. ESG'!#REF!</definedName>
    <definedName name="ENDIV._BR___DISTRIBUIDORA" localSheetId="12">'12. Macroeconomics'!#REF!</definedName>
    <definedName name="ENDIV._BR___DISTRIBUIDORA" localSheetId="14">#REF!</definedName>
    <definedName name="ENDIV._BR___DISTRIBUIDORA" localSheetId="15">'14. Consensus'!#REF!</definedName>
    <definedName name="ENDIV._BR___DISTRIBUIDORA" localSheetId="2">'2. Income Statement'!#REF!</definedName>
    <definedName name="ENDIV._BR___DISTRIBUIDORA" localSheetId="3">'3. Balance Sheet'!#REF!</definedName>
    <definedName name="ENDIV._BR___DISTRIBUIDORA" localSheetId="4">'4. CFR'!#REF!</definedName>
    <definedName name="ENDIV._BR___DISTRIBUIDORA" localSheetId="5">'5. Segment Reporting'!#REF!</definedName>
    <definedName name="ENDIV._BR___DISTRIBUIDORA" localSheetId="6">'6. Reconciliation'!#REF!</definedName>
    <definedName name="ENDIV._BR___DISTRIBUIDORA" localSheetId="7">'7. EBITDA Reconciliation'!#REF!</definedName>
    <definedName name="ENDIV._BR___DISTRIBUIDORA" localSheetId="8">'8. Investments (CAPEX)'!#REF!</definedName>
    <definedName name="ENDIV._BR___DISTRIBUIDORA" localSheetId="9">'9. Expenses by nature'!#REF!</definedName>
    <definedName name="ENDIV._BR___DISTRIBUIDORA">#REF!</definedName>
    <definedName name="ENDIV._BRASPETRO" localSheetId="1">'1. Volume'!#REF!</definedName>
    <definedName name="ENDIV._BRASPETRO" localSheetId="10">'10. Hedge'!#REF!</definedName>
    <definedName name="ENDIV._BRASPETRO" localSheetId="11">'11. Debt'!#REF!</definedName>
    <definedName name="ENDIV._BRASPETRO" localSheetId="13">'12. ESG'!#REF!</definedName>
    <definedName name="ENDIV._BRASPETRO" localSheetId="12">'12. Macroeconomics'!#REF!</definedName>
    <definedName name="ENDIV._BRASPETRO" localSheetId="14">#REF!</definedName>
    <definedName name="ENDIV._BRASPETRO" localSheetId="15">'14. Consensus'!#REF!</definedName>
    <definedName name="ENDIV._BRASPETRO" localSheetId="2">'2. Income Statement'!#REF!</definedName>
    <definedName name="ENDIV._BRASPETRO" localSheetId="3">'3. Balance Sheet'!#REF!</definedName>
    <definedName name="ENDIV._BRASPETRO" localSheetId="4">'4. CFR'!#REF!</definedName>
    <definedName name="ENDIV._BRASPETRO" localSheetId="5">'5. Segment Reporting'!#REF!</definedName>
    <definedName name="ENDIV._BRASPETRO" localSheetId="6">'6. Reconciliation'!#REF!</definedName>
    <definedName name="ENDIV._BRASPETRO" localSheetId="7">'7. EBITDA Reconciliation'!#REF!</definedName>
    <definedName name="ENDIV._BRASPETRO" localSheetId="8">'8. Investments (CAPEX)'!#REF!</definedName>
    <definedName name="ENDIV._BRASPETRO" localSheetId="9">'9. Expenses by nature'!#REF!</definedName>
    <definedName name="ENDIV._BRASPETRO">#REF!</definedName>
    <definedName name="ENDIV._CONS._GRUPO" localSheetId="14">#REF!</definedName>
    <definedName name="ENDIV._CONS._GRUPO" localSheetId="6">#REF!</definedName>
    <definedName name="ENDIV._CONS._GRUPO" localSheetId="7">#REF!</definedName>
    <definedName name="ENDIV._CONS._GRUPO" localSheetId="8">#REF!</definedName>
    <definedName name="ENDIV._CONS._GRUPO">#REF!</definedName>
    <definedName name="ENDIV._FRONAPE___310" localSheetId="14">#REF!</definedName>
    <definedName name="ENDIV._FRONAPE___310" localSheetId="6">#REF!</definedName>
    <definedName name="ENDIV._FRONAPE___310" localSheetId="7">#REF!</definedName>
    <definedName name="ENDIV._FRONAPE___310" localSheetId="8">#REF!</definedName>
    <definedName name="ENDIV._FRONAPE___310">#REF!</definedName>
    <definedName name="ENDIV._PETROFÉRTIL" localSheetId="14">#REF!</definedName>
    <definedName name="ENDIV._PETROFÉRTIL" localSheetId="6">#REF!</definedName>
    <definedName name="ENDIV._PETROFÉRTIL" localSheetId="7">#REF!</definedName>
    <definedName name="ENDIV._PETROFÉRTIL" localSheetId="8">#REF!</definedName>
    <definedName name="ENDIV._PETROFÉRTIL">#REF!</definedName>
    <definedName name="ENDIV._PETROQUISA" localSheetId="14">#REF!</definedName>
    <definedName name="ENDIV._PETROQUISA" localSheetId="6">#REF!</definedName>
    <definedName name="ENDIV._PETROQUISA" localSheetId="7">#REF!</definedName>
    <definedName name="ENDIV._PETROQUISA" localSheetId="8">#REF!</definedName>
    <definedName name="ENDIV._PETROQUISA">#REF!</definedName>
    <definedName name="ENDIV._SEFIN___550" localSheetId="14">#REF!</definedName>
    <definedName name="ENDIV._SEFIN___550" localSheetId="6">#REF!</definedName>
    <definedName name="ENDIV._SEFIN___550" localSheetId="7">#REF!</definedName>
    <definedName name="ENDIV._SEFIN___550" localSheetId="8">#REF!</definedName>
    <definedName name="ENDIV._SEFIN___550">#REF!</definedName>
    <definedName name="ENDIV.CONSOLID._PETROBRAS" localSheetId="14">#REF!</definedName>
    <definedName name="ENDIV.CONSOLID._PETROBRAS" localSheetId="6">#REF!</definedName>
    <definedName name="ENDIV.CONSOLID._PETROBRAS" localSheetId="7">#REF!</definedName>
    <definedName name="ENDIV.CONSOLID._PETROBRAS" localSheetId="8">#REF!</definedName>
    <definedName name="ENDIV.CONSOLID._PETROBRAS">#REF!</definedName>
    <definedName name="Endividamento" localSheetId="14">#REF!</definedName>
    <definedName name="Endividamento" localSheetId="6">#REF!</definedName>
    <definedName name="Endividamento" localSheetId="7">#REF!</definedName>
    <definedName name="Endividamento" localSheetId="8">#REF!</definedName>
    <definedName name="Endividamento">#REF!</definedName>
    <definedName name="EQUIVAL_GRÁFICO_COMANDER" localSheetId="14">[13]dez!#REF!</definedName>
    <definedName name="EQUIVAL_GRÁFICO_COMANDER" localSheetId="6">[13]dez!#REF!</definedName>
    <definedName name="EQUIVAL_GRÁFICO_COMANDER" localSheetId="7">[13]dez!#REF!</definedName>
    <definedName name="EQUIVAL_GRÁFICO_COMANDER" localSheetId="8">[13]dez!#REF!</definedName>
    <definedName name="EQUIVAL_GRÁFICO_COMANDER">[13]dez!#REF!</definedName>
    <definedName name="EQUIVALÊNCIA_COMANDER" localSheetId="14">[13]dez!#REF!</definedName>
    <definedName name="EQUIVALÊNCIA_COMANDER" localSheetId="6">[13]dez!#REF!</definedName>
    <definedName name="EQUIVALÊNCIA_COMANDER" localSheetId="7">[13]dez!#REF!</definedName>
    <definedName name="EQUIVALÊNCIA_COMANDER" localSheetId="8">[13]dez!#REF!</definedName>
    <definedName name="EQUIVALÊNCIA_COMANDER">[13]dez!#REF!</definedName>
    <definedName name="Equivalência_Patri" localSheetId="1">'1. Volume'!#REF!</definedName>
    <definedName name="Equivalência_Patri" localSheetId="10">'10. Hedge'!#REF!</definedName>
    <definedName name="Equivalência_Patri" localSheetId="11">'11. Debt'!#REF!</definedName>
    <definedName name="Equivalência_Patri" localSheetId="13">'12. ESG'!#REF!</definedName>
    <definedName name="Equivalência_Patri" localSheetId="12">'12. Macroeconomics'!#REF!</definedName>
    <definedName name="Equivalência_Patri" localSheetId="14">#REF!</definedName>
    <definedName name="Equivalência_Patri" localSheetId="15">'14. Consensus'!#REF!</definedName>
    <definedName name="Equivalência_Patri" localSheetId="2">'2. Income Statement'!#REF!</definedName>
    <definedName name="Equivalência_Patri" localSheetId="3">'3. Balance Sheet'!#REF!</definedName>
    <definedName name="Equivalência_Patri" localSheetId="4">'4. CFR'!#REF!</definedName>
    <definedName name="Equivalência_Patri" localSheetId="5">'5. Segment Reporting'!#REF!</definedName>
    <definedName name="Equivalência_Patri" localSheetId="6">'6. Reconciliation'!#REF!</definedName>
    <definedName name="Equivalência_Patri" localSheetId="7">'7. EBITDA Reconciliation'!#REF!</definedName>
    <definedName name="Equivalência_Patri" localSheetId="8">'8. Investments (CAPEX)'!#REF!</definedName>
    <definedName name="Equivalência_Patri" localSheetId="9">'9. Expenses by nature'!#REF!</definedName>
    <definedName name="Equivalência_Patri">#REF!</definedName>
    <definedName name="er" localSheetId="14">#REF!</definedName>
    <definedName name="er" localSheetId="6">#REF!</definedName>
    <definedName name="er" localSheetId="7">#REF!</definedName>
    <definedName name="er" localSheetId="8">#REF!</definedName>
    <definedName name="er">#REF!</definedName>
    <definedName name="ESPAL_710" localSheetId="1">'1. Volume'!#REF!</definedName>
    <definedName name="ESPAL_710" localSheetId="10">'10. Hedge'!#REF!</definedName>
    <definedName name="ESPAL_710" localSheetId="11">'11. Debt'!#REF!</definedName>
    <definedName name="ESPAL_710" localSheetId="13">'12. ESG'!#REF!</definedName>
    <definedName name="ESPAL_710" localSheetId="12">'12. Macroeconomics'!#REF!</definedName>
    <definedName name="ESPAL_710" localSheetId="14">#REF!</definedName>
    <definedName name="ESPAL_710" localSheetId="15">'14. Consensus'!#REF!</definedName>
    <definedName name="ESPAL_710" localSheetId="2">'2. Income Statement'!#REF!</definedName>
    <definedName name="ESPAL_710" localSheetId="3">'3. Balance Sheet'!#REF!</definedName>
    <definedName name="ESPAL_710" localSheetId="4">'4. CFR'!#REF!</definedName>
    <definedName name="ESPAL_710" localSheetId="5">'5. Segment Reporting'!#REF!</definedName>
    <definedName name="ESPAL_710" localSheetId="6">'6. Reconciliation'!#REF!</definedName>
    <definedName name="ESPAL_710" localSheetId="7">'7. EBITDA Reconciliation'!#REF!</definedName>
    <definedName name="ESPAL_710" localSheetId="8">'8. Investments (CAPEX)'!#REF!</definedName>
    <definedName name="ESPAL_710" localSheetId="9">'9. Expenses by nature'!#REF!</definedName>
    <definedName name="ESPAL_710">#REF!</definedName>
    <definedName name="ewq" localSheetId="14">#REF!</definedName>
    <definedName name="ewq" localSheetId="6">#REF!</definedName>
    <definedName name="ewq" localSheetId="7">#REF!</definedName>
    <definedName name="ewq" localSheetId="8">#REF!</definedName>
    <definedName name="ewq">#REF!</definedName>
    <definedName name="Excel_BuiltIn_Criteria" localSheetId="1">'1. Volume'!#REF!</definedName>
    <definedName name="Excel_BuiltIn_Criteria" localSheetId="10">'10. Hedge'!#REF!</definedName>
    <definedName name="Excel_BuiltIn_Criteria" localSheetId="11">'11. Debt'!#REF!</definedName>
    <definedName name="Excel_BuiltIn_Criteria" localSheetId="13">'12. ESG'!#REF!</definedName>
    <definedName name="Excel_BuiltIn_Criteria" localSheetId="12">'12. Macroeconomics'!#REF!</definedName>
    <definedName name="Excel_BuiltIn_Criteria" localSheetId="14">#REF!</definedName>
    <definedName name="Excel_BuiltIn_Criteria" localSheetId="15">'14. Consensus'!#REF!</definedName>
    <definedName name="Excel_BuiltIn_Criteria" localSheetId="2">'2. Income Statement'!#REF!</definedName>
    <definedName name="Excel_BuiltIn_Criteria" localSheetId="3">'3. Balance Sheet'!#REF!</definedName>
    <definedName name="Excel_BuiltIn_Criteria" localSheetId="4">'4. CFR'!#REF!</definedName>
    <definedName name="Excel_BuiltIn_Criteria" localSheetId="5">'5. Segment Reporting'!#REF!</definedName>
    <definedName name="Excel_BuiltIn_Criteria" localSheetId="6">'6. Reconciliation'!#REF!</definedName>
    <definedName name="Excel_BuiltIn_Criteria" localSheetId="7">'7. EBITDA Reconciliation'!#REF!</definedName>
    <definedName name="Excel_BuiltIn_Criteria" localSheetId="8">'8. Investments (CAPEX)'!#REF!</definedName>
    <definedName name="Excel_BuiltIn_Criteria" localSheetId="9">'9. Expenses by nature'!#REF!</definedName>
    <definedName name="Excel_BuiltIn_Criteria">#REF!</definedName>
    <definedName name="Excel_BuiltIn_Database" localSheetId="14">#REF!</definedName>
    <definedName name="Excel_BuiltIn_Database" localSheetId="6">#REF!</definedName>
    <definedName name="Excel_BuiltIn_Database" localSheetId="7">#REF!</definedName>
    <definedName name="Excel_BuiltIn_Database" localSheetId="8">#REF!</definedName>
    <definedName name="Excel_BuiltIn_Database">#REF!</definedName>
    <definedName name="Excel_BuiltIn_Extract" localSheetId="14">#REF!</definedName>
    <definedName name="Excel_BuiltIn_Extract" localSheetId="6">#REF!</definedName>
    <definedName name="Excel_BuiltIn_Extract" localSheetId="7">#REF!</definedName>
    <definedName name="Excel_BuiltIn_Extract" localSheetId="8">#REF!</definedName>
    <definedName name="Excel_BuiltIn_Extract">#REF!</definedName>
    <definedName name="Explor_Prod" localSheetId="14">#REF!</definedName>
    <definedName name="Explor_Prod" localSheetId="6">#REF!</definedName>
    <definedName name="Explor_Prod" localSheetId="7">#REF!</definedName>
    <definedName name="Explor_Prod" localSheetId="8">#REF!</definedName>
    <definedName name="Explor_Prod">#REF!</definedName>
    <definedName name="Extract_MI" localSheetId="14">#REF!</definedName>
    <definedName name="Extract_MI" localSheetId="6">#REF!</definedName>
    <definedName name="Extract_MI" localSheetId="7">#REF!</definedName>
    <definedName name="Extract_MI" localSheetId="8">#REF!</definedName>
    <definedName name="Extract_MI">#REF!</definedName>
    <definedName name="F" localSheetId="14">#REF!</definedName>
    <definedName name="F" localSheetId="6">#REF!</definedName>
    <definedName name="F" localSheetId="7">#REF!</definedName>
    <definedName name="F" localSheetId="8">#REF!</definedName>
    <definedName name="F">#REF!</definedName>
    <definedName name="FAFEN_225" localSheetId="14">#REF!</definedName>
    <definedName name="FAFEN_225" localSheetId="6">#REF!</definedName>
    <definedName name="FAFEN_225" localSheetId="7">#REF!</definedName>
    <definedName name="FAFEN_225" localSheetId="8">#REF!</definedName>
    <definedName name="FAFEN_225">#REF!</definedName>
    <definedName name="fds" localSheetId="14">#REF!</definedName>
    <definedName name="fds" localSheetId="6">#REF!</definedName>
    <definedName name="fds" localSheetId="7">#REF!</definedName>
    <definedName name="fds" localSheetId="8">#REF!</definedName>
    <definedName name="fds">#REF!</definedName>
    <definedName name="fdsafdas" localSheetId="14">#REF!</definedName>
    <definedName name="fdsafdas" localSheetId="6">#REF!</definedName>
    <definedName name="fdsafdas" localSheetId="7">#REF!</definedName>
    <definedName name="fdsafdas" localSheetId="8">#REF!</definedName>
    <definedName name="fdsafdas">#REF!</definedName>
    <definedName name="fdsf" localSheetId="14">#REF!</definedName>
    <definedName name="fdsf" localSheetId="6">#REF!</definedName>
    <definedName name="fdsf" localSheetId="7">#REF!</definedName>
    <definedName name="fdsf" localSheetId="8">#REF!</definedName>
    <definedName name="fdsf">#REF!</definedName>
    <definedName name="FFF" localSheetId="14">#REF!</definedName>
    <definedName name="FFF" localSheetId="6">#REF!</definedName>
    <definedName name="FFF" localSheetId="7">#REF!</definedName>
    <definedName name="FFF" localSheetId="8">#REF!</definedName>
    <definedName name="FFF">#REF!</definedName>
    <definedName name="fffffffffffffffffffffffffff" localSheetId="14">#REF!</definedName>
    <definedName name="fffffffffffffffffffffffffff" localSheetId="6">#REF!</definedName>
    <definedName name="fffffffffffffffffffffffffff" localSheetId="7">#REF!</definedName>
    <definedName name="fffffffffffffffffffffffffff" localSheetId="8">#REF!</definedName>
    <definedName name="fffffffffffffffffffffffffff">#REF!</definedName>
    <definedName name="fg" localSheetId="14">[2]ADM_Áreas_Milhares!#REF!</definedName>
    <definedName name="fg" localSheetId="6">[2]ADM_Áreas_Milhares!#REF!</definedName>
    <definedName name="fg" localSheetId="7">[2]ADM_Áreas_Milhares!#REF!</definedName>
    <definedName name="fg" localSheetId="8">[2]ADM_Áreas_Milhares!#REF!</definedName>
    <definedName name="fg">[2]ADM_Áreas_Milhares!#REF!</definedName>
    <definedName name="FIMPRI" localSheetId="1">'1. Volume'!#REF!</definedName>
    <definedName name="FIMPRI" localSheetId="10">'10. Hedge'!#REF!</definedName>
    <definedName name="FIMPRI" localSheetId="11">'11. Debt'!#REF!</definedName>
    <definedName name="FIMPRI" localSheetId="13">'12. ESG'!#REF!</definedName>
    <definedName name="FIMPRI" localSheetId="12">'12. Macroeconomics'!#REF!</definedName>
    <definedName name="FIMPRI" localSheetId="14">#REF!</definedName>
    <definedName name="FIMPRI" localSheetId="15">'14. Consensus'!#REF!</definedName>
    <definedName name="FIMPRI" localSheetId="2">'2. Income Statement'!#REF!</definedName>
    <definedName name="FIMPRI" localSheetId="3">'3. Balance Sheet'!#REF!</definedName>
    <definedName name="FIMPRI" localSheetId="4">'4. CFR'!#REF!</definedName>
    <definedName name="FIMPRI" localSheetId="5">'5. Segment Reporting'!#REF!</definedName>
    <definedName name="FIMPRI" localSheetId="6">'6. Reconciliation'!#REF!</definedName>
    <definedName name="FIMPRI" localSheetId="7">'7. EBITDA Reconciliation'!#REF!</definedName>
    <definedName name="FIMPRI" localSheetId="8">'8. Investments (CAPEX)'!#REF!</definedName>
    <definedName name="FIMPRI" localSheetId="9">'9. Expenses by nature'!#REF!</definedName>
    <definedName name="FIMPRI">#REF!</definedName>
    <definedName name="fj" localSheetId="1">'1. Volume'!#REF!</definedName>
    <definedName name="fj" localSheetId="10">'10. Hedge'!#REF!</definedName>
    <definedName name="fj" localSheetId="11">'11. Debt'!#REF!</definedName>
    <definedName name="fj" localSheetId="13">'12. ESG'!#REF!</definedName>
    <definedName name="fj" localSheetId="12">'12. Macroeconomics'!#REF!</definedName>
    <definedName name="fj" localSheetId="14">#REF!</definedName>
    <definedName name="fj" localSheetId="15">'14. Consensus'!#REF!</definedName>
    <definedName name="fj" localSheetId="2">'2. Income Statement'!#REF!</definedName>
    <definedName name="fj" localSheetId="3">'3. Balance Sheet'!#REF!</definedName>
    <definedName name="fj" localSheetId="4">'4. CFR'!#REF!</definedName>
    <definedName name="fj" localSheetId="5">'5. Segment Reporting'!#REF!</definedName>
    <definedName name="fj" localSheetId="6">'6. Reconciliation'!#REF!</definedName>
    <definedName name="fj" localSheetId="7">'7. EBITDA Reconciliation'!#REF!</definedName>
    <definedName name="fj" localSheetId="8">'8. Investments (CAPEX)'!#REF!</definedName>
    <definedName name="fj" localSheetId="9">'9. Expenses by nature'!#REF!</definedName>
    <definedName name="fj">#REF!</definedName>
    <definedName name="Format" localSheetId="1">'1. Volume'!#REF!</definedName>
    <definedName name="Format" localSheetId="10">'10. Hedge'!#REF!</definedName>
    <definedName name="Format" localSheetId="11">'11. Debt'!#REF!</definedName>
    <definedName name="Format" localSheetId="13">'12. ESG'!#REF!</definedName>
    <definedName name="Format" localSheetId="12">'12. Macroeconomics'!#REF!</definedName>
    <definedName name="Format" localSheetId="14">#REF!</definedName>
    <definedName name="Format" localSheetId="15">'14. Consensus'!#REF!</definedName>
    <definedName name="Format" localSheetId="2">'2. Income Statement'!#REF!</definedName>
    <definedName name="Format" localSheetId="3">'3. Balance Sheet'!#REF!</definedName>
    <definedName name="Format" localSheetId="4">'4. CFR'!#REF!</definedName>
    <definedName name="Format" localSheetId="5">'5. Segment Reporting'!#REF!</definedName>
    <definedName name="Format" localSheetId="6">'6. Reconciliation'!#REF!</definedName>
    <definedName name="Format" localSheetId="7">'7. EBITDA Reconciliation'!#REF!</definedName>
    <definedName name="Format" localSheetId="8">'8. Investments (CAPEX)'!#REF!</definedName>
    <definedName name="Format" localSheetId="9">'9. Expenses by nature'!#REF!</definedName>
    <definedName name="Format">#REF!</definedName>
    <definedName name="FRONAPE_310" localSheetId="14">#REF!</definedName>
    <definedName name="FRONAPE_310" localSheetId="6">#REF!</definedName>
    <definedName name="FRONAPE_310" localSheetId="7">#REF!</definedName>
    <definedName name="FRONAPE_310" localSheetId="8">#REF!</definedName>
    <definedName name="FRONAPE_310">#REF!</definedName>
    <definedName name="G" localSheetId="14">#REF!</definedName>
    <definedName name="G" localSheetId="6">#REF!</definedName>
    <definedName name="G" localSheetId="7">#REF!</definedName>
    <definedName name="G" localSheetId="8">#REF!</definedName>
    <definedName name="G">#REF!</definedName>
    <definedName name="GANHO_PERDA">[8]ELIM_FINANCEIRA!$AR$4:$AW$17</definedName>
    <definedName name="GERAB_630" localSheetId="1">'1. Volume'!#REF!</definedName>
    <definedName name="GERAB_630" localSheetId="10">'10. Hedge'!#REF!</definedName>
    <definedName name="GERAB_630" localSheetId="11">'11. Debt'!#REF!</definedName>
    <definedName name="GERAB_630" localSheetId="13">'12. ESG'!#REF!</definedName>
    <definedName name="GERAB_630" localSheetId="12">'12. Macroeconomics'!#REF!</definedName>
    <definedName name="GERAB_630" localSheetId="14">#REF!</definedName>
    <definedName name="GERAB_630" localSheetId="15">'14. Consensus'!#REF!</definedName>
    <definedName name="GERAB_630" localSheetId="2">'2. Income Statement'!#REF!</definedName>
    <definedName name="GERAB_630" localSheetId="3">'3. Balance Sheet'!#REF!</definedName>
    <definedName name="GERAB_630" localSheetId="4">'4. CFR'!#REF!</definedName>
    <definedName name="GERAB_630" localSheetId="5">'5. Segment Reporting'!#REF!</definedName>
    <definedName name="GERAB_630" localSheetId="6">'6. Reconciliation'!#REF!</definedName>
    <definedName name="GERAB_630" localSheetId="7">'7. EBITDA Reconciliation'!#REF!</definedName>
    <definedName name="GERAB_630" localSheetId="8">'8. Investments (CAPEX)'!#REF!</definedName>
    <definedName name="GERAB_630" localSheetId="9">'9. Expenses by nature'!#REF!</definedName>
    <definedName name="GERAB_630">#REF!</definedName>
    <definedName name="gfd" localSheetId="14">#REF!</definedName>
    <definedName name="gfd" localSheetId="6">#REF!</definedName>
    <definedName name="gfd" localSheetId="7">#REF!</definedName>
    <definedName name="gfd" localSheetId="8">#REF!</definedName>
    <definedName name="gfd">#REF!</definedName>
    <definedName name="gfs" localSheetId="1">'1. Volume'!#REF!</definedName>
    <definedName name="gfs" localSheetId="10">'10. Hedge'!#REF!</definedName>
    <definedName name="gfs" localSheetId="11">'11. Debt'!#REF!</definedName>
    <definedName name="gfs" localSheetId="13">'12. ESG'!#REF!</definedName>
    <definedName name="gfs" localSheetId="12">'12. Macroeconomics'!#REF!</definedName>
    <definedName name="gfs" localSheetId="14">#REF!</definedName>
    <definedName name="gfs" localSheetId="15">'14. Consensus'!#REF!</definedName>
    <definedName name="gfs" localSheetId="2">'2. Income Statement'!#REF!</definedName>
    <definedName name="gfs" localSheetId="3">'3. Balance Sheet'!#REF!</definedName>
    <definedName name="gfs" localSheetId="4">'4. CFR'!#REF!</definedName>
    <definedName name="gfs" localSheetId="5">'5. Segment Reporting'!#REF!</definedName>
    <definedName name="gfs" localSheetId="6">'6. Reconciliation'!#REF!</definedName>
    <definedName name="gfs" localSheetId="7">'7. EBITDA Reconciliation'!#REF!</definedName>
    <definedName name="gfs" localSheetId="8">'8. Investments (CAPEX)'!#REF!</definedName>
    <definedName name="gfs" localSheetId="9">'9. Expenses by nature'!#REF!</definedName>
    <definedName name="gfs">#REF!</definedName>
    <definedName name="gg" localSheetId="1">'1. Volume'!#REF!</definedName>
    <definedName name="gg" localSheetId="10">'10. Hedge'!#REF!</definedName>
    <definedName name="gg" localSheetId="11">'11. Debt'!#REF!</definedName>
    <definedName name="gg" localSheetId="13">'12. ESG'!#REF!</definedName>
    <definedName name="gg" localSheetId="12">'12. Macroeconomics'!#REF!</definedName>
    <definedName name="gg" localSheetId="14">#REF!</definedName>
    <definedName name="gg" localSheetId="15">'14. Consensus'!#REF!</definedName>
    <definedName name="gg" localSheetId="2">'2. Income Statement'!#REF!</definedName>
    <definedName name="gg" localSheetId="3">'3. Balance Sheet'!#REF!</definedName>
    <definedName name="gg" localSheetId="4">'4. CFR'!#REF!</definedName>
    <definedName name="gg" localSheetId="5">'5. Segment Reporting'!#REF!</definedName>
    <definedName name="gg" localSheetId="6">'6. Reconciliation'!#REF!</definedName>
    <definedName name="gg" localSheetId="7">'7. EBITDA Reconciliation'!#REF!</definedName>
    <definedName name="gg" localSheetId="8">'8. Investments (CAPEX)'!#REF!</definedName>
    <definedName name="gg" localSheetId="9">'9. Expenses by nature'!#REF!</definedName>
    <definedName name="gg">#REF!</definedName>
    <definedName name="gggggggggggggggggggggggggg" localSheetId="14">#REF!</definedName>
    <definedName name="gggggggggggggggggggggggggg" localSheetId="6">#REF!</definedName>
    <definedName name="gggggggggggggggggggggggggg" localSheetId="7">#REF!</definedName>
    <definedName name="gggggggggggggggggggggggggg" localSheetId="8">#REF!</definedName>
    <definedName name="gggggggggggggggggggggggggg">#REF!</definedName>
    <definedName name="gr" localSheetId="14">#REF!</definedName>
    <definedName name="gr" localSheetId="6">#REF!</definedName>
    <definedName name="gr" localSheetId="7">#REF!</definedName>
    <definedName name="gr" localSheetId="8">#REF!</definedName>
    <definedName name="gr">#REF!</definedName>
    <definedName name="_xlnm.Recorder" localSheetId="14">[14]ADM_Áreas_Milhares!#REF!</definedName>
    <definedName name="_xlnm.Recorder" localSheetId="6">[14]ADM_Áreas_Milhares!#REF!</definedName>
    <definedName name="_xlnm.Recorder" localSheetId="7">[14]ADM_Áreas_Milhares!#REF!</definedName>
    <definedName name="_xlnm.Recorder" localSheetId="8">[14]ADM_Áreas_Milhares!#REF!</definedName>
    <definedName name="_xlnm.Recorder">[14]ADM_Áreas_Milhares!#REF!</definedName>
    <definedName name="gre" localSheetId="1">'1. Volume'!#REF!</definedName>
    <definedName name="gre" localSheetId="10">'10. Hedge'!#REF!</definedName>
    <definedName name="gre" localSheetId="11">'11. Debt'!#REF!</definedName>
    <definedName name="gre" localSheetId="13">'12. ESG'!#REF!</definedName>
    <definedName name="gre" localSheetId="12">'12. Macroeconomics'!#REF!</definedName>
    <definedName name="gre" localSheetId="14">#REF!</definedName>
    <definedName name="gre" localSheetId="15">'14. Consensus'!#REF!</definedName>
    <definedName name="gre" localSheetId="2">'2. Income Statement'!#REF!</definedName>
    <definedName name="gre" localSheetId="3">'3. Balance Sheet'!#REF!</definedName>
    <definedName name="gre" localSheetId="4">'4. CFR'!#REF!</definedName>
    <definedName name="gre" localSheetId="5">'5. Segment Reporting'!#REF!</definedName>
    <definedName name="gre" localSheetId="6">'6. Reconciliation'!#REF!</definedName>
    <definedName name="gre" localSheetId="7">'7. EBITDA Reconciliation'!#REF!</definedName>
    <definedName name="gre" localSheetId="8">'8. Investments (CAPEX)'!#REF!</definedName>
    <definedName name="gre" localSheetId="9">'9. Expenses by nature'!#REF!</definedName>
    <definedName name="gre">#REF!</definedName>
    <definedName name="grger" localSheetId="14">#REF!</definedName>
    <definedName name="grger" localSheetId="6">#REF!</definedName>
    <definedName name="grger" localSheetId="7">#REF!</definedName>
    <definedName name="grger" localSheetId="8">#REF!</definedName>
    <definedName name="grger">#REF!</definedName>
    <definedName name="hgf" localSheetId="1">'1. Volume'!#REF!</definedName>
    <definedName name="hgf" localSheetId="10">'10. Hedge'!#REF!</definedName>
    <definedName name="hgf" localSheetId="11">'11. Debt'!#REF!</definedName>
    <definedName name="hgf" localSheetId="13">'12. ESG'!#REF!</definedName>
    <definedName name="hgf" localSheetId="12">'12. Macroeconomics'!#REF!</definedName>
    <definedName name="hgf" localSheetId="14">#REF!</definedName>
    <definedName name="hgf" localSheetId="15">'14. Consensus'!#REF!</definedName>
    <definedName name="hgf" localSheetId="2">'2. Income Statement'!#REF!</definedName>
    <definedName name="hgf" localSheetId="3">'3. Balance Sheet'!#REF!</definedName>
    <definedName name="hgf" localSheetId="4">'4. CFR'!#REF!</definedName>
    <definedName name="hgf" localSheetId="5">'5. Segment Reporting'!#REF!</definedName>
    <definedName name="hgf" localSheetId="6">'6. Reconciliation'!#REF!</definedName>
    <definedName name="hgf" localSheetId="7">'7. EBITDA Reconciliation'!#REF!</definedName>
    <definedName name="hgf" localSheetId="8">'8. Investments (CAPEX)'!#REF!</definedName>
    <definedName name="hgf" localSheetId="9">'9. Expenses by nature'!#REF!</definedName>
    <definedName name="hgf">#REF!</definedName>
    <definedName name="hhhh" localSheetId="1">'1. Volume'!#REF!</definedName>
    <definedName name="hhhh" localSheetId="10">'10. Hedge'!#REF!</definedName>
    <definedName name="hhhh" localSheetId="11">'11. Debt'!#REF!</definedName>
    <definedName name="hhhh" localSheetId="13">'12. ESG'!#REF!</definedName>
    <definedName name="hhhh" localSheetId="12">'12. Macroeconomics'!#REF!</definedName>
    <definedName name="hhhh" localSheetId="14">#REF!</definedName>
    <definedName name="hhhh" localSheetId="15">'14. Consensus'!#REF!</definedName>
    <definedName name="hhhh" localSheetId="2">'2. Income Statement'!#REF!</definedName>
    <definedName name="hhhh" localSheetId="3">'3. Balance Sheet'!#REF!</definedName>
    <definedName name="hhhh" localSheetId="4">'4. CFR'!#REF!</definedName>
    <definedName name="hhhh" localSheetId="5">'5. Segment Reporting'!#REF!</definedName>
    <definedName name="hhhh" localSheetId="6">'6. Reconciliation'!#REF!</definedName>
    <definedName name="hhhh" localSheetId="7">'7. EBITDA Reconciliation'!#REF!</definedName>
    <definedName name="hhhh" localSheetId="8">'8. Investments (CAPEX)'!#REF!</definedName>
    <definedName name="hhhh" localSheetId="9">'9. Expenses by nature'!#REF!</definedName>
    <definedName name="hhhh">#REF!</definedName>
    <definedName name="htr" localSheetId="14">#REF!</definedName>
    <definedName name="htr" localSheetId="6">#REF!</definedName>
    <definedName name="htr" localSheetId="7">#REF!</definedName>
    <definedName name="htr" localSheetId="8">#REF!</definedName>
    <definedName name="htr">#REF!</definedName>
    <definedName name="htrr" localSheetId="14">#REF!</definedName>
    <definedName name="htrr" localSheetId="6">#REF!</definedName>
    <definedName name="htrr" localSheetId="7">#REF!</definedName>
    <definedName name="htrr" localSheetId="8">#REF!</definedName>
    <definedName name="htrr">#REF!</definedName>
    <definedName name="htrt" localSheetId="14">#REF!</definedName>
    <definedName name="htrt" localSheetId="6">#REF!</definedName>
    <definedName name="htrt" localSheetId="7">#REF!</definedName>
    <definedName name="htrt" localSheetId="8">#REF!</definedName>
    <definedName name="htrt">#REF!</definedName>
    <definedName name="htrtr" localSheetId="14">#REF!</definedName>
    <definedName name="htrtr" localSheetId="6">#REF!</definedName>
    <definedName name="htrtr" localSheetId="7">#REF!</definedName>
    <definedName name="htrtr" localSheetId="8">#REF!</definedName>
    <definedName name="htrtr">#REF!</definedName>
    <definedName name="i" localSheetId="14">#REF!</definedName>
    <definedName name="i" localSheetId="6">#REF!</definedName>
    <definedName name="i" localSheetId="7">#REF!</definedName>
    <definedName name="i" localSheetId="8">#REF!</definedName>
    <definedName name="i">#REF!</definedName>
    <definedName name="icms2" localSheetId="14">#REF!</definedName>
    <definedName name="icms2" localSheetId="6">#REF!</definedName>
    <definedName name="icms2" localSheetId="7">#REF!</definedName>
    <definedName name="icms2" localSheetId="8">#REF!</definedName>
    <definedName name="icms2">#REF!</definedName>
    <definedName name="icms222" localSheetId="14">#REF!</definedName>
    <definedName name="icms222" localSheetId="6">#REF!</definedName>
    <definedName name="icms222" localSheetId="7">#REF!</definedName>
    <definedName name="icms222" localSheetId="8">#REF!</definedName>
    <definedName name="icms222">#REF!</definedName>
    <definedName name="impressão" localSheetId="14">#REF!</definedName>
    <definedName name="impressão" localSheetId="6">#REF!</definedName>
    <definedName name="impressão" localSheetId="7">#REF!</definedName>
    <definedName name="impressão" localSheetId="8">#REF!</definedName>
    <definedName name="impressão">#REF!</definedName>
    <definedName name="INIMPRI" localSheetId="14">#REF!</definedName>
    <definedName name="INIMPRI" localSheetId="6">#REF!</definedName>
    <definedName name="INIMPRI" localSheetId="7">#REF!</definedName>
    <definedName name="INIMPRI" localSheetId="8">#REF!</definedName>
    <definedName name="INIMPRI">#REF!</definedName>
    <definedName name="INSTRUÇÕES" localSheetId="14">#REF!</definedName>
    <definedName name="INSTRUÇÕES" localSheetId="6">#REF!</definedName>
    <definedName name="INSTRUÇÕES" localSheetId="7">#REF!</definedName>
    <definedName name="INSTRUÇÕES" localSheetId="8">#REF!</definedName>
    <definedName name="INSTRUÇÕES">#REF!</definedName>
    <definedName name="INVEST_COMANDER" localSheetId="14">#REF!</definedName>
    <definedName name="INVEST_COMANDER" localSheetId="6">#REF!</definedName>
    <definedName name="INVEST_COMANDER" localSheetId="7">#REF!</definedName>
    <definedName name="INVEST_COMANDER" localSheetId="8">#REF!</definedName>
    <definedName name="INVEST_COMANDER">#REF!</definedName>
    <definedName name="INVEST_CONSOLIDADO" localSheetId="14">#REF!</definedName>
    <definedName name="INVEST_CONSOLIDADO" localSheetId="6">#REF!</definedName>
    <definedName name="INVEST_CONSOLIDADO" localSheetId="7">#REF!</definedName>
    <definedName name="INVEST_CONSOLIDADO" localSheetId="8">#REF!</definedName>
    <definedName name="INVEST_CONSOLIDADO">#REF!</definedName>
    <definedName name="INVEST_GRÁF_COMANDER" localSheetId="14">#REF!</definedName>
    <definedName name="INVEST_GRÁF_COMANDER" localSheetId="6">#REF!</definedName>
    <definedName name="INVEST_GRÁF_COMANDER" localSheetId="7">#REF!</definedName>
    <definedName name="INVEST_GRÁF_COMANDER" localSheetId="8">#REF!</definedName>
    <definedName name="INVEST_GRÁF_COMANDER">#REF!</definedName>
    <definedName name="Investimentos" localSheetId="14">#REF!</definedName>
    <definedName name="Investimentos" localSheetId="6">#REF!</definedName>
    <definedName name="Investimentos" localSheetId="7">#REF!</definedName>
    <definedName name="Investimentos" localSheetId="8">#REF!</definedName>
    <definedName name="Investimentos">#REF!</definedName>
    <definedName name="INVSET" localSheetId="14">#REF!</definedName>
    <definedName name="INVSET" localSheetId="6">#REF!</definedName>
    <definedName name="INVSET" localSheetId="7">#REF!</definedName>
    <definedName name="INVSET" localSheetId="8">#REF!</definedName>
    <definedName name="INVSET">#REF!</definedName>
    <definedName name="io" localSheetId="14">#REF!</definedName>
    <definedName name="io" localSheetId="6">#REF!</definedName>
    <definedName name="io" localSheetId="7">#REF!</definedName>
    <definedName name="io" localSheetId="8">#REF!</definedName>
    <definedName name="io">#REF!</definedName>
    <definedName name="IRPMENU">[3]MACROS!$BN$1</definedName>
    <definedName name="IRPQUADRO51">[3]MACROS!$BO$1</definedName>
    <definedName name="jh" localSheetId="1">'1. Volume'!#REF!</definedName>
    <definedName name="jh" localSheetId="10">'10. Hedge'!#REF!</definedName>
    <definedName name="jh" localSheetId="11">'11. Debt'!#REF!</definedName>
    <definedName name="jh" localSheetId="13">'12. ESG'!#REF!</definedName>
    <definedName name="jh" localSheetId="12">'12. Macroeconomics'!#REF!</definedName>
    <definedName name="jh" localSheetId="14">#REF!</definedName>
    <definedName name="jh" localSheetId="15">'14. Consensus'!#REF!</definedName>
    <definedName name="jh" localSheetId="2">'2. Income Statement'!#REF!</definedName>
    <definedName name="jh" localSheetId="3">'3. Balance Sheet'!#REF!</definedName>
    <definedName name="jh" localSheetId="4">'4. CFR'!#REF!</definedName>
    <definedName name="jh" localSheetId="5">'5. Segment Reporting'!#REF!</definedName>
    <definedName name="jh" localSheetId="6">'6. Reconciliation'!#REF!</definedName>
    <definedName name="jh" localSheetId="7">'7. EBITDA Reconciliation'!#REF!</definedName>
    <definedName name="jh" localSheetId="8">'8. Investments (CAPEX)'!#REF!</definedName>
    <definedName name="jh" localSheetId="9">'9. Expenses by nature'!#REF!</definedName>
    <definedName name="jh">#REF!</definedName>
    <definedName name="jjj" localSheetId="1">'1. Volume'!#REF!</definedName>
    <definedName name="jjj" localSheetId="10">'10. Hedge'!#REF!</definedName>
    <definedName name="jjj" localSheetId="11">'11. Debt'!#REF!</definedName>
    <definedName name="jjj" localSheetId="13">'12. ESG'!#REF!</definedName>
    <definedName name="jjj" localSheetId="12">'12. Macroeconomics'!#REF!</definedName>
    <definedName name="jjj" localSheetId="14">#REF!</definedName>
    <definedName name="jjj" localSheetId="15">'14. Consensus'!#REF!</definedName>
    <definedName name="jjj" localSheetId="2">'2. Income Statement'!#REF!</definedName>
    <definedName name="jjj" localSheetId="3">'3. Balance Sheet'!#REF!</definedName>
    <definedName name="jjj" localSheetId="4">'4. CFR'!#REF!</definedName>
    <definedName name="jjj" localSheetId="5">'5. Segment Reporting'!#REF!</definedName>
    <definedName name="jjj" localSheetId="6">'6. Reconciliation'!#REF!</definedName>
    <definedName name="jjj" localSheetId="7">'7. EBITDA Reconciliation'!#REF!</definedName>
    <definedName name="jjj" localSheetId="8">'8. Investments (CAPEX)'!#REF!</definedName>
    <definedName name="jjj" localSheetId="9">'9. Expenses by nature'!#REF!</definedName>
    <definedName name="jjj">#REF!</definedName>
    <definedName name="LANÇ_ELIM">[8]ELIM_FINANCEIRA!$B$2:$D$30</definedName>
    <definedName name="LL">'[15]Receita e Lucro'!$O$7:$O$19</definedName>
    <definedName name="LO">'[15]Receita e Lucro'!$L$7:$L$19</definedName>
    <definedName name="Lucro_Operacional" localSheetId="1">'1. Volume'!#REF!</definedName>
    <definedName name="Lucro_Operacional" localSheetId="10">'10. Hedge'!#REF!</definedName>
    <definedName name="Lucro_Operacional" localSheetId="11">'11. Debt'!#REF!</definedName>
    <definedName name="Lucro_Operacional" localSheetId="13">'12. ESG'!#REF!</definedName>
    <definedName name="Lucro_Operacional" localSheetId="12">'12. Macroeconomics'!#REF!</definedName>
    <definedName name="Lucro_Operacional" localSheetId="14">#REF!</definedName>
    <definedName name="Lucro_Operacional" localSheetId="15">'14. Consensus'!#REF!</definedName>
    <definedName name="Lucro_Operacional" localSheetId="2">'2. Income Statement'!#REF!</definedName>
    <definedName name="Lucro_Operacional" localSheetId="3">'3. Balance Sheet'!#REF!</definedName>
    <definedName name="Lucro_Operacional" localSheetId="4">'4. CFR'!#REF!</definedName>
    <definedName name="Lucro_Operacional" localSheetId="5">'5. Segment Reporting'!#REF!</definedName>
    <definedName name="Lucro_Operacional" localSheetId="6">'6. Reconciliation'!#REF!</definedName>
    <definedName name="Lucro_Operacional" localSheetId="7">'7. EBITDA Reconciliation'!#REF!</definedName>
    <definedName name="Lucro_Operacional" localSheetId="8">'8. Investments (CAPEX)'!#REF!</definedName>
    <definedName name="Lucro_Operacional" localSheetId="9">'9. Expenses by nature'!#REF!</definedName>
    <definedName name="Lucro_Operacional">#REF!</definedName>
    <definedName name="Lx_female" localSheetId="1">'1. Volume'!#REF!</definedName>
    <definedName name="Lx_female" localSheetId="10">'10. Hedge'!#REF!</definedName>
    <definedName name="Lx_female" localSheetId="11">'11. Debt'!#REF!</definedName>
    <definedName name="Lx_female" localSheetId="13">'12. ESG'!#REF!</definedName>
    <definedName name="Lx_female" localSheetId="12">'12. Macroeconomics'!#REF!</definedName>
    <definedName name="Lx_female" localSheetId="14">#REF!</definedName>
    <definedName name="Lx_female" localSheetId="15">'14. Consensus'!#REF!</definedName>
    <definedName name="Lx_female" localSheetId="2">'2. Income Statement'!#REF!</definedName>
    <definedName name="Lx_female" localSheetId="3">'3. Balance Sheet'!#REF!</definedName>
    <definedName name="Lx_female" localSheetId="4">'4. CFR'!#REF!</definedName>
    <definedName name="Lx_female" localSheetId="5">'5. Segment Reporting'!#REF!</definedName>
    <definedName name="Lx_female" localSheetId="6">'6. Reconciliation'!#REF!</definedName>
    <definedName name="Lx_female" localSheetId="7">'7. EBITDA Reconciliation'!#REF!</definedName>
    <definedName name="Lx_female" localSheetId="8">'8. Investments (CAPEX)'!#REF!</definedName>
    <definedName name="Lx_female" localSheetId="9">'9. Expenses by nature'!#REF!</definedName>
    <definedName name="Lx_female">#REF!</definedName>
    <definedName name="Lx_male" localSheetId="1">'1. Volume'!#REF!</definedName>
    <definedName name="Lx_male" localSheetId="10">'10. Hedge'!#REF!</definedName>
    <definedName name="Lx_male" localSheetId="11">'11. Debt'!#REF!</definedName>
    <definedName name="Lx_male" localSheetId="13">'12. ESG'!#REF!</definedName>
    <definedName name="Lx_male" localSheetId="12">'12. Macroeconomics'!#REF!</definedName>
    <definedName name="Lx_male" localSheetId="14">#REF!</definedName>
    <definedName name="Lx_male" localSheetId="15">'14. Consensus'!#REF!</definedName>
    <definedName name="Lx_male" localSheetId="2">'2. Income Statement'!#REF!</definedName>
    <definedName name="Lx_male" localSheetId="3">'3. Balance Sheet'!#REF!</definedName>
    <definedName name="Lx_male" localSheetId="4">'4. CFR'!#REF!</definedName>
    <definedName name="Lx_male" localSheetId="5">'5. Segment Reporting'!#REF!</definedName>
    <definedName name="Lx_male" localSheetId="6">'6. Reconciliation'!#REF!</definedName>
    <definedName name="Lx_male" localSheetId="7">'7. EBITDA Reconciliation'!#REF!</definedName>
    <definedName name="Lx_male" localSheetId="8">'8. Investments (CAPEX)'!#REF!</definedName>
    <definedName name="Lx_male" localSheetId="9">'9. Expenses by nature'!#REF!</definedName>
    <definedName name="Lx_male">#REF!</definedName>
    <definedName name="Macro46" localSheetId="14">#REF!</definedName>
    <definedName name="Macro46" localSheetId="6">#REF!</definedName>
    <definedName name="Macro46" localSheetId="7">#REF!</definedName>
    <definedName name="Macro46" localSheetId="8">#REF!</definedName>
    <definedName name="Macro46">#REF!</definedName>
    <definedName name="Macro47" localSheetId="14">#REF!</definedName>
    <definedName name="Macro47" localSheetId="6">#REF!</definedName>
    <definedName name="Macro47" localSheetId="7">#REF!</definedName>
    <definedName name="Macro47" localSheetId="8">#REF!</definedName>
    <definedName name="Macro47">#REF!</definedName>
    <definedName name="Macro48" localSheetId="14">#REF!</definedName>
    <definedName name="Macro48" localSheetId="6">#REF!</definedName>
    <definedName name="Macro48" localSheetId="7">#REF!</definedName>
    <definedName name="Macro48" localSheetId="8">#REF!</definedName>
    <definedName name="Macro48">#REF!</definedName>
    <definedName name="Macro49" localSheetId="14">#REF!</definedName>
    <definedName name="Macro49" localSheetId="6">#REF!</definedName>
    <definedName name="Macro49" localSheetId="7">#REF!</definedName>
    <definedName name="Macro49" localSheetId="8">#REF!</definedName>
    <definedName name="Macro49">#REF!</definedName>
    <definedName name="Macro50" localSheetId="14">#REF!</definedName>
    <definedName name="Macro50" localSheetId="6">#REF!</definedName>
    <definedName name="Macro50" localSheetId="7">#REF!</definedName>
    <definedName name="Macro50" localSheetId="8">#REF!</definedName>
    <definedName name="Macro50">#REF!</definedName>
    <definedName name="Macro51" localSheetId="14">#REF!</definedName>
    <definedName name="Macro51" localSheetId="6">#REF!</definedName>
    <definedName name="Macro51" localSheetId="7">#REF!</definedName>
    <definedName name="Macro51" localSheetId="8">#REF!</definedName>
    <definedName name="Macro51">#REF!</definedName>
    <definedName name="Macro52" localSheetId="14">#REF!</definedName>
    <definedName name="Macro52" localSheetId="6">#REF!</definedName>
    <definedName name="Macro52" localSheetId="7">#REF!</definedName>
    <definedName name="Macro52" localSheetId="8">#REF!</definedName>
    <definedName name="Macro52">#REF!</definedName>
    <definedName name="Macro53" localSheetId="14">#REF!</definedName>
    <definedName name="Macro53" localSheetId="6">#REF!</definedName>
    <definedName name="Macro53" localSheetId="7">#REF!</definedName>
    <definedName name="Macro53" localSheetId="8">#REF!</definedName>
    <definedName name="Macro53">#REF!</definedName>
    <definedName name="Macro54" localSheetId="14">#REF!</definedName>
    <definedName name="Macro54" localSheetId="6">#REF!</definedName>
    <definedName name="Macro54" localSheetId="7">#REF!</definedName>
    <definedName name="Macro54" localSheetId="8">#REF!</definedName>
    <definedName name="Macro54">#REF!</definedName>
    <definedName name="Macro55" localSheetId="14">#REF!</definedName>
    <definedName name="Macro55" localSheetId="6">#REF!</definedName>
    <definedName name="Macro55" localSheetId="7">#REF!</definedName>
    <definedName name="Macro55" localSheetId="8">#REF!</definedName>
    <definedName name="Macro55">#REF!</definedName>
    <definedName name="MACROS" localSheetId="14">#REF!</definedName>
    <definedName name="MACROS" localSheetId="6">#REF!</definedName>
    <definedName name="MACROS" localSheetId="7">#REF!</definedName>
    <definedName name="MACROS" localSheetId="8">#REF!</definedName>
    <definedName name="MACROS">#REF!</definedName>
    <definedName name="manauara" localSheetId="14">#REF!</definedName>
    <definedName name="manauara" localSheetId="6">#REF!</definedName>
    <definedName name="manauara" localSheetId="7">#REF!</definedName>
    <definedName name="manauara" localSheetId="8">#REF!</definedName>
    <definedName name="manauara">#REF!</definedName>
    <definedName name="MINISTÉRIO_DA_ECONOMIA__FAZENDA_E_PLANEJAMENTO" localSheetId="14">#REF!</definedName>
    <definedName name="MINISTÉRIO_DA_ECONOMIA__FAZENDA_E_PLANEJAMENTO" localSheetId="6">#REF!</definedName>
    <definedName name="MINISTÉRIO_DA_ECONOMIA__FAZENDA_E_PLANEJAMENTO" localSheetId="7">#REF!</definedName>
    <definedName name="MINISTÉRIO_DA_ECONOMIA__FAZENDA_E_PLANEJAMENTO" localSheetId="8">#REF!</definedName>
    <definedName name="MINISTÉRIO_DA_ECONOMIA__FAZENDA_E_PLANEJAMENTO">#REF!</definedName>
    <definedName name="Mut_Petrol_Alcool" localSheetId="14">#REF!</definedName>
    <definedName name="Mut_Petrol_Alcool" localSheetId="6">#REF!</definedName>
    <definedName name="Mut_Petrol_Alcool" localSheetId="7">#REF!</definedName>
    <definedName name="Mut_Petrol_Alcool" localSheetId="8">#REF!</definedName>
    <definedName name="Mut_Petrol_Alcool">#REF!</definedName>
    <definedName name="mutaçãopl" localSheetId="14">#REF!</definedName>
    <definedName name="mutaçãopl" localSheetId="6">#REF!</definedName>
    <definedName name="mutaçãopl" localSheetId="7">#REF!</definedName>
    <definedName name="mutaçãopl" localSheetId="8">#REF!</definedName>
    <definedName name="mutaçãopl">#REF!</definedName>
    <definedName name="noCont" localSheetId="14">#REF!</definedName>
    <definedName name="noCont" localSheetId="6">#REF!</definedName>
    <definedName name="noCont" localSheetId="7">#REF!</definedName>
    <definedName name="noCont" localSheetId="8">#REF!</definedName>
    <definedName name="noCont">#REF!</definedName>
    <definedName name="ONA_6" localSheetId="14">#REF!</definedName>
    <definedName name="ONA_6" localSheetId="6">#REF!</definedName>
    <definedName name="ONA_6" localSheetId="7">#REF!</definedName>
    <definedName name="ONA_6" localSheetId="8">#REF!</definedName>
    <definedName name="ONA_6">#REF!</definedName>
    <definedName name="ONA_6a" localSheetId="14">#REF!</definedName>
    <definedName name="ONA_6a" localSheetId="6">#REF!</definedName>
    <definedName name="ONA_6a" localSheetId="7">#REF!</definedName>
    <definedName name="ONA_6a" localSheetId="8">#REF!</definedName>
    <definedName name="ONA_6a">#REF!</definedName>
    <definedName name="oooooooo" localSheetId="14">#REF!</definedName>
    <definedName name="oooooooo" localSheetId="6">#REF!</definedName>
    <definedName name="oooooooo" localSheetId="7">#REF!</definedName>
    <definedName name="oooooooo" localSheetId="8">#REF!</definedName>
    <definedName name="oooooooo">#REF!</definedName>
    <definedName name="OUTROSAC_CRED">[16]ELIMINAÇÕES!$J$283</definedName>
    <definedName name="OUTROSAC_DEB">[16]ELIMINAÇÕES!$H$288</definedName>
    <definedName name="passivo" localSheetId="1">'1. Volume'!#REF!</definedName>
    <definedName name="passivo" localSheetId="10">'10. Hedge'!#REF!</definedName>
    <definedName name="passivo" localSheetId="11">'11. Debt'!#REF!</definedName>
    <definedName name="passivo" localSheetId="13">'12. ESG'!#REF!</definedName>
    <definedName name="passivo" localSheetId="12">'12. Macroeconomics'!#REF!</definedName>
    <definedName name="passivo" localSheetId="14">#REF!</definedName>
    <definedName name="passivo" localSheetId="15">'14. Consensus'!#REF!</definedName>
    <definedName name="passivo" localSheetId="2">'2. Income Statement'!#REF!</definedName>
    <definedName name="passivo" localSheetId="3">'3. Balance Sheet'!#REF!</definedName>
    <definedName name="passivo" localSheetId="4">'4. CFR'!#REF!</definedName>
    <definedName name="passivo" localSheetId="5">'5. Segment Reporting'!#REF!</definedName>
    <definedName name="passivo" localSheetId="6">'6. Reconciliation'!#REF!</definedName>
    <definedName name="passivo" localSheetId="7">'7. EBITDA Reconciliation'!#REF!</definedName>
    <definedName name="passivo" localSheetId="8">'8. Investments (CAPEX)'!#REF!</definedName>
    <definedName name="passivo" localSheetId="9">'9. Expenses by nature'!#REF!</definedName>
    <definedName name="passivo">#REF!</definedName>
    <definedName name="PASSIVO_CONS" localSheetId="1">'1. Volume'!#REF!</definedName>
    <definedName name="PASSIVO_CONS" localSheetId="10">'10. Hedge'!#REF!</definedName>
    <definedName name="PASSIVO_CONS" localSheetId="11">'11. Debt'!#REF!</definedName>
    <definedName name="PASSIVO_CONS" localSheetId="13">'12. ESG'!#REF!</definedName>
    <definedName name="PASSIVO_CONS" localSheetId="12">'12. Macroeconomics'!#REF!</definedName>
    <definedName name="PASSIVO_CONS" localSheetId="14">#REF!</definedName>
    <definedName name="PASSIVO_CONS" localSheetId="15">'14. Consensus'!#REF!</definedName>
    <definedName name="PASSIVO_CONS" localSheetId="2">'2. Income Statement'!#REF!</definedName>
    <definedName name="PASSIVO_CONS" localSheetId="3">'3. Balance Sheet'!#REF!</definedName>
    <definedName name="PASSIVO_CONS" localSheetId="4">'4. CFR'!#REF!</definedName>
    <definedName name="PASSIVO_CONS" localSheetId="5">'5. Segment Reporting'!#REF!</definedName>
    <definedName name="PASSIVO_CONS" localSheetId="6">'6. Reconciliation'!#REF!</definedName>
    <definedName name="PASSIVO_CONS" localSheetId="7">'7. EBITDA Reconciliation'!#REF!</definedName>
    <definedName name="PASSIVO_CONS" localSheetId="8">'8. Investments (CAPEX)'!#REF!</definedName>
    <definedName name="PASSIVO_CONS" localSheetId="9">'9. Expenses by nature'!#REF!</definedName>
    <definedName name="PASSIVO_CONS">#REF!</definedName>
    <definedName name="PASSIVO_CONS1" localSheetId="1">'1. Volume'!#REF!</definedName>
    <definedName name="PASSIVO_CONS1" localSheetId="10">'10. Hedge'!#REF!</definedName>
    <definedName name="PASSIVO_CONS1" localSheetId="11">'11. Debt'!#REF!</definedName>
    <definedName name="PASSIVO_CONS1" localSheetId="13">'12. ESG'!#REF!</definedName>
    <definedName name="PASSIVO_CONS1" localSheetId="12">'12. Macroeconomics'!#REF!</definedName>
    <definedName name="PASSIVO_CONS1" localSheetId="14">#REF!</definedName>
    <definedName name="PASSIVO_CONS1" localSheetId="15">'14. Consensus'!#REF!</definedName>
    <definedName name="PASSIVO_CONS1" localSheetId="2">'2. Income Statement'!#REF!</definedName>
    <definedName name="PASSIVO_CONS1" localSheetId="3">'3. Balance Sheet'!#REF!</definedName>
    <definedName name="PASSIVO_CONS1" localSheetId="4">'4. CFR'!#REF!</definedName>
    <definedName name="PASSIVO_CONS1" localSheetId="5">'5. Segment Reporting'!#REF!</definedName>
    <definedName name="PASSIVO_CONS1" localSheetId="6">'6. Reconciliation'!#REF!</definedName>
    <definedName name="PASSIVO_CONS1" localSheetId="7">'7. EBITDA Reconciliation'!#REF!</definedName>
    <definedName name="PASSIVO_CONS1" localSheetId="8">'8. Investments (CAPEX)'!#REF!</definedName>
    <definedName name="PASSIVO_CONS1" localSheetId="9">'9. Expenses by nature'!#REF!</definedName>
    <definedName name="PASSIVO_CONS1">#REF!</definedName>
    <definedName name="PB_FINANC_CMI">[8]ELIM_FINANCEIRA!$BO$2:$CI$70</definedName>
    <definedName name="PB_FINANC_LEG_SOC">[8]ELIM_FINANCEIRA!$BA$2:$BM$67</definedName>
    <definedName name="PC_financ">[12]BAL!$G$58</definedName>
    <definedName name="petrodef_51" localSheetId="1">'1. Volume'!#REF!</definedName>
    <definedName name="petrodef_51" localSheetId="10">'10. Hedge'!#REF!</definedName>
    <definedName name="petrodef_51" localSheetId="11">'11. Debt'!#REF!</definedName>
    <definedName name="petrodef_51" localSheetId="13">'12. ESG'!#REF!</definedName>
    <definedName name="petrodef_51" localSheetId="12">'12. Macroeconomics'!#REF!</definedName>
    <definedName name="petrodef_51" localSheetId="14">#REF!</definedName>
    <definedName name="petrodef_51" localSheetId="15">'14. Consensus'!#REF!</definedName>
    <definedName name="petrodef_51" localSheetId="2">'2. Income Statement'!#REF!</definedName>
    <definedName name="petrodef_51" localSheetId="3">'3. Balance Sheet'!#REF!</definedName>
    <definedName name="petrodef_51" localSheetId="4">'4. CFR'!#REF!</definedName>
    <definedName name="petrodef_51" localSheetId="5">'5. Segment Reporting'!#REF!</definedName>
    <definedName name="petrodef_51" localSheetId="6">'6. Reconciliation'!#REF!</definedName>
    <definedName name="petrodef_51" localSheetId="7">'7. EBITDA Reconciliation'!#REF!</definedName>
    <definedName name="petrodef_51" localSheetId="8">'8. Investments (CAPEX)'!#REF!</definedName>
    <definedName name="petrodef_51" localSheetId="9">'9. Expenses by nature'!#REF!</definedName>
    <definedName name="petrodef_51">#REF!</definedName>
    <definedName name="petrodef_51a" localSheetId="1">'1. Volume'!#REF!</definedName>
    <definedName name="petrodef_51a" localSheetId="10">'10. Hedge'!#REF!</definedName>
    <definedName name="petrodef_51a" localSheetId="11">'11. Debt'!#REF!</definedName>
    <definedName name="petrodef_51a" localSheetId="13">'12. ESG'!#REF!</definedName>
    <definedName name="petrodef_51a" localSheetId="12">'12. Macroeconomics'!#REF!</definedName>
    <definedName name="petrodef_51a" localSheetId="14">#REF!</definedName>
    <definedName name="petrodef_51a" localSheetId="15">'14. Consensus'!#REF!</definedName>
    <definedName name="petrodef_51a" localSheetId="2">'2. Income Statement'!#REF!</definedName>
    <definedName name="petrodef_51a" localSheetId="3">'3. Balance Sheet'!#REF!</definedName>
    <definedName name="petrodef_51a" localSheetId="4">'4. CFR'!#REF!</definedName>
    <definedName name="petrodef_51a" localSheetId="5">'5. Segment Reporting'!#REF!</definedName>
    <definedName name="petrodef_51a" localSheetId="6">'6. Reconciliation'!#REF!</definedName>
    <definedName name="petrodef_51a" localSheetId="7">'7. EBITDA Reconciliation'!#REF!</definedName>
    <definedName name="petrodef_51a" localSheetId="8">'8. Investments (CAPEX)'!#REF!</definedName>
    <definedName name="petrodef_51a" localSheetId="9">'9. Expenses by nature'!#REF!</definedName>
    <definedName name="petrodef_51a">#REF!</definedName>
    <definedName name="petrodef_51c" localSheetId="1">'1. Volume'!#REF!</definedName>
    <definedName name="petrodef_51c" localSheetId="10">'10. Hedge'!#REF!</definedName>
    <definedName name="petrodef_51c" localSheetId="11">'11. Debt'!#REF!</definedName>
    <definedName name="petrodef_51c" localSheetId="13">'12. ESG'!#REF!</definedName>
    <definedName name="petrodef_51c" localSheetId="12">'12. Macroeconomics'!#REF!</definedName>
    <definedName name="petrodef_51c" localSheetId="14">#REF!</definedName>
    <definedName name="petrodef_51c" localSheetId="15">'14. Consensus'!#REF!</definedName>
    <definedName name="petrodef_51c" localSheetId="2">'2. Income Statement'!#REF!</definedName>
    <definedName name="petrodef_51c" localSheetId="3">'3. Balance Sheet'!#REF!</definedName>
    <definedName name="petrodef_51c" localSheetId="4">'4. CFR'!#REF!</definedName>
    <definedName name="petrodef_51c" localSheetId="5">'5. Segment Reporting'!#REF!</definedName>
    <definedName name="petrodef_51c" localSheetId="6">'6. Reconciliation'!#REF!</definedName>
    <definedName name="petrodef_51c" localSheetId="7">'7. EBITDA Reconciliation'!#REF!</definedName>
    <definedName name="petrodef_51c" localSheetId="8">'8. Investments (CAPEX)'!#REF!</definedName>
    <definedName name="petrodef_51c" localSheetId="9">'9. Expenses by nature'!#REF!</definedName>
    <definedName name="petrodef_51c">#REF!</definedName>
    <definedName name="petroest_51" localSheetId="14">#REF!</definedName>
    <definedName name="petroest_51" localSheetId="6">#REF!</definedName>
    <definedName name="petroest_51" localSheetId="7">#REF!</definedName>
    <definedName name="petroest_51" localSheetId="8">#REF!</definedName>
    <definedName name="petroest_51">#REF!</definedName>
    <definedName name="petroest_51a" localSheetId="14">#REF!</definedName>
    <definedName name="petroest_51a" localSheetId="6">#REF!</definedName>
    <definedName name="petroest_51a" localSheetId="7">#REF!</definedName>
    <definedName name="petroest_51a" localSheetId="8">#REF!</definedName>
    <definedName name="petroest_51a">#REF!</definedName>
    <definedName name="petroest_51c" localSheetId="14">#REF!</definedName>
    <definedName name="petroest_51c" localSheetId="6">#REF!</definedName>
    <definedName name="petroest_51c" localSheetId="7">#REF!</definedName>
    <definedName name="petroest_51c" localSheetId="8">#REF!</definedName>
    <definedName name="petroest_51c">#REF!</definedName>
    <definedName name="PETROFÉRTIL" localSheetId="14">#REF!</definedName>
    <definedName name="PETROFÉRTIL" localSheetId="6">#REF!</definedName>
    <definedName name="PETROFÉRTIL" localSheetId="7">#REF!</definedName>
    <definedName name="PETROFÉRTIL" localSheetId="8">#REF!</definedName>
    <definedName name="PETROFÉRTIL">#REF!</definedName>
    <definedName name="PL_aj_vinc_petros" localSheetId="14">#REF!</definedName>
    <definedName name="PL_aj_vinc_petros" localSheetId="6">#REF!</definedName>
    <definedName name="PL_aj_vinc_petros" localSheetId="7">#REF!</definedName>
    <definedName name="PL_aj_vinc_petros" localSheetId="8">#REF!</definedName>
    <definedName name="PL_aj_vinc_petros">#REF!</definedName>
    <definedName name="PL_cap_rlp" localSheetId="14">#REF!</definedName>
    <definedName name="PL_cap_rlp" localSheetId="6">#REF!</definedName>
    <definedName name="PL_cap_rlp" localSheetId="7">#REF!</definedName>
    <definedName name="PL_cap_rlp" localSheetId="8">#REF!</definedName>
    <definedName name="PL_cap_rlp">#REF!</definedName>
    <definedName name="PL_cta" localSheetId="14">#REF!</definedName>
    <definedName name="PL_cta" localSheetId="6">#REF!</definedName>
    <definedName name="PL_cta" localSheetId="7">#REF!</definedName>
    <definedName name="PL_cta" localSheetId="8">#REF!</definedName>
    <definedName name="PL_cta">#REF!</definedName>
    <definedName name="PL_lucro_acum" localSheetId="14">#REF!</definedName>
    <definedName name="PL_lucro_acum" localSheetId="6">#REF!</definedName>
    <definedName name="PL_lucro_acum" localSheetId="7">#REF!</definedName>
    <definedName name="PL_lucro_acum" localSheetId="8">#REF!</definedName>
    <definedName name="PL_lucro_acum">#REF!</definedName>
    <definedName name="PL_prov_perd_SIBRELET" localSheetId="14">#REF!</definedName>
    <definedName name="PL_prov_perd_SIBRELET" localSheetId="6">#REF!</definedName>
    <definedName name="PL_prov_perd_SIBRELET" localSheetId="7">#REF!</definedName>
    <definedName name="PL_prov_perd_SIBRELET" localSheetId="8">#REF!</definedName>
    <definedName name="PL_prov_perd_SIBRELET">#REF!</definedName>
    <definedName name="PL_res_cap" localSheetId="14">#REF!</definedName>
    <definedName name="PL_res_cap" localSheetId="6">#REF!</definedName>
    <definedName name="PL_res_cap" localSheetId="7">#REF!</definedName>
    <definedName name="PL_res_cap" localSheetId="8">#REF!</definedName>
    <definedName name="PL_res_cap">#REF!</definedName>
    <definedName name="PL_res_lucro" localSheetId="14">#REF!</definedName>
    <definedName name="PL_res_lucro" localSheetId="6">#REF!</definedName>
    <definedName name="PL_res_lucro" localSheetId="7">#REF!</definedName>
    <definedName name="PL_res_lucro" localSheetId="8">#REF!</definedName>
    <definedName name="PL_res_lucro">#REF!</definedName>
    <definedName name="PL_res_reav" localSheetId="14">#REF!</definedName>
    <definedName name="PL_res_reav" localSheetId="6">#REF!</definedName>
    <definedName name="PL_res_reav" localSheetId="7">#REF!</definedName>
    <definedName name="PL_res_reav" localSheetId="8">#REF!</definedName>
    <definedName name="PL_res_reav">#REF!</definedName>
    <definedName name="PL_tot_pl">[12]BAL!$G$91</definedName>
    <definedName name="Print_Area_MI" localSheetId="1">'1. Volume'!#REF!</definedName>
    <definedName name="Print_Area_MI" localSheetId="10">'10. Hedge'!#REF!</definedName>
    <definedName name="Print_Area_MI" localSheetId="11">'11. Debt'!#REF!</definedName>
    <definedName name="Print_Area_MI" localSheetId="13">'12. ESG'!#REF!</definedName>
    <definedName name="Print_Area_MI" localSheetId="12">'12. Macroeconomics'!#REF!</definedName>
    <definedName name="Print_Area_MI" localSheetId="14">#REF!</definedName>
    <definedName name="Print_Area_MI" localSheetId="15">'14. Consensus'!#REF!</definedName>
    <definedName name="Print_Area_MI" localSheetId="2">'2. Income Statement'!#REF!</definedName>
    <definedName name="Print_Area_MI" localSheetId="3">'3. Balance Sheet'!#REF!</definedName>
    <definedName name="Print_Area_MI" localSheetId="4">'4. CFR'!#REF!</definedName>
    <definedName name="Print_Area_MI" localSheetId="5">'5. Segment Reporting'!#REF!</definedName>
    <definedName name="Print_Area_MI" localSheetId="6">'6. Reconciliation'!#REF!</definedName>
    <definedName name="Print_Area_MI" localSheetId="7">'7. EBITDA Reconciliation'!#REF!</definedName>
    <definedName name="Print_Area_MI" localSheetId="8">'8. Investments (CAPEX)'!#REF!</definedName>
    <definedName name="Print_Area_MI" localSheetId="9">'9. Expenses by nature'!#REF!</definedName>
    <definedName name="Print_Area_MI">#REF!</definedName>
    <definedName name="pytyt" localSheetId="1">'1. Volume'!#REF!</definedName>
    <definedName name="pytyt" localSheetId="10">'10. Hedge'!#REF!</definedName>
    <definedName name="pytyt" localSheetId="11">'11. Debt'!#REF!</definedName>
    <definedName name="pytyt" localSheetId="13">'12. ESG'!#REF!</definedName>
    <definedName name="pytyt" localSheetId="12">'12. Macroeconomics'!#REF!</definedName>
    <definedName name="pytyt" localSheetId="14">#REF!</definedName>
    <definedName name="pytyt" localSheetId="15">'14. Consensus'!#REF!</definedName>
    <definedName name="pytyt" localSheetId="2">'2. Income Statement'!#REF!</definedName>
    <definedName name="pytyt" localSheetId="3">'3. Balance Sheet'!#REF!</definedName>
    <definedName name="pytyt" localSheetId="4">'4. CFR'!#REF!</definedName>
    <definedName name="pytyt" localSheetId="5">'5. Segment Reporting'!#REF!</definedName>
    <definedName name="pytyt" localSheetId="6">'6. Reconciliation'!#REF!</definedName>
    <definedName name="pytyt" localSheetId="7">'7. EBITDA Reconciliation'!#REF!</definedName>
    <definedName name="pytyt" localSheetId="8">'8. Investments (CAPEX)'!#REF!</definedName>
    <definedName name="pytyt" localSheetId="9">'9. Expenses by nature'!#REF!</definedName>
    <definedName name="pytyt">#REF!</definedName>
    <definedName name="qdsq" localSheetId="14">#REF!</definedName>
    <definedName name="qdsq" localSheetId="6">#REF!</definedName>
    <definedName name="qdsq" localSheetId="7">#REF!</definedName>
    <definedName name="qdsq" localSheetId="8">#REF!</definedName>
    <definedName name="qdsq">#REF!</definedName>
    <definedName name="REC_FINANCEIRA">[8]ELIM_FINANCEIRA!$Y$1:$AO$94</definedName>
    <definedName name="Rec_Liquida" localSheetId="1">'1. Volume'!#REF!</definedName>
    <definedName name="Rec_Liquida" localSheetId="10">'10. Hedge'!#REF!</definedName>
    <definedName name="Rec_Liquida" localSheetId="11">'11. Debt'!#REF!</definedName>
    <definedName name="Rec_Liquida" localSheetId="13">'12. ESG'!#REF!</definedName>
    <definedName name="Rec_Liquida" localSheetId="12">'12. Macroeconomics'!#REF!</definedName>
    <definedName name="Rec_Liquida" localSheetId="14">#REF!</definedName>
    <definedName name="Rec_Liquida" localSheetId="15">'14. Consensus'!#REF!</definedName>
    <definedName name="Rec_Liquida" localSheetId="2">'2. Income Statement'!#REF!</definedName>
    <definedName name="Rec_Liquida" localSheetId="3">'3. Balance Sheet'!#REF!</definedName>
    <definedName name="Rec_Liquida" localSheetId="4">'4. CFR'!#REF!</definedName>
    <definedName name="Rec_Liquida" localSheetId="5">'5. Segment Reporting'!#REF!</definedName>
    <definedName name="Rec_Liquida" localSheetId="6">'6. Reconciliation'!#REF!</definedName>
    <definedName name="Rec_Liquida" localSheetId="7">'7. EBITDA Reconciliation'!#REF!</definedName>
    <definedName name="Rec_Liquida" localSheetId="8">'8. Investments (CAPEX)'!#REF!</definedName>
    <definedName name="Rec_Liquida" localSheetId="9">'9. Expenses by nature'!#REF!</definedName>
    <definedName name="Rec_Liquida">#REF!</definedName>
    <definedName name="RECAP_275" localSheetId="1">'1. Volume'!#REF!</definedName>
    <definedName name="RECAP_275" localSheetId="10">'10. Hedge'!#REF!</definedName>
    <definedName name="RECAP_275" localSheetId="11">'11. Debt'!#REF!</definedName>
    <definedName name="RECAP_275" localSheetId="13">'12. ESG'!#REF!</definedName>
    <definedName name="RECAP_275" localSheetId="12">'12. Macroeconomics'!#REF!</definedName>
    <definedName name="RECAP_275" localSheetId="14">#REF!</definedName>
    <definedName name="RECAP_275" localSheetId="15">'14. Consensus'!#REF!</definedName>
    <definedName name="RECAP_275" localSheetId="2">'2. Income Statement'!#REF!</definedName>
    <definedName name="RECAP_275" localSheetId="3">'3. Balance Sheet'!#REF!</definedName>
    <definedName name="RECAP_275" localSheetId="4">'4. CFR'!#REF!</definedName>
    <definedName name="RECAP_275" localSheetId="5">'5. Segment Reporting'!#REF!</definedName>
    <definedName name="RECAP_275" localSheetId="6">'6. Reconciliation'!#REF!</definedName>
    <definedName name="RECAP_275" localSheetId="7">'7. EBITDA Reconciliation'!#REF!</definedName>
    <definedName name="RECAP_275" localSheetId="8">'8. Investments (CAPEX)'!#REF!</definedName>
    <definedName name="RECAP_275" localSheetId="9">'9. Expenses by nature'!#REF!</definedName>
    <definedName name="RECAP_275">#REF!</definedName>
    <definedName name="RECONCILIAÇÃO" localSheetId="1">'1. Volume'!#REF!</definedName>
    <definedName name="RECONCILIAÇÃO" localSheetId="10">'10. Hedge'!#REF!</definedName>
    <definedName name="RECONCILIAÇÃO" localSheetId="11">'11. Debt'!#REF!</definedName>
    <definedName name="RECONCILIAÇÃO" localSheetId="13">'12. ESG'!#REF!</definedName>
    <definedName name="RECONCILIAÇÃO" localSheetId="12">'12. Macroeconomics'!#REF!</definedName>
    <definedName name="RECONCILIAÇÃO" localSheetId="14">#REF!</definedName>
    <definedName name="RECONCILIAÇÃO" localSheetId="15">'14. Consensus'!#REF!</definedName>
    <definedName name="RECONCILIAÇÃO" localSheetId="2">'2. Income Statement'!#REF!</definedName>
    <definedName name="RECONCILIAÇÃO" localSheetId="3">'3. Balance Sheet'!#REF!</definedName>
    <definedName name="RECONCILIAÇÃO" localSheetId="4">'4. CFR'!#REF!</definedName>
    <definedName name="RECONCILIAÇÃO" localSheetId="5">'5. Segment Reporting'!#REF!</definedName>
    <definedName name="RECONCILIAÇÃO" localSheetId="6">'6. Reconciliation'!#REF!</definedName>
    <definedName name="RECONCILIAÇÃO" localSheetId="7">'7. EBITDA Reconciliation'!#REF!</definedName>
    <definedName name="RECONCILIAÇÃO" localSheetId="8">'8. Investments (CAPEX)'!#REF!</definedName>
    <definedName name="RECONCILIAÇÃO" localSheetId="9">'9. Expenses by nature'!#REF!</definedName>
    <definedName name="RECONCILIAÇÃO">#REF!</definedName>
    <definedName name="Reconciliação2T19" localSheetId="1">[2]ADM_Áreas_Milhares!#REF!</definedName>
    <definedName name="Reconciliação2T19" localSheetId="10">[2]ADM_Áreas_Milhares!#REF!</definedName>
    <definedName name="Reconciliação2T19" localSheetId="11">[2]ADM_Áreas_Milhares!#REF!</definedName>
    <definedName name="Reconciliação2T19" localSheetId="13">[2]ADM_Áreas_Milhares!#REF!</definedName>
    <definedName name="Reconciliação2T19" localSheetId="12">[2]ADM_Áreas_Milhares!#REF!</definedName>
    <definedName name="Reconciliação2T19" localSheetId="15">[2]ADM_Áreas_Milhares!#REF!</definedName>
    <definedName name="Reconciliação2T19" localSheetId="2">[2]ADM_Áreas_Milhares!#REF!</definedName>
    <definedName name="Reconciliação2T19" localSheetId="3">[2]ADM_Áreas_Milhares!#REF!</definedName>
    <definedName name="Reconciliação2T19" localSheetId="4">[2]ADM_Áreas_Milhares!#REF!</definedName>
    <definedName name="Reconciliação2T19" localSheetId="5">[2]ADM_Áreas_Milhares!#REF!</definedName>
    <definedName name="Reconciliação2T19" localSheetId="6">[2]ADM_Áreas_Milhares!#REF!</definedName>
    <definedName name="Reconciliação2T19" localSheetId="7">[2]ADM_Áreas_Milhares!#REF!</definedName>
    <definedName name="Reconciliação2T19" localSheetId="8">[2]ADM_Áreas_Milhares!#REF!</definedName>
    <definedName name="Reconciliação2T19" localSheetId="9">[2]ADM_Áreas_Milhares!#REF!</definedName>
    <definedName name="Reconciliação2T19">[2]ADM_Áreas_Milhares!#REF!</definedName>
    <definedName name="REDUC_230" localSheetId="1">'1. Volume'!#REF!</definedName>
    <definedName name="REDUC_230" localSheetId="10">'10. Hedge'!#REF!</definedName>
    <definedName name="REDUC_230" localSheetId="11">'11. Debt'!#REF!</definedName>
    <definedName name="REDUC_230" localSheetId="13">'12. ESG'!#REF!</definedName>
    <definedName name="REDUC_230" localSheetId="12">'12. Macroeconomics'!#REF!</definedName>
    <definedName name="REDUC_230" localSheetId="14">#REF!</definedName>
    <definedName name="REDUC_230" localSheetId="15">'14. Consensus'!#REF!</definedName>
    <definedName name="REDUC_230" localSheetId="2">'2. Income Statement'!#REF!</definedName>
    <definedName name="REDUC_230" localSheetId="3">'3. Balance Sheet'!#REF!</definedName>
    <definedName name="REDUC_230" localSheetId="4">'4. CFR'!#REF!</definedName>
    <definedName name="REDUC_230" localSheetId="5">'5. Segment Reporting'!#REF!</definedName>
    <definedName name="REDUC_230" localSheetId="6">'6. Reconciliation'!#REF!</definedName>
    <definedName name="REDUC_230" localSheetId="7">'7. EBITDA Reconciliation'!#REF!</definedName>
    <definedName name="REDUC_230" localSheetId="8">'8. Investments (CAPEX)'!#REF!</definedName>
    <definedName name="REDUC_230" localSheetId="9">'9. Expenses by nature'!#REF!</definedName>
    <definedName name="REDUC_230">#REF!</definedName>
    <definedName name="REFAP_240" localSheetId="1">'1. Volume'!#REF!</definedName>
    <definedName name="REFAP_240" localSheetId="10">'10. Hedge'!#REF!</definedName>
    <definedName name="REFAP_240" localSheetId="11">'11. Debt'!#REF!</definedName>
    <definedName name="REFAP_240" localSheetId="13">'12. ESG'!#REF!</definedName>
    <definedName name="REFAP_240" localSheetId="12">'12. Macroeconomics'!#REF!</definedName>
    <definedName name="REFAP_240" localSheetId="14">#REF!</definedName>
    <definedName name="REFAP_240" localSheetId="15">'14. Consensus'!#REF!</definedName>
    <definedName name="REFAP_240" localSheetId="2">'2. Income Statement'!#REF!</definedName>
    <definedName name="REFAP_240" localSheetId="3">'3. Balance Sheet'!#REF!</definedName>
    <definedName name="REFAP_240" localSheetId="4">'4. CFR'!#REF!</definedName>
    <definedName name="REFAP_240" localSheetId="5">'5. Segment Reporting'!#REF!</definedName>
    <definedName name="REFAP_240" localSheetId="6">'6. Reconciliation'!#REF!</definedName>
    <definedName name="REFAP_240" localSheetId="7">'7. EBITDA Reconciliation'!#REF!</definedName>
    <definedName name="REFAP_240" localSheetId="8">'8. Investments (CAPEX)'!#REF!</definedName>
    <definedName name="REFAP_240" localSheetId="9">'9. Expenses by nature'!#REF!</definedName>
    <definedName name="REFAP_240">#REF!</definedName>
    <definedName name="Refino" localSheetId="1">'1. Volume'!#REF!</definedName>
    <definedName name="Refino" localSheetId="10">'10. Hedge'!#REF!</definedName>
    <definedName name="Refino" localSheetId="11">'11. Debt'!#REF!</definedName>
    <definedName name="Refino" localSheetId="13">'12. ESG'!#REF!</definedName>
    <definedName name="Refino" localSheetId="12">'12. Macroeconomics'!#REF!</definedName>
    <definedName name="Refino" localSheetId="14">#REF!</definedName>
    <definedName name="Refino" localSheetId="15">'14. Consensus'!#REF!</definedName>
    <definedName name="Refino" localSheetId="2">'2. Income Statement'!#REF!</definedName>
    <definedName name="Refino" localSheetId="3">'3. Balance Sheet'!#REF!</definedName>
    <definedName name="Refino" localSheetId="4">'4. CFR'!#REF!</definedName>
    <definedName name="Refino" localSheetId="5">'5. Segment Reporting'!#REF!</definedName>
    <definedName name="Refino" localSheetId="6">'6. Reconciliation'!#REF!</definedName>
    <definedName name="Refino" localSheetId="7">'7. EBITDA Reconciliation'!#REF!</definedName>
    <definedName name="Refino" localSheetId="8">'8. Investments (CAPEX)'!#REF!</definedName>
    <definedName name="Refino" localSheetId="9">'9. Expenses by nature'!#REF!</definedName>
    <definedName name="Refino">#REF!</definedName>
    <definedName name="REGAP_250" localSheetId="14">#REF!</definedName>
    <definedName name="REGAP_250" localSheetId="6">#REF!</definedName>
    <definedName name="REGAP_250" localSheetId="7">#REF!</definedName>
    <definedName name="REGAP_250" localSheetId="8">#REF!</definedName>
    <definedName name="REGAP_250">#REF!</definedName>
    <definedName name="REMAN_265" localSheetId="14">#REF!</definedName>
    <definedName name="REMAN_265" localSheetId="6">#REF!</definedName>
    <definedName name="REMAN_265" localSheetId="7">#REF!</definedName>
    <definedName name="REMAN_265" localSheetId="8">#REF!</definedName>
    <definedName name="REMAN_265">#REF!</definedName>
    <definedName name="REPAR_295" localSheetId="14">#REF!</definedName>
    <definedName name="REPAR_295" localSheetId="6">#REF!</definedName>
    <definedName name="REPAR_295" localSheetId="7">#REF!</definedName>
    <definedName name="REPAR_295" localSheetId="8">#REF!</definedName>
    <definedName name="REPAR_295">#REF!</definedName>
    <definedName name="REPLAN_270" localSheetId="14">#REF!</definedName>
    <definedName name="REPLAN_270" localSheetId="6">#REF!</definedName>
    <definedName name="REPLAN_270" localSheetId="7">#REF!</definedName>
    <definedName name="REPLAN_270" localSheetId="8">#REF!</definedName>
    <definedName name="REPLAN_270">#REF!</definedName>
    <definedName name="RESULT_COMANDER" localSheetId="14">#REF!</definedName>
    <definedName name="RESULT_COMANDER" localSheetId="6">#REF!</definedName>
    <definedName name="RESULT_COMANDER" localSheetId="7">#REF!</definedName>
    <definedName name="RESULT_COMANDER" localSheetId="8">#REF!</definedName>
    <definedName name="RESULT_COMANDER">#REF!</definedName>
    <definedName name="resultado" localSheetId="14">#REF!</definedName>
    <definedName name="resultado" localSheetId="6">#REF!</definedName>
    <definedName name="resultado" localSheetId="7">#REF!</definedName>
    <definedName name="resultado" localSheetId="8">#REF!</definedName>
    <definedName name="resultado">#REF!</definedName>
    <definedName name="REVAP_285" localSheetId="14">#REF!</definedName>
    <definedName name="REVAP_285" localSheetId="6">#REF!</definedName>
    <definedName name="REVAP_285" localSheetId="7">#REF!</definedName>
    <definedName name="REVAP_285" localSheetId="8">#REF!</definedName>
    <definedName name="REVAP_285">#REF!</definedName>
    <definedName name="REWF" localSheetId="14">#REF!</definedName>
    <definedName name="REWF" localSheetId="6">#REF!</definedName>
    <definedName name="REWF" localSheetId="7">#REF!</definedName>
    <definedName name="REWF" localSheetId="8">#REF!</definedName>
    <definedName name="REWF">#REF!</definedName>
    <definedName name="RLAM_220" localSheetId="14">#REF!</definedName>
    <definedName name="RLAM_220" localSheetId="6">#REF!</definedName>
    <definedName name="RLAM_220" localSheetId="7">#REF!</definedName>
    <definedName name="RLAM_220" localSheetId="8">#REF!</definedName>
    <definedName name="RLAM_220">#REF!</definedName>
    <definedName name="RLP_invest_conv" localSheetId="14">#REF!</definedName>
    <definedName name="RLP_invest_conv" localSheetId="6">#REF!</definedName>
    <definedName name="RLP_invest_conv" localSheetId="7">#REF!</definedName>
    <definedName name="RLP_invest_conv" localSheetId="8">#REF!</definedName>
    <definedName name="RLP_invest_conv">#REF!</definedName>
    <definedName name="RLP_ir_dif" localSheetId="14">#REF!</definedName>
    <definedName name="RLP_ir_dif" localSheetId="6">#REF!</definedName>
    <definedName name="RLP_ir_dif" localSheetId="7">#REF!</definedName>
    <definedName name="RLP_ir_dif" localSheetId="8">#REF!</definedName>
    <definedName name="RLP_ir_dif">#REF!</definedName>
    <definedName name="RLP_out_rlp" localSheetId="14">#REF!</definedName>
    <definedName name="RLP_out_rlp" localSheetId="6">#REF!</definedName>
    <definedName name="RLP_out_rlp" localSheetId="7">#REF!</definedName>
    <definedName name="RLP_out_rlp" localSheetId="8">#REF!</definedName>
    <definedName name="RLP_out_rlp">#REF!</definedName>
    <definedName name="RLP_tit_vm" localSheetId="14">#REF!</definedName>
    <definedName name="RLP_tit_vm" localSheetId="6">#REF!</definedName>
    <definedName name="RLP_tit_vm" localSheetId="7">#REF!</definedName>
    <definedName name="RLP_tit_vm" localSheetId="8">#REF!</definedName>
    <definedName name="RLP_tit_vm">#REF!</definedName>
    <definedName name="RLP_tot_rlp">[12]BAL!$G$35</definedName>
    <definedName name="ROB">'[15]Receita e Lucro'!$C$7:$C$19</definedName>
    <definedName name="ROXINHO_ATIVO_CONS" localSheetId="1">'1. Volume'!#REF!</definedName>
    <definedName name="ROXINHO_ATIVO_CONS" localSheetId="10">'10. Hedge'!#REF!</definedName>
    <definedName name="ROXINHO_ATIVO_CONS" localSheetId="11">'11. Debt'!#REF!</definedName>
    <definedName name="ROXINHO_ATIVO_CONS" localSheetId="13">'12. ESG'!#REF!</definedName>
    <definedName name="ROXINHO_ATIVO_CONS" localSheetId="12">'12. Macroeconomics'!#REF!</definedName>
    <definedName name="ROXINHO_ATIVO_CONS" localSheetId="14">#REF!</definedName>
    <definedName name="ROXINHO_ATIVO_CONS" localSheetId="15">'14. Consensus'!#REF!</definedName>
    <definedName name="ROXINHO_ATIVO_CONS" localSheetId="2">'2. Income Statement'!#REF!</definedName>
    <definedName name="ROXINHO_ATIVO_CONS" localSheetId="3">'3. Balance Sheet'!#REF!</definedName>
    <definedName name="ROXINHO_ATIVO_CONS" localSheetId="4">'4. CFR'!#REF!</definedName>
    <definedName name="ROXINHO_ATIVO_CONS" localSheetId="5">'5. Segment Reporting'!#REF!</definedName>
    <definedName name="ROXINHO_ATIVO_CONS" localSheetId="6">'6. Reconciliation'!#REF!</definedName>
    <definedName name="ROXINHO_ATIVO_CONS" localSheetId="7">'7. EBITDA Reconciliation'!#REF!</definedName>
    <definedName name="ROXINHO_ATIVO_CONS" localSheetId="8">'8. Investments (CAPEX)'!#REF!</definedName>
    <definedName name="ROXINHO_ATIVO_CONS" localSheetId="9">'9. Expenses by nature'!#REF!</definedName>
    <definedName name="ROXINHO_ATIVO_CONS">#REF!</definedName>
    <definedName name="ROXINHO_ATIVO_CONS1" localSheetId="1">'1. Volume'!#REF!</definedName>
    <definedName name="ROXINHO_ATIVO_CONS1" localSheetId="10">'10. Hedge'!#REF!</definedName>
    <definedName name="ROXINHO_ATIVO_CONS1" localSheetId="11">'11. Debt'!#REF!</definedName>
    <definedName name="ROXINHO_ATIVO_CONS1" localSheetId="13">'12. ESG'!#REF!</definedName>
    <definedName name="ROXINHO_ATIVO_CONS1" localSheetId="12">'12. Macroeconomics'!#REF!</definedName>
    <definedName name="ROXINHO_ATIVO_CONS1" localSheetId="14">#REF!</definedName>
    <definedName name="ROXINHO_ATIVO_CONS1" localSheetId="15">'14. Consensus'!#REF!</definedName>
    <definedName name="ROXINHO_ATIVO_CONS1" localSheetId="2">'2. Income Statement'!#REF!</definedName>
    <definedName name="ROXINHO_ATIVO_CONS1" localSheetId="3">'3. Balance Sheet'!#REF!</definedName>
    <definedName name="ROXINHO_ATIVO_CONS1" localSheetId="4">'4. CFR'!#REF!</definedName>
    <definedName name="ROXINHO_ATIVO_CONS1" localSheetId="5">'5. Segment Reporting'!#REF!</definedName>
    <definedName name="ROXINHO_ATIVO_CONS1" localSheetId="6">'6. Reconciliation'!#REF!</definedName>
    <definedName name="ROXINHO_ATIVO_CONS1" localSheetId="7">'7. EBITDA Reconciliation'!#REF!</definedName>
    <definedName name="ROXINHO_ATIVO_CONS1" localSheetId="8">'8. Investments (CAPEX)'!#REF!</definedName>
    <definedName name="ROXINHO_ATIVO_CONS1" localSheetId="9">'9. Expenses by nature'!#REF!</definedName>
    <definedName name="ROXINHO_ATIVO_CONS1">#REF!</definedName>
    <definedName name="ROXINHO_INV_CONS" localSheetId="1">'1. Volume'!#REF!</definedName>
    <definedName name="ROXINHO_INV_CONS" localSheetId="10">'10. Hedge'!#REF!</definedName>
    <definedName name="ROXINHO_INV_CONS" localSheetId="11">'11. Debt'!#REF!</definedName>
    <definedName name="ROXINHO_INV_CONS" localSheetId="13">'12. ESG'!#REF!</definedName>
    <definedName name="ROXINHO_INV_CONS" localSheetId="12">'12. Macroeconomics'!#REF!</definedName>
    <definedName name="ROXINHO_INV_CONS" localSheetId="14">#REF!</definedName>
    <definedName name="ROXINHO_INV_CONS" localSheetId="15">'14. Consensus'!#REF!</definedName>
    <definedName name="ROXINHO_INV_CONS" localSheetId="2">'2. Income Statement'!#REF!</definedName>
    <definedName name="ROXINHO_INV_CONS" localSheetId="3">'3. Balance Sheet'!#REF!</definedName>
    <definedName name="ROXINHO_INV_CONS" localSheetId="4">'4. CFR'!#REF!</definedName>
    <definedName name="ROXINHO_INV_CONS" localSheetId="5">'5. Segment Reporting'!#REF!</definedName>
    <definedName name="ROXINHO_INV_CONS" localSheetId="6">'6. Reconciliation'!#REF!</definedName>
    <definedName name="ROXINHO_INV_CONS" localSheetId="7">'7. EBITDA Reconciliation'!#REF!</definedName>
    <definedName name="ROXINHO_INV_CONS" localSheetId="8">'8. Investments (CAPEX)'!#REF!</definedName>
    <definedName name="ROXINHO_INV_CONS" localSheetId="9">'9. Expenses by nature'!#REF!</definedName>
    <definedName name="ROXINHO_INV_CONS">#REF!</definedName>
    <definedName name="ROXINHO_PASSIVO_CONS" localSheetId="14">#REF!</definedName>
    <definedName name="ROXINHO_PASSIVO_CONS" localSheetId="6">#REF!</definedName>
    <definedName name="ROXINHO_PASSIVO_CONS" localSheetId="7">#REF!</definedName>
    <definedName name="ROXINHO_PASSIVO_CONS" localSheetId="8">#REF!</definedName>
    <definedName name="ROXINHO_PASSIVO_CONS">#REF!</definedName>
    <definedName name="ROXINHO_PASSIVO_CONS1" localSheetId="14">#REF!</definedName>
    <definedName name="ROXINHO_PASSIVO_CONS1" localSheetId="6">#REF!</definedName>
    <definedName name="ROXINHO_PASSIVO_CONS1" localSheetId="7">#REF!</definedName>
    <definedName name="ROXINHO_PASSIVO_CONS1" localSheetId="8">#REF!</definedName>
    <definedName name="ROXINHO_PASSIVO_CONS1">#REF!</definedName>
    <definedName name="RPBC_210" localSheetId="14">#REF!</definedName>
    <definedName name="RPBC_210" localSheetId="6">#REF!</definedName>
    <definedName name="RPBC_210" localSheetId="7">#REF!</definedName>
    <definedName name="RPBC_210" localSheetId="8">#REF!</definedName>
    <definedName name="RPBC_210">#REF!</definedName>
    <definedName name="rw" localSheetId="14">[2]ADM_Áreas_Milhares!#REF!</definedName>
    <definedName name="rw" localSheetId="6">[2]ADM_Áreas_Milhares!#REF!</definedName>
    <definedName name="rw" localSheetId="7">[2]ADM_Áreas_Milhares!#REF!</definedName>
    <definedName name="rw" localSheetId="8">[2]ADM_Áreas_Milhares!#REF!</definedName>
    <definedName name="rw">[2]ADM_Áreas_Milhares!#REF!</definedName>
    <definedName name="s" localSheetId="1">'1. Volume'!#REF!</definedName>
    <definedName name="s" localSheetId="10">'10. Hedge'!#REF!</definedName>
    <definedName name="s" localSheetId="11">'11. Debt'!#REF!</definedName>
    <definedName name="s" localSheetId="13">'12. ESG'!#REF!</definedName>
    <definedName name="s" localSheetId="12">'12. Macroeconomics'!#REF!</definedName>
    <definedName name="s" localSheetId="14">#REF!</definedName>
    <definedName name="s" localSheetId="15">'14. Consensus'!#REF!</definedName>
    <definedName name="s" localSheetId="2">'2. Income Statement'!#REF!</definedName>
    <definedName name="s" localSheetId="3">'3. Balance Sheet'!#REF!</definedName>
    <definedName name="s" localSheetId="4">'4. CFR'!#REF!</definedName>
    <definedName name="s" localSheetId="5">'5. Segment Reporting'!#REF!</definedName>
    <definedName name="s" localSheetId="6">'6. Reconciliation'!#REF!</definedName>
    <definedName name="s" localSheetId="7">'7. EBITDA Reconciliation'!#REF!</definedName>
    <definedName name="s" localSheetId="8">'8. Investments (CAPEX)'!#REF!</definedName>
    <definedName name="s" localSheetId="9">'9. Expenses by nature'!#REF!</definedName>
    <definedName name="s">#REF!</definedName>
    <definedName name="sa" localSheetId="1">'1. Volume'!#REF!</definedName>
    <definedName name="sa" localSheetId="10">'10. Hedge'!#REF!</definedName>
    <definedName name="sa" localSheetId="11">'11. Debt'!#REF!</definedName>
    <definedName name="sa" localSheetId="13">'12. ESG'!#REF!</definedName>
    <definedName name="sa" localSheetId="12">'12. Macroeconomics'!#REF!</definedName>
    <definedName name="sa" localSheetId="14">#REF!</definedName>
    <definedName name="sa" localSheetId="15">'14. Consensus'!#REF!</definedName>
    <definedName name="sa" localSheetId="2">'2. Income Statement'!#REF!</definedName>
    <definedName name="sa" localSheetId="3">'3. Balance Sheet'!#REF!</definedName>
    <definedName name="sa" localSheetId="4">'4. CFR'!#REF!</definedName>
    <definedName name="sa" localSheetId="5">'5. Segment Reporting'!#REF!</definedName>
    <definedName name="sa" localSheetId="6">'6. Reconciliation'!#REF!</definedName>
    <definedName name="sa" localSheetId="7">'7. EBITDA Reconciliation'!#REF!</definedName>
    <definedName name="sa" localSheetId="8">'8. Investments (CAPEX)'!#REF!</definedName>
    <definedName name="sa" localSheetId="9">'9. Expenses by nature'!#REF!</definedName>
    <definedName name="sa">#REF!</definedName>
    <definedName name="SAPBEXrevision" hidden="1">1</definedName>
    <definedName name="SAPBEXsysID" hidden="1">"WCP"</definedName>
    <definedName name="SAPBEXwbID" hidden="1">"3VX53RY18XFI7USMNU50V82ZD"</definedName>
    <definedName name="SAS" localSheetId="1">'1. Volume'!#REF!</definedName>
    <definedName name="SAS" localSheetId="10">'10. Hedge'!#REF!</definedName>
    <definedName name="SAS" localSheetId="11">'11. Debt'!#REF!</definedName>
    <definedName name="SAS" localSheetId="13">'12. ESG'!#REF!</definedName>
    <definedName name="SAS" localSheetId="12">'12. Macroeconomics'!#REF!</definedName>
    <definedName name="SAS" localSheetId="14">#REF!</definedName>
    <definedName name="SAS" localSheetId="15">'14. Consensus'!#REF!</definedName>
    <definedName name="SAS" localSheetId="2">'2. Income Statement'!#REF!</definedName>
    <definedName name="SAS" localSheetId="3">'3. Balance Sheet'!#REF!</definedName>
    <definedName name="SAS" localSheetId="4">'4. CFR'!#REF!</definedName>
    <definedName name="SAS" localSheetId="5">'5. Segment Reporting'!#REF!</definedName>
    <definedName name="SAS" localSheetId="6">'6. Reconciliation'!#REF!</definedName>
    <definedName name="SAS" localSheetId="7">'7. EBITDA Reconciliation'!#REF!</definedName>
    <definedName name="SAS" localSheetId="8">'8. Investments (CAPEX)'!#REF!</definedName>
    <definedName name="SAS" localSheetId="9">'9. Expenses by nature'!#REF!</definedName>
    <definedName name="SAS">#REF!</definedName>
    <definedName name="SEFIN_550" localSheetId="1">'1. Volume'!#REF!</definedName>
    <definedName name="SEFIN_550" localSheetId="10">'10. Hedge'!#REF!</definedName>
    <definedName name="SEFIN_550" localSheetId="11">'11. Debt'!#REF!</definedName>
    <definedName name="SEFIN_550" localSheetId="13">'12. ESG'!#REF!</definedName>
    <definedName name="SEFIN_550" localSheetId="12">'12. Macroeconomics'!#REF!</definedName>
    <definedName name="SEFIN_550" localSheetId="14">#REF!</definedName>
    <definedName name="SEFIN_550" localSheetId="15">'14. Consensus'!#REF!</definedName>
    <definedName name="SEFIN_550" localSheetId="2">'2. Income Statement'!#REF!</definedName>
    <definedName name="SEFIN_550" localSheetId="3">'3. Balance Sheet'!#REF!</definedName>
    <definedName name="SEFIN_550" localSheetId="4">'4. CFR'!#REF!</definedName>
    <definedName name="SEFIN_550" localSheetId="5">'5. Segment Reporting'!#REF!</definedName>
    <definedName name="SEFIN_550" localSheetId="6">'6. Reconciliation'!#REF!</definedName>
    <definedName name="SEFIN_550" localSheetId="7">'7. EBITDA Reconciliation'!#REF!</definedName>
    <definedName name="SEFIN_550" localSheetId="8">'8. Investments (CAPEX)'!#REF!</definedName>
    <definedName name="SEFIN_550" localSheetId="9">'9. Expenses by nature'!#REF!</definedName>
    <definedName name="SEFIN_550">#REF!</definedName>
    <definedName name="ss" localSheetId="1">'1. Volume'!#REF!</definedName>
    <definedName name="ss" localSheetId="10">'10. Hedge'!#REF!</definedName>
    <definedName name="ss" localSheetId="11">'11. Debt'!#REF!</definedName>
    <definedName name="ss" localSheetId="13">'12. ESG'!#REF!</definedName>
    <definedName name="ss" localSheetId="12">'12. Macroeconomics'!#REF!</definedName>
    <definedName name="ss" localSheetId="14">#REF!</definedName>
    <definedName name="ss" localSheetId="15">'14. Consensus'!#REF!</definedName>
    <definedName name="ss" localSheetId="2">'2. Income Statement'!#REF!</definedName>
    <definedName name="ss" localSheetId="3">'3. Balance Sheet'!#REF!</definedName>
    <definedName name="ss" localSheetId="4">'4. CFR'!#REF!</definedName>
    <definedName name="ss" localSheetId="5">'5. Segment Reporting'!#REF!</definedName>
    <definedName name="ss" localSheetId="6">'6. Reconciliation'!#REF!</definedName>
    <definedName name="ss" localSheetId="7">'7. EBITDA Reconciliation'!#REF!</definedName>
    <definedName name="ss" localSheetId="8">'8. Investments (CAPEX)'!#REF!</definedName>
    <definedName name="ss" localSheetId="9">'9. Expenses by nature'!#REF!</definedName>
    <definedName name="ss">#REF!</definedName>
    <definedName name="ssssssssssssssss" localSheetId="14">#REF!</definedName>
    <definedName name="ssssssssssssssss" localSheetId="6">#REF!</definedName>
    <definedName name="ssssssssssssssss" localSheetId="7">#REF!</definedName>
    <definedName name="ssssssssssssssss" localSheetId="8">#REF!</definedName>
    <definedName name="ssssssssssssssss">#REF!</definedName>
    <definedName name="ssssssssssssssssssssssssssssssssssssss" localSheetId="14">#REF!</definedName>
    <definedName name="ssssssssssssssssssssssssssssssssssssss" localSheetId="6">#REF!</definedName>
    <definedName name="ssssssssssssssssssssssssssssssssssssss" localSheetId="7">#REF!</definedName>
    <definedName name="ssssssssssssssssssssssssssssssssssssss" localSheetId="8">#REF!</definedName>
    <definedName name="ssssssssssssssssssssssssssssssssssssss">#REF!</definedName>
    <definedName name="SUBS_FINANC_CMI">[8]ELIM_FINANCEIRA!$CZ$2:$DT$72</definedName>
    <definedName name="SUBS_FINANC_LEG_SOC">[8]ELIM_FINANCEIRA!$CL$2:$CX$67</definedName>
    <definedName name="t4t" localSheetId="1">'1. Volume'!#REF!</definedName>
    <definedName name="t4t" localSheetId="10">'10. Hedge'!#REF!</definedName>
    <definedName name="t4t" localSheetId="11">'11. Debt'!#REF!</definedName>
    <definedName name="t4t" localSheetId="13">'12. ESG'!#REF!</definedName>
    <definedName name="t4t" localSheetId="12">'12. Macroeconomics'!#REF!</definedName>
    <definedName name="t4t" localSheetId="14">#REF!</definedName>
    <definedName name="t4t" localSheetId="15">'14. Consensus'!#REF!</definedName>
    <definedName name="t4t" localSheetId="2">'2. Income Statement'!#REF!</definedName>
    <definedName name="t4t" localSheetId="3">'3. Balance Sheet'!#REF!</definedName>
    <definedName name="t4t" localSheetId="4">'4. CFR'!#REF!</definedName>
    <definedName name="t4t" localSheetId="5">'5. Segment Reporting'!#REF!</definedName>
    <definedName name="t4t" localSheetId="6">'6. Reconciliation'!#REF!</definedName>
    <definedName name="t4t" localSheetId="7">'7. EBITDA Reconciliation'!#REF!</definedName>
    <definedName name="t4t" localSheetId="8">'8. Investments (CAPEX)'!#REF!</definedName>
    <definedName name="t4t" localSheetId="9">'9. Expenses by nature'!#REF!</definedName>
    <definedName name="t4t">#REF!</definedName>
    <definedName name="TAB_UFIR">[8]ELIM_FINANCEIRA!$AW$2:$AZ$24</definedName>
    <definedName name="TABELA" localSheetId="1">'1. Volume'!#REF!</definedName>
    <definedName name="TABELA" localSheetId="10">'10. Hedge'!#REF!</definedName>
    <definedName name="TABELA" localSheetId="11">'11. Debt'!#REF!</definedName>
    <definedName name="TABELA" localSheetId="13">'12. ESG'!#REF!</definedName>
    <definedName name="TABELA" localSheetId="12">'12. Macroeconomics'!#REF!</definedName>
    <definedName name="TABELA" localSheetId="14">#REF!</definedName>
    <definedName name="TABELA" localSheetId="15">'14. Consensus'!#REF!</definedName>
    <definedName name="TABELA" localSheetId="2">'2. Income Statement'!#REF!</definedName>
    <definedName name="TABELA" localSheetId="3">'3. Balance Sheet'!#REF!</definedName>
    <definedName name="TABELA" localSheetId="4">'4. CFR'!#REF!</definedName>
    <definedName name="TABELA" localSheetId="5">'5. Segment Reporting'!#REF!</definedName>
    <definedName name="TABELA" localSheetId="6">'6. Reconciliation'!#REF!</definedName>
    <definedName name="TABELA" localSheetId="7">'7. EBITDA Reconciliation'!#REF!</definedName>
    <definedName name="TABELA" localSheetId="8">'8. Investments (CAPEX)'!#REF!</definedName>
    <definedName name="TABELA" localSheetId="9">'9. Expenses by nature'!#REF!</definedName>
    <definedName name="TABELA">#REF!</definedName>
    <definedName name="TABELA1" localSheetId="1">'1. Volume'!#REF!</definedName>
    <definedName name="TABELA1" localSheetId="10">'10. Hedge'!#REF!</definedName>
    <definedName name="TABELA1" localSheetId="11">'11. Debt'!#REF!</definedName>
    <definedName name="TABELA1" localSheetId="13">'12. ESG'!#REF!</definedName>
    <definedName name="TABELA1" localSheetId="12">'12. Macroeconomics'!#REF!</definedName>
    <definedName name="TABELA1" localSheetId="14">#REF!</definedName>
    <definedName name="TABELA1" localSheetId="15">'14. Consensus'!#REF!</definedName>
    <definedName name="TABELA1" localSheetId="2">'2. Income Statement'!#REF!</definedName>
    <definedName name="TABELA1" localSheetId="3">'3. Balance Sheet'!#REF!</definedName>
    <definedName name="TABELA1" localSheetId="4">'4. CFR'!#REF!</definedName>
    <definedName name="TABELA1" localSheetId="5">'5. Segment Reporting'!#REF!</definedName>
    <definedName name="TABELA1" localSheetId="6">'6. Reconciliation'!#REF!</definedName>
    <definedName name="TABELA1" localSheetId="7">'7. EBITDA Reconciliation'!#REF!</definedName>
    <definedName name="TABELA1" localSheetId="8">'8. Investments (CAPEX)'!#REF!</definedName>
    <definedName name="TABELA1" localSheetId="9">'9. Expenses by nature'!#REF!</definedName>
    <definedName name="TABELA1">#REF!</definedName>
    <definedName name="TABELA2" localSheetId="1">'1. Volume'!#REF!</definedName>
    <definedName name="TABELA2" localSheetId="10">'10. Hedge'!#REF!</definedName>
    <definedName name="TABELA2" localSheetId="11">'11. Debt'!#REF!</definedName>
    <definedName name="TABELA2" localSheetId="13">'12. ESG'!#REF!</definedName>
    <definedName name="TABELA2" localSheetId="12">'12. Macroeconomics'!#REF!</definedName>
    <definedName name="TABELA2" localSheetId="14">#REF!</definedName>
    <definedName name="TABELA2" localSheetId="15">'14. Consensus'!#REF!</definedName>
    <definedName name="TABELA2" localSheetId="2">'2. Income Statement'!#REF!</definedName>
    <definedName name="TABELA2" localSheetId="3">'3. Balance Sheet'!#REF!</definedName>
    <definedName name="TABELA2" localSheetId="4">'4. CFR'!#REF!</definedName>
    <definedName name="TABELA2" localSheetId="5">'5. Segment Reporting'!#REF!</definedName>
    <definedName name="TABELA2" localSheetId="6">'6. Reconciliation'!#REF!</definedName>
    <definedName name="TABELA2" localSheetId="7">'7. EBITDA Reconciliation'!#REF!</definedName>
    <definedName name="TABELA2" localSheetId="8">'8. Investments (CAPEX)'!#REF!</definedName>
    <definedName name="TABELA2" localSheetId="9">'9. Expenses by nature'!#REF!</definedName>
    <definedName name="TABELA2">#REF!</definedName>
    <definedName name="TABELA3" localSheetId="14">#REF!</definedName>
    <definedName name="TABELA3" localSheetId="6">#REF!</definedName>
    <definedName name="TABELA3" localSheetId="7">#REF!</definedName>
    <definedName name="TABELA3" localSheetId="8">#REF!</definedName>
    <definedName name="TABELA3">#REF!</definedName>
    <definedName name="TABELA4" localSheetId="14">#REF!</definedName>
    <definedName name="TABELA4" localSheetId="6">#REF!</definedName>
    <definedName name="TABELA4" localSheetId="7">#REF!</definedName>
    <definedName name="TABELA4" localSheetId="8">#REF!</definedName>
    <definedName name="TABELA4">#REF!</definedName>
    <definedName name="TABELA5" localSheetId="14">#REF!</definedName>
    <definedName name="TABELA5" localSheetId="6">#REF!</definedName>
    <definedName name="TABELA5" localSheetId="7">#REF!</definedName>
    <definedName name="TABELA5" localSheetId="8">#REF!</definedName>
    <definedName name="TABELA5">#REF!</definedName>
    <definedName name="TABELA6" localSheetId="14">#REF!</definedName>
    <definedName name="TABELA6" localSheetId="6">#REF!</definedName>
    <definedName name="TABELA6" localSheetId="7">#REF!</definedName>
    <definedName name="TABELA6" localSheetId="8">#REF!</definedName>
    <definedName name="TABELA6">#REF!</definedName>
    <definedName name="TABELA7" localSheetId="14">#REF!</definedName>
    <definedName name="TABELA7" localSheetId="6">#REF!</definedName>
    <definedName name="TABELA7" localSheetId="7">#REF!</definedName>
    <definedName name="TABELA7" localSheetId="8">#REF!</definedName>
    <definedName name="TABELA7">#REF!</definedName>
    <definedName name="TABELA8" localSheetId="14">#REF!</definedName>
    <definedName name="TABELA8" localSheetId="6">#REF!</definedName>
    <definedName name="TABELA8" localSheetId="7">#REF!</definedName>
    <definedName name="TABELA8" localSheetId="8">#REF!</definedName>
    <definedName name="TABELA8">#REF!</definedName>
    <definedName name="TABELAdoGRAFICO">[13]JUN99!$N$17:$P$22</definedName>
    <definedName name="TEST0" localSheetId="1">'1. Volume'!#REF!</definedName>
    <definedName name="TEST0" localSheetId="10">'10. Hedge'!#REF!</definedName>
    <definedName name="TEST0" localSheetId="11">'11. Debt'!#REF!</definedName>
    <definedName name="TEST0" localSheetId="13">'12. ESG'!#REF!</definedName>
    <definedName name="TEST0" localSheetId="12">'12. Macroeconomics'!#REF!</definedName>
    <definedName name="TEST0" localSheetId="14">#REF!</definedName>
    <definedName name="TEST0" localSheetId="15">'14. Consensus'!#REF!</definedName>
    <definedName name="TEST0" localSheetId="2">'2. Income Statement'!#REF!</definedName>
    <definedName name="TEST0" localSheetId="3">'3. Balance Sheet'!#REF!</definedName>
    <definedName name="TEST0" localSheetId="4">'4. CFR'!#REF!</definedName>
    <definedName name="TEST0" localSheetId="5">'5. Segment Reporting'!#REF!</definedName>
    <definedName name="TEST0" localSheetId="6">'6. Reconciliation'!#REF!</definedName>
    <definedName name="TEST0" localSheetId="7">'7. EBITDA Reconciliation'!#REF!</definedName>
    <definedName name="TEST0" localSheetId="8">'8. Investments (CAPEX)'!#REF!</definedName>
    <definedName name="TEST0" localSheetId="9">'9. Expenses by nature'!#REF!</definedName>
    <definedName name="TEST0">#REF!</definedName>
    <definedName name="TEST1" localSheetId="1">'1. Volume'!#REF!</definedName>
    <definedName name="TEST1" localSheetId="10">'10. Hedge'!#REF!</definedName>
    <definedName name="TEST1" localSheetId="11">'11. Debt'!#REF!</definedName>
    <definedName name="TEST1" localSheetId="13">'12. ESG'!#REF!</definedName>
    <definedName name="TEST1" localSheetId="12">'12. Macroeconomics'!#REF!</definedName>
    <definedName name="TEST1" localSheetId="14">#REF!</definedName>
    <definedName name="TEST1" localSheetId="15">'14. Consensus'!#REF!</definedName>
    <definedName name="TEST1" localSheetId="2">'2. Income Statement'!#REF!</definedName>
    <definedName name="TEST1" localSheetId="3">'3. Balance Sheet'!#REF!</definedName>
    <definedName name="TEST1" localSheetId="4">'4. CFR'!#REF!</definedName>
    <definedName name="TEST1" localSheetId="5">'5. Segment Reporting'!#REF!</definedName>
    <definedName name="TEST1" localSheetId="6">'6. Reconciliation'!#REF!</definedName>
    <definedName name="TEST1" localSheetId="7">'7. EBITDA Reconciliation'!#REF!</definedName>
    <definedName name="TEST1" localSheetId="8">'8. Investments (CAPEX)'!#REF!</definedName>
    <definedName name="TEST1" localSheetId="9">'9. Expenses by nature'!#REF!</definedName>
    <definedName name="TEST1">#REF!</definedName>
    <definedName name="TEST2" localSheetId="1">'1. Volume'!#REF!</definedName>
    <definedName name="TEST2" localSheetId="10">'10. Hedge'!#REF!</definedName>
    <definedName name="TEST2" localSheetId="11">'11. Debt'!#REF!</definedName>
    <definedName name="TEST2" localSheetId="13">'12. ESG'!#REF!</definedName>
    <definedName name="TEST2" localSheetId="12">'12. Macroeconomics'!#REF!</definedName>
    <definedName name="TEST2" localSheetId="14">#REF!</definedName>
    <definedName name="TEST2" localSheetId="15">'14. Consensus'!#REF!</definedName>
    <definedName name="TEST2" localSheetId="2">'2. Income Statement'!#REF!</definedName>
    <definedName name="TEST2" localSheetId="3">'3. Balance Sheet'!#REF!</definedName>
    <definedName name="TEST2" localSheetId="4">'4. CFR'!#REF!</definedName>
    <definedName name="TEST2" localSheetId="5">'5. Segment Reporting'!#REF!</definedName>
    <definedName name="TEST2" localSheetId="6">'6. Reconciliation'!#REF!</definedName>
    <definedName name="TEST2" localSheetId="7">'7. EBITDA Reconciliation'!#REF!</definedName>
    <definedName name="TEST2" localSheetId="8">'8. Investments (CAPEX)'!#REF!</definedName>
    <definedName name="TEST2" localSheetId="9">'9. Expenses by nature'!#REF!</definedName>
    <definedName name="TEST2">#REF!</definedName>
    <definedName name="TESTHKEY" localSheetId="14">#REF!</definedName>
    <definedName name="TESTHKEY" localSheetId="6">#REF!</definedName>
    <definedName name="TESTHKEY" localSheetId="7">#REF!</definedName>
    <definedName name="TESTHKEY" localSheetId="8">#REF!</definedName>
    <definedName name="TESTHKEY">#REF!</definedName>
    <definedName name="TESTKEYS" localSheetId="14">#REF!</definedName>
    <definedName name="TESTKEYS" localSheetId="6">#REF!</definedName>
    <definedName name="TESTKEYS" localSheetId="7">#REF!</definedName>
    <definedName name="TESTKEYS" localSheetId="8">#REF!</definedName>
    <definedName name="TESTKEYS">#REF!</definedName>
    <definedName name="TESTVKEY" localSheetId="14">#REF!</definedName>
    <definedName name="TESTVKEY" localSheetId="6">#REF!</definedName>
    <definedName name="TESTVKEY" localSheetId="7">#REF!</definedName>
    <definedName name="TESTVKEY" localSheetId="8">#REF!</definedName>
    <definedName name="TESTVKEY">#REF!</definedName>
    <definedName name="TOP" localSheetId="14">#REF!</definedName>
    <definedName name="TOP" localSheetId="6">#REF!</definedName>
    <definedName name="TOP" localSheetId="7">#REF!</definedName>
    <definedName name="TOP" localSheetId="8">#REF!</definedName>
    <definedName name="TOP">#REF!</definedName>
    <definedName name="TOTAL_ATIVO">[12]BAL!$G$45</definedName>
    <definedName name="TOTAL_PASSIVO">[12]BAL!$G$92</definedName>
    <definedName name="tt" localSheetId="1">'1. Volume'!#REF!</definedName>
    <definedName name="tt" localSheetId="10">'10. Hedge'!#REF!</definedName>
    <definedName name="tt" localSheetId="11">'11. Debt'!#REF!</definedName>
    <definedName name="tt" localSheetId="13">'12. ESG'!#REF!</definedName>
    <definedName name="tt" localSheetId="12">'12. Macroeconomics'!#REF!</definedName>
    <definedName name="tt" localSheetId="14">#REF!</definedName>
    <definedName name="tt" localSheetId="15">'14. Consensus'!#REF!</definedName>
    <definedName name="tt" localSheetId="2">'2. Income Statement'!#REF!</definedName>
    <definedName name="tt" localSheetId="3">'3. Balance Sheet'!#REF!</definedName>
    <definedName name="tt" localSheetId="4">'4. CFR'!#REF!</definedName>
    <definedName name="tt" localSheetId="5">'5. Segment Reporting'!#REF!</definedName>
    <definedName name="tt" localSheetId="6">'6. Reconciliation'!#REF!</definedName>
    <definedName name="tt" localSheetId="7">'7. EBITDA Reconciliation'!#REF!</definedName>
    <definedName name="tt" localSheetId="8">'8. Investments (CAPEX)'!#REF!</definedName>
    <definedName name="tt" localSheetId="9">'9. Expenses by nature'!#REF!</definedName>
    <definedName name="tt">#REF!</definedName>
    <definedName name="UFIR" localSheetId="1">'1. Volume'!#REF!</definedName>
    <definedName name="UFIR" localSheetId="10">'10. Hedge'!#REF!</definedName>
    <definedName name="UFIR" localSheetId="11">'11. Debt'!#REF!</definedName>
    <definedName name="UFIR" localSheetId="13">'12. ESG'!#REF!</definedName>
    <definedName name="UFIR" localSheetId="12">'12. Macroeconomics'!#REF!</definedName>
    <definedName name="UFIR" localSheetId="14">#REF!</definedName>
    <definedName name="UFIR" localSheetId="15">'14. Consensus'!#REF!</definedName>
    <definedName name="UFIR" localSheetId="2">'2. Income Statement'!#REF!</definedName>
    <definedName name="UFIR" localSheetId="3">'3. Balance Sheet'!#REF!</definedName>
    <definedName name="UFIR" localSheetId="4">'4. CFR'!#REF!</definedName>
    <definedName name="UFIR" localSheetId="5">'5. Segment Reporting'!#REF!</definedName>
    <definedName name="UFIR" localSheetId="6">'6. Reconciliation'!#REF!</definedName>
    <definedName name="UFIR" localSheetId="7">'7. EBITDA Reconciliation'!#REF!</definedName>
    <definedName name="UFIR" localSheetId="8">'8. Investments (CAPEX)'!#REF!</definedName>
    <definedName name="UFIR" localSheetId="9">'9. Expenses by nature'!#REF!</definedName>
    <definedName name="UFIR">#REF!</definedName>
    <definedName name="us00" localSheetId="1">'1. Volume'!#REF!</definedName>
    <definedName name="us00" localSheetId="10">'10. Hedge'!#REF!</definedName>
    <definedName name="us00" localSheetId="11">'11. Debt'!#REF!</definedName>
    <definedName name="us00" localSheetId="13">'12. ESG'!#REF!</definedName>
    <definedName name="us00" localSheetId="12">'12. Macroeconomics'!#REF!</definedName>
    <definedName name="us00" localSheetId="14">#REF!</definedName>
    <definedName name="us00" localSheetId="15">'14. Consensus'!#REF!</definedName>
    <definedName name="us00" localSheetId="2">'2. Income Statement'!#REF!</definedName>
    <definedName name="us00" localSheetId="3">'3. Balance Sheet'!#REF!</definedName>
    <definedName name="us00" localSheetId="4">'4. CFR'!#REF!</definedName>
    <definedName name="us00" localSheetId="5">'5. Segment Reporting'!#REF!</definedName>
    <definedName name="us00" localSheetId="6">'6. Reconciliation'!#REF!</definedName>
    <definedName name="us00" localSheetId="7">'7. EBITDA Reconciliation'!#REF!</definedName>
    <definedName name="us00" localSheetId="8">'8. Investments (CAPEX)'!#REF!</definedName>
    <definedName name="us00" localSheetId="9">'9. Expenses by nature'!#REF!</definedName>
    <definedName name="us00">#REF!</definedName>
    <definedName name="us99dez" localSheetId="14">#REF!</definedName>
    <definedName name="us99dez" localSheetId="6">#REF!</definedName>
    <definedName name="us99dez" localSheetId="7">#REF!</definedName>
    <definedName name="us99dez" localSheetId="8">#REF!</definedName>
    <definedName name="us99dez">#REF!</definedName>
    <definedName name="us99med" localSheetId="14">#REF!</definedName>
    <definedName name="us99med" localSheetId="6">#REF!</definedName>
    <definedName name="us99med" localSheetId="7">#REF!</definedName>
    <definedName name="us99med" localSheetId="8">#REF!</definedName>
    <definedName name="us99med">#REF!</definedName>
    <definedName name="usmeddez" localSheetId="14">#REF!</definedName>
    <definedName name="usmeddez" localSheetId="6">#REF!</definedName>
    <definedName name="usmeddez" localSheetId="7">#REF!</definedName>
    <definedName name="usmeddez" localSheetId="8">#REF!</definedName>
    <definedName name="usmeddez">#REF!</definedName>
    <definedName name="v" localSheetId="14">#REF!</definedName>
    <definedName name="v" localSheetId="6">#REF!</definedName>
    <definedName name="v" localSheetId="7">#REF!</definedName>
    <definedName name="v" localSheetId="8">#REF!</definedName>
    <definedName name="v">#REF!</definedName>
    <definedName name="Valores">'[5]Base Jan 07'!$K$2:$K$78</definedName>
    <definedName name="VEND_BRUT_I_1TRIM">[17]VENDAS_P_SUBSIDIÁRIA!$B$45:$F$77</definedName>
    <definedName name="VEND_BRUT_I_2TRIM">[17]VENDAS_P_SUBSIDIÁRIA!$B$45:$K$77</definedName>
    <definedName name="VEND_BRUT_I_3TRIM">[17]VENDAS_P_SUBSIDIÁRIA!$B$45:$P$77</definedName>
    <definedName name="VEND_BRUT_I_4TRIM">[17]VENDAS_P_SUBSIDIÁRIA!$B$45:$V$77</definedName>
    <definedName name="VEND_BRUT_S_1TRIM">[17]VENDAS_P_SUBSIDIÁRIA!$B$2:$F$34</definedName>
    <definedName name="VEND_BRUT_S_2TRIM">[17]VENDAS_P_SUBSIDIÁRIA!$B$2:$K$34</definedName>
    <definedName name="VEND_BRUT_S_3TRIM">[17]VENDAS_P_SUBSIDIÁRIA!$B$2:$P$34</definedName>
    <definedName name="VEND_BRUT_S_4TRIM">[17]VENDAS_P_SUBSIDIÁRIA!$B$2:$V$34</definedName>
    <definedName name="Vol_Vendas" localSheetId="1">'1. Volume'!#REF!</definedName>
    <definedName name="Vol_Vendas" localSheetId="10">'10. Hedge'!#REF!</definedName>
    <definedName name="Vol_Vendas" localSheetId="11">'11. Debt'!#REF!</definedName>
    <definedName name="Vol_Vendas" localSheetId="13">'12. ESG'!#REF!</definedName>
    <definedName name="Vol_Vendas" localSheetId="12">'12. Macroeconomics'!#REF!</definedName>
    <definedName name="Vol_Vendas" localSheetId="14">#REF!</definedName>
    <definedName name="Vol_Vendas" localSheetId="15">'14. Consensus'!#REF!</definedName>
    <definedName name="Vol_Vendas" localSheetId="2">'2. Income Statement'!#REF!</definedName>
    <definedName name="Vol_Vendas" localSheetId="3">'3. Balance Sheet'!#REF!</definedName>
    <definedName name="Vol_Vendas" localSheetId="4">'4. CFR'!#REF!</definedName>
    <definedName name="Vol_Vendas" localSheetId="5">'5. Segment Reporting'!#REF!</definedName>
    <definedName name="Vol_Vendas" localSheetId="6">'6. Reconciliation'!#REF!</definedName>
    <definedName name="Vol_Vendas" localSheetId="7">'7. EBITDA Reconciliation'!#REF!</definedName>
    <definedName name="Vol_Vendas" localSheetId="8">'8. Investments (CAPEX)'!#REF!</definedName>
    <definedName name="Vol_Vendas" localSheetId="9">'9. Expenses by nature'!#REF!</definedName>
    <definedName name="Vol_Vendas">#REF!</definedName>
    <definedName name="W" localSheetId="1">'1. Volume'!#REF!</definedName>
    <definedName name="W" localSheetId="10">'10. Hedge'!#REF!</definedName>
    <definedName name="W" localSheetId="11">'11. Debt'!#REF!</definedName>
    <definedName name="W" localSheetId="13">'12. ESG'!#REF!</definedName>
    <definedName name="W" localSheetId="12">'12. Macroeconomics'!#REF!</definedName>
    <definedName name="W" localSheetId="14">#REF!</definedName>
    <definedName name="W" localSheetId="15">'14. Consensus'!#REF!</definedName>
    <definedName name="W" localSheetId="2">'2. Income Statement'!#REF!</definedName>
    <definedName name="W" localSheetId="3">'3. Balance Sheet'!#REF!</definedName>
    <definedName name="W" localSheetId="4">'4. CFR'!#REF!</definedName>
    <definedName name="W" localSheetId="5">'5. Segment Reporting'!#REF!</definedName>
    <definedName name="W" localSheetId="6">'6. Reconciliation'!#REF!</definedName>
    <definedName name="W" localSheetId="7">'7. EBITDA Reconciliation'!#REF!</definedName>
    <definedName name="W" localSheetId="8">'8. Investments (CAPEX)'!#REF!</definedName>
    <definedName name="W" localSheetId="9">'9. Expenses by nature'!#REF!</definedName>
    <definedName name="W">#REF!</definedName>
    <definedName name="wq" localSheetId="14">#REF!</definedName>
    <definedName name="wq" localSheetId="6">#REF!</definedName>
    <definedName name="wq" localSheetId="7">#REF!</definedName>
    <definedName name="wq" localSheetId="8">#REF!</definedName>
    <definedName name="wq">#REF!</definedName>
    <definedName name="xxxxx" localSheetId="1">'1. Volume'!#REF!</definedName>
    <definedName name="xxxxx" localSheetId="10">'10. Hedge'!#REF!</definedName>
    <definedName name="xxxxx" localSheetId="11">'11. Debt'!#REF!</definedName>
    <definedName name="xxxxx" localSheetId="13">'12. ESG'!#REF!</definedName>
    <definedName name="xxxxx" localSheetId="12">'12. Macroeconomics'!#REF!</definedName>
    <definedName name="xxxxx" localSheetId="14">#REF!</definedName>
    <definedName name="xxxxx" localSheetId="15">'14. Consensus'!#REF!</definedName>
    <definedName name="xxxxx" localSheetId="2">'2. Income Statement'!#REF!</definedName>
    <definedName name="xxxxx" localSheetId="3">'3. Balance Sheet'!#REF!</definedName>
    <definedName name="xxxxx" localSheetId="4">'4. CFR'!#REF!</definedName>
    <definedName name="xxxxx" localSheetId="5">'5. Segment Reporting'!#REF!</definedName>
    <definedName name="xxxxx" localSheetId="6">'6. Reconciliation'!#REF!</definedName>
    <definedName name="xxxxx" localSheetId="7">'7. EBITDA Reconciliation'!#REF!</definedName>
    <definedName name="xxxxx" localSheetId="8">'8. Investments (CAPEX)'!#REF!</definedName>
    <definedName name="xxxxx" localSheetId="9">'9. Expenses by nature'!#REF!</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9" i="50" l="1"/>
  <c r="I25" i="50"/>
  <c r="I24" i="50"/>
  <c r="I22" i="50"/>
  <c r="M18" i="50"/>
  <c r="M17" i="50"/>
  <c r="I17" i="50"/>
  <c r="M16" i="50"/>
  <c r="G16" i="50"/>
  <c r="M15" i="50"/>
  <c r="G15" i="50"/>
  <c r="I14" i="50"/>
  <c r="M14" i="50" s="1"/>
  <c r="G14" i="50"/>
  <c r="M13" i="50"/>
  <c r="G13" i="50"/>
  <c r="G12" i="50"/>
  <c r="I11" i="50"/>
  <c r="G11" i="50"/>
  <c r="G10" i="50"/>
  <c r="R9" i="50"/>
  <c r="Q9" i="50"/>
  <c r="P9" i="50"/>
  <c r="O9" i="50"/>
  <c r="N9" i="50"/>
  <c r="M9" i="50"/>
  <c r="L9" i="50"/>
  <c r="I9" i="50"/>
  <c r="M12" i="50" s="1"/>
  <c r="G9" i="50"/>
  <c r="G29" i="50" s="1"/>
  <c r="O4" i="50"/>
  <c r="P3" i="50"/>
  <c r="R4" i="50" s="1"/>
  <c r="F15" i="31" l="1"/>
  <c r="F13" i="31"/>
  <c r="F11" i="31"/>
  <c r="F9" i="31"/>
  <c r="AE18" i="29" l="1"/>
  <c r="AE11" i="29"/>
  <c r="AE10" i="29"/>
  <c r="AE9" i="29"/>
  <c r="Y27" i="35"/>
  <c r="Y33" i="35" s="1"/>
  <c r="Y18" i="35"/>
  <c r="Y24" i="35" s="1"/>
  <c r="Y8" i="35"/>
  <c r="Y15" i="35" s="1"/>
  <c r="AD31" i="39"/>
  <c r="AD25" i="39"/>
  <c r="AD17" i="39"/>
  <c r="AD9" i="39"/>
  <c r="AI42" i="48"/>
  <c r="AI16" i="48"/>
  <c r="AI41" i="48" s="1"/>
  <c r="AK49" i="47"/>
  <c r="AK30" i="47"/>
  <c r="AK25" i="47"/>
  <c r="AK17" i="47"/>
  <c r="AK12" i="47"/>
  <c r="AK9" i="47"/>
  <c r="AK35" i="42"/>
  <c r="AK24" i="42"/>
  <c r="AK19" i="42"/>
  <c r="AK22" i="42"/>
  <c r="AK44" i="42"/>
  <c r="AK42" i="42"/>
  <c r="AK40" i="42"/>
  <c r="AK25" i="42"/>
  <c r="AK50" i="42"/>
  <c r="AK14" i="42"/>
  <c r="AK9" i="42"/>
  <c r="AH89" i="40"/>
  <c r="AH74" i="40"/>
  <c r="AH62" i="40"/>
  <c r="AH22" i="38"/>
  <c r="AH10" i="38"/>
  <c r="AH72" i="38"/>
  <c r="AH63" i="38"/>
  <c r="AH40" i="38"/>
  <c r="AH8" i="38"/>
  <c r="AH31" i="37"/>
  <c r="AH32" i="37" s="1"/>
  <c r="AH26" i="37"/>
  <c r="AH19" i="37"/>
  <c r="AH11" i="37"/>
  <c r="AH26" i="17"/>
  <c r="AH19" i="17"/>
  <c r="AH8" i="17"/>
  <c r="AH37" i="17" s="1"/>
  <c r="I240" i="34"/>
  <c r="I238" i="34"/>
  <c r="H214" i="34"/>
  <c r="G214" i="34"/>
  <c r="F214" i="34"/>
  <c r="E214" i="34"/>
  <c r="D214" i="34"/>
  <c r="AD18" i="29"/>
  <c r="AD11" i="29"/>
  <c r="AD10" i="29"/>
  <c r="AD9" i="29"/>
  <c r="X27" i="35"/>
  <c r="X33" i="35" s="1"/>
  <c r="X18" i="35"/>
  <c r="X24" i="35" s="1"/>
  <c r="X8" i="35"/>
  <c r="X15" i="35" s="1"/>
  <c r="AC31" i="39"/>
  <c r="AC25" i="39"/>
  <c r="AC17" i="39"/>
  <c r="AC9" i="39"/>
  <c r="AH42" i="48"/>
  <c r="AH16" i="48"/>
  <c r="AH41" i="48" s="1"/>
  <c r="AJ49" i="47"/>
  <c r="AJ53" i="47" s="1"/>
  <c r="AJ30" i="47"/>
  <c r="AJ25" i="47"/>
  <c r="AJ17" i="47"/>
  <c r="AJ12" i="47"/>
  <c r="AJ9" i="47"/>
  <c r="AJ50" i="42"/>
  <c r="AJ44" i="42"/>
  <c r="AJ42" i="42"/>
  <c r="AJ40" i="42"/>
  <c r="AJ35" i="42"/>
  <c r="AJ30" i="42"/>
  <c r="AJ25" i="42"/>
  <c r="AJ24" i="42"/>
  <c r="AJ23" i="42"/>
  <c r="AJ22" i="42"/>
  <c r="AJ21" i="42"/>
  <c r="AJ20" i="42"/>
  <c r="AJ19" i="42" s="1"/>
  <c r="AJ14" i="42"/>
  <c r="AJ9" i="42"/>
  <c r="AG95" i="40"/>
  <c r="AG89" i="40"/>
  <c r="AG74" i="40"/>
  <c r="AG62" i="40"/>
  <c r="AG72" i="38"/>
  <c r="AG63" i="38"/>
  <c r="AG40" i="38"/>
  <c r="AG38" i="38" s="1"/>
  <c r="AG22" i="38"/>
  <c r="AG10" i="38"/>
  <c r="AG8" i="38" s="1"/>
  <c r="AG32" i="37"/>
  <c r="AG26" i="17"/>
  <c r="AG19" i="17"/>
  <c r="AG8" i="17"/>
  <c r="AG37" i="17" s="1"/>
  <c r="AG38" i="17" s="1"/>
  <c r="M33" i="35"/>
  <c r="L33" i="35"/>
  <c r="K33" i="35"/>
  <c r="J33" i="35"/>
  <c r="I33" i="35"/>
  <c r="H33" i="35"/>
  <c r="G33" i="35"/>
  <c r="F33" i="35"/>
  <c r="E33" i="35"/>
  <c r="D33" i="35"/>
  <c r="C33" i="35"/>
  <c r="V27" i="35"/>
  <c r="V33" i="35" s="1"/>
  <c r="U27" i="35"/>
  <c r="U33" i="35" s="1"/>
  <c r="T27" i="35"/>
  <c r="T33" i="35" s="1"/>
  <c r="S27" i="35"/>
  <c r="S33" i="35" s="1"/>
  <c r="R27" i="35"/>
  <c r="Q27" i="35"/>
  <c r="Q33" i="35" s="1"/>
  <c r="P27" i="35"/>
  <c r="P33" i="35" s="1"/>
  <c r="O27" i="35"/>
  <c r="O33" i="35" s="1"/>
  <c r="N27" i="35"/>
  <c r="N33" i="35" s="1"/>
  <c r="M24" i="35"/>
  <c r="L24" i="35"/>
  <c r="K24" i="35"/>
  <c r="J24" i="35"/>
  <c r="I24" i="35"/>
  <c r="H24" i="35"/>
  <c r="G24" i="35"/>
  <c r="F24" i="35"/>
  <c r="E24" i="35"/>
  <c r="D24" i="35"/>
  <c r="C24" i="35"/>
  <c r="V18" i="35"/>
  <c r="V24" i="35" s="1"/>
  <c r="U18" i="35"/>
  <c r="U24" i="35" s="1"/>
  <c r="T18" i="35"/>
  <c r="T24" i="35" s="1"/>
  <c r="S18" i="35"/>
  <c r="S24" i="35" s="1"/>
  <c r="Q18" i="35"/>
  <c r="Q24" i="35" s="1"/>
  <c r="P18" i="35"/>
  <c r="P24" i="35" s="1"/>
  <c r="O18" i="35"/>
  <c r="O24" i="35" s="1"/>
  <c r="N18" i="35"/>
  <c r="N24" i="35" s="1"/>
  <c r="M15" i="35"/>
  <c r="L15" i="35"/>
  <c r="K15" i="35"/>
  <c r="J15" i="35"/>
  <c r="I15" i="35"/>
  <c r="H15" i="35"/>
  <c r="G15" i="35"/>
  <c r="F15" i="35"/>
  <c r="E15" i="35"/>
  <c r="D15" i="35"/>
  <c r="C15" i="35"/>
  <c r="V8" i="35"/>
  <c r="V15" i="35" s="1"/>
  <c r="U8" i="35"/>
  <c r="U15" i="35" s="1"/>
  <c r="T8" i="35"/>
  <c r="T15" i="35" s="1"/>
  <c r="S8" i="35"/>
  <c r="S15" i="35" s="1"/>
  <c r="Q8" i="35"/>
  <c r="Q15" i="35" s="1"/>
  <c r="P8" i="35"/>
  <c r="P15" i="35" s="1"/>
  <c r="O8" i="35"/>
  <c r="O15" i="35" s="1"/>
  <c r="N8" i="35"/>
  <c r="N15" i="35" s="1"/>
  <c r="L8" i="35"/>
  <c r="AH44" i="48" l="1"/>
  <c r="AD12" i="29"/>
  <c r="AD16" i="29" s="1"/>
  <c r="AD20" i="29" s="1"/>
  <c r="AD23" i="29" s="1"/>
  <c r="AE12" i="29"/>
  <c r="AE16" i="29" s="1"/>
  <c r="AE20" i="29" s="1"/>
  <c r="AE23" i="29" s="1"/>
  <c r="AG93" i="40"/>
  <c r="AG97" i="40" s="1"/>
  <c r="AI44" i="48"/>
  <c r="AK53" i="47"/>
  <c r="AH93" i="40"/>
  <c r="AH97" i="40" s="1"/>
  <c r="AH38" i="38"/>
  <c r="AH38" i="17"/>
  <c r="AA31" i="39"/>
  <c r="Z31" i="39"/>
  <c r="Y31" i="39"/>
  <c r="X31" i="39"/>
  <c r="V31" i="39"/>
  <c r="U31" i="39"/>
  <c r="T31" i="39"/>
  <c r="S31" i="39"/>
  <c r="R31" i="39"/>
  <c r="Q31" i="39"/>
  <c r="P31" i="39"/>
  <c r="O31" i="39"/>
  <c r="N31" i="39"/>
  <c r="M31" i="39"/>
  <c r="L31" i="39"/>
  <c r="K31" i="39"/>
  <c r="J31" i="39"/>
  <c r="I31" i="39"/>
  <c r="H31" i="39"/>
  <c r="G31" i="39"/>
  <c r="F31" i="39"/>
  <c r="E31" i="39"/>
  <c r="D31" i="39"/>
  <c r="C31" i="39"/>
  <c r="Z23" i="29" l="1"/>
  <c r="Y23" i="29"/>
  <c r="X23" i="29"/>
  <c r="V23" i="29"/>
  <c r="U23" i="29"/>
  <c r="T23" i="29"/>
  <c r="S23" i="29"/>
  <c r="R23" i="29"/>
  <c r="Q23" i="29"/>
  <c r="P23" i="29"/>
  <c r="O23" i="29"/>
  <c r="N23" i="29"/>
  <c r="M23" i="29"/>
  <c r="L23" i="29"/>
  <c r="K23" i="29"/>
  <c r="J23" i="29"/>
  <c r="I23" i="29"/>
  <c r="H23" i="29"/>
  <c r="G23" i="29"/>
  <c r="F23" i="29"/>
  <c r="E23" i="29"/>
  <c r="D23" i="29"/>
  <c r="C23" i="29"/>
  <c r="AA23" i="29"/>
  <c r="AB23" i="29"/>
  <c r="AF42" i="48" l="1"/>
  <c r="AF16" i="48"/>
  <c r="AF41" i="48" s="1"/>
  <c r="AH30" i="47"/>
  <c r="AH25" i="47"/>
  <c r="AH17" i="47"/>
  <c r="AH12" i="47"/>
  <c r="AH9" i="47"/>
  <c r="AH44" i="42"/>
  <c r="AH42" i="42"/>
  <c r="AH40" i="42"/>
  <c r="AH35" i="42"/>
  <c r="AH30" i="42"/>
  <c r="AH24" i="42" s="1"/>
  <c r="AH25" i="42"/>
  <c r="AH23" i="42"/>
  <c r="AH50" i="42" s="1"/>
  <c r="AH22" i="42"/>
  <c r="AH21" i="42"/>
  <c r="AH20" i="42"/>
  <c r="AH19" i="42" s="1"/>
  <c r="AH14" i="42"/>
  <c r="AH9" i="42"/>
  <c r="AE89" i="40"/>
  <c r="AE74" i="40"/>
  <c r="AE62" i="40"/>
  <c r="AE93" i="40" s="1"/>
  <c r="AE72" i="38"/>
  <c r="AE63" i="38"/>
  <c r="AE40" i="38"/>
  <c r="AE38" i="38" s="1"/>
  <c r="AE22" i="38"/>
  <c r="AE10" i="38"/>
  <c r="AE8" i="38" s="1"/>
  <c r="AE32" i="37"/>
  <c r="AE19" i="37"/>
  <c r="AE26" i="37" s="1"/>
  <c r="AE26" i="17"/>
  <c r="AE19" i="17"/>
  <c r="AE8" i="17"/>
  <c r="AF44" i="48" l="1"/>
  <c r="AE42" i="48"/>
  <c r="AE37" i="17"/>
  <c r="AE38" i="17" s="1"/>
  <c r="Z25" i="39"/>
  <c r="Z17" i="39"/>
  <c r="Z9" i="39"/>
  <c r="AE16" i="48" l="1"/>
  <c r="AE41" i="48" s="1"/>
  <c r="AG49" i="47"/>
  <c r="AG30" i="47"/>
  <c r="AG25" i="47"/>
  <c r="AG17" i="47"/>
  <c r="AG12" i="47"/>
  <c r="AG9" i="47"/>
  <c r="AG50" i="42"/>
  <c r="AG44" i="42"/>
  <c r="AG42" i="42"/>
  <c r="AG40" i="42"/>
  <c r="AG35" i="42"/>
  <c r="AG30" i="42"/>
  <c r="AG25" i="42"/>
  <c r="AG24" i="42"/>
  <c r="AG23" i="42"/>
  <c r="AG19" i="42" s="1"/>
  <c r="AG22" i="42"/>
  <c r="AG21" i="42"/>
  <c r="AG20" i="42"/>
  <c r="AG14" i="42"/>
  <c r="AG9" i="42"/>
  <c r="AD89" i="40"/>
  <c r="AD74" i="40"/>
  <c r="AD62" i="40"/>
  <c r="AD72" i="38"/>
  <c r="AD63" i="38"/>
  <c r="AD40" i="38"/>
  <c r="AD22" i="38"/>
  <c r="AD10" i="38"/>
  <c r="AD26" i="37"/>
  <c r="AD31" i="37" s="1"/>
  <c r="AD32" i="37" s="1"/>
  <c r="AD19" i="37"/>
  <c r="AD26" i="17"/>
  <c r="AD19" i="17"/>
  <c r="AD8" i="17"/>
  <c r="AC42" i="48"/>
  <c r="AD42" i="48"/>
  <c r="U49" i="47"/>
  <c r="T49" i="47"/>
  <c r="S49" i="47"/>
  <c r="R49" i="47"/>
  <c r="Q49" i="47"/>
  <c r="P49" i="47"/>
  <c r="O49" i="47"/>
  <c r="N49" i="47"/>
  <c r="M49" i="47"/>
  <c r="L49" i="47"/>
  <c r="K49" i="47"/>
  <c r="J49" i="47"/>
  <c r="I49" i="47"/>
  <c r="H49" i="47"/>
  <c r="G49" i="47"/>
  <c r="F49" i="47"/>
  <c r="E49" i="47"/>
  <c r="D49" i="47"/>
  <c r="C49" i="47"/>
  <c r="Y49" i="47"/>
  <c r="X49" i="47"/>
  <c r="W49" i="47"/>
  <c r="V49" i="47"/>
  <c r="AB49" i="47"/>
  <c r="AA49" i="47"/>
  <c r="Z49" i="47"/>
  <c r="AC49" i="47"/>
  <c r="AE49" i="47"/>
  <c r="AF49" i="47"/>
  <c r="AD38" i="38" l="1"/>
  <c r="AG53" i="47"/>
  <c r="AD93" i="40"/>
  <c r="AD8" i="38"/>
  <c r="AE44" i="48"/>
  <c r="AD37" i="17"/>
  <c r="AD38" i="17" s="1"/>
  <c r="H239" i="34"/>
  <c r="G239" i="34"/>
  <c r="F239" i="34"/>
  <c r="H238" i="34"/>
  <c r="G238" i="34"/>
  <c r="F238" i="34"/>
  <c r="F56" i="34"/>
  <c r="E56" i="34"/>
  <c r="D56" i="34"/>
  <c r="F54" i="34"/>
  <c r="E54" i="34"/>
  <c r="D54" i="34"/>
  <c r="F47" i="34"/>
  <c r="E47" i="34"/>
  <c r="D47" i="34"/>
  <c r="W31" i="39"/>
  <c r="Y25" i="39"/>
  <c r="Y17" i="39"/>
  <c r="Y9" i="39"/>
  <c r="AD16" i="48"/>
  <c r="AD41" i="48" s="1"/>
  <c r="AD44" i="48" s="1"/>
  <c r="AF30" i="47"/>
  <c r="AF25" i="47"/>
  <c r="AF17" i="47"/>
  <c r="AF12" i="47"/>
  <c r="AF9" i="47"/>
  <c r="AF44" i="42"/>
  <c r="AF42" i="42"/>
  <c r="AF40" i="42"/>
  <c r="AF35" i="42"/>
  <c r="AF30" i="42"/>
  <c r="AF25" i="42"/>
  <c r="AF24" i="42"/>
  <c r="AF23" i="42"/>
  <c r="AF19" i="42" s="1"/>
  <c r="AF22" i="42"/>
  <c r="AF21" i="42"/>
  <c r="AF20" i="42"/>
  <c r="AF14" i="42"/>
  <c r="AF9" i="42"/>
  <c r="AC89" i="40"/>
  <c r="AC74" i="40"/>
  <c r="AC62" i="40"/>
  <c r="AC72" i="38"/>
  <c r="AC63" i="38"/>
  <c r="AC40" i="38"/>
  <c r="AC22" i="38"/>
  <c r="AC10" i="38"/>
  <c r="AC11" i="37"/>
  <c r="AC19" i="37" s="1"/>
  <c r="AC26" i="37" s="1"/>
  <c r="AC31" i="37" s="1"/>
  <c r="AC32" i="37" s="1"/>
  <c r="AC26" i="17"/>
  <c r="AC19" i="17"/>
  <c r="AC8" i="17"/>
  <c r="AC38" i="38" l="1"/>
  <c r="AC8" i="38"/>
  <c r="AF53" i="47"/>
  <c r="AC93" i="40"/>
  <c r="AF50" i="42"/>
  <c r="AA42" i="48"/>
  <c r="AC37" i="17" l="1"/>
  <c r="AC38" i="17" s="1"/>
  <c r="AC16" i="48" l="1"/>
  <c r="AC41" i="48" s="1"/>
  <c r="AA16" i="48"/>
  <c r="AA41" i="48" s="1"/>
  <c r="Z16" i="48"/>
  <c r="Z41" i="48" s="1"/>
  <c r="Z44" i="48" s="1"/>
  <c r="Y16" i="48"/>
  <c r="Y41" i="48" s="1"/>
  <c r="Y44" i="48" s="1"/>
  <c r="X16" i="48"/>
  <c r="X41" i="48" s="1"/>
  <c r="X44" i="48" s="1"/>
  <c r="W16" i="48"/>
  <c r="W41" i="48" s="1"/>
  <c r="W44" i="48" s="1"/>
  <c r="V16" i="48"/>
  <c r="V41" i="48" s="1"/>
  <c r="V44" i="48" s="1"/>
  <c r="U16" i="48"/>
  <c r="U41" i="48" s="1"/>
  <c r="U44" i="48" s="1"/>
  <c r="T16" i="48"/>
  <c r="T41" i="48" s="1"/>
  <c r="T44" i="48" s="1"/>
  <c r="S16" i="48"/>
  <c r="S41" i="48" s="1"/>
  <c r="S44" i="48" s="1"/>
  <c r="R16" i="48"/>
  <c r="R41" i="48" s="1"/>
  <c r="R44" i="48" s="1"/>
  <c r="Q16" i="48"/>
  <c r="Q41" i="48" s="1"/>
  <c r="Q44" i="48" s="1"/>
  <c r="P16" i="48"/>
  <c r="P41" i="48" s="1"/>
  <c r="P44" i="48" s="1"/>
  <c r="O16" i="48"/>
  <c r="O41" i="48" s="1"/>
  <c r="O44" i="48" s="1"/>
  <c r="N16" i="48"/>
  <c r="N41" i="48" s="1"/>
  <c r="N44" i="48" s="1"/>
  <c r="M16" i="48"/>
  <c r="M41" i="48" s="1"/>
  <c r="M44" i="48" s="1"/>
  <c r="L16" i="48"/>
  <c r="L41" i="48" s="1"/>
  <c r="L44" i="48" s="1"/>
  <c r="K16" i="48"/>
  <c r="K41" i="48" s="1"/>
  <c r="K44" i="48" s="1"/>
  <c r="J16" i="48"/>
  <c r="J41" i="48" s="1"/>
  <c r="J44" i="48" s="1"/>
  <c r="I16" i="48"/>
  <c r="I41" i="48" s="1"/>
  <c r="I44" i="48" s="1"/>
  <c r="H16" i="48"/>
  <c r="H41" i="48" s="1"/>
  <c r="H44" i="48" s="1"/>
  <c r="G16" i="48"/>
  <c r="G41" i="48" s="1"/>
  <c r="G44" i="48" s="1"/>
  <c r="F16" i="48"/>
  <c r="F41" i="48" s="1"/>
  <c r="F44" i="48" s="1"/>
  <c r="E16" i="48"/>
  <c r="E41" i="48" s="1"/>
  <c r="E44" i="48" s="1"/>
  <c r="D16" i="48"/>
  <c r="D41" i="48" s="1"/>
  <c r="D44" i="48" s="1"/>
  <c r="C16" i="48"/>
  <c r="C41" i="48" s="1"/>
  <c r="C44" i="48" s="1"/>
  <c r="AE30" i="47"/>
  <c r="AC30" i="47"/>
  <c r="AB30" i="47"/>
  <c r="AA30" i="47"/>
  <c r="Z30" i="47"/>
  <c r="Y30" i="47"/>
  <c r="Q30" i="47"/>
  <c r="P30" i="47"/>
  <c r="O30" i="47"/>
  <c r="N30" i="47"/>
  <c r="AE25" i="47"/>
  <c r="AC25" i="47"/>
  <c r="AB25" i="47"/>
  <c r="AA25" i="47"/>
  <c r="Z25" i="47"/>
  <c r="Y25" i="47"/>
  <c r="AE17" i="47"/>
  <c r="AC17" i="47"/>
  <c r="AB17" i="47"/>
  <c r="AA17" i="47"/>
  <c r="Z17" i="47"/>
  <c r="Y17" i="47"/>
  <c r="AE12" i="47"/>
  <c r="AC12" i="47"/>
  <c r="AB12" i="47"/>
  <c r="AE9" i="47"/>
  <c r="AC9" i="47"/>
  <c r="AB9" i="47"/>
  <c r="AA9" i="47"/>
  <c r="Z9" i="47"/>
  <c r="X50" i="42"/>
  <c r="U50" i="42"/>
  <c r="S50" i="42"/>
  <c r="M50" i="42"/>
  <c r="K50" i="42"/>
  <c r="E50" i="42"/>
  <c r="C50" i="42"/>
  <c r="I45" i="42"/>
  <c r="AE44" i="42"/>
  <c r="AC44" i="42"/>
  <c r="AB44" i="42"/>
  <c r="AA44" i="42"/>
  <c r="Z44" i="42"/>
  <c r="Y44" i="42"/>
  <c r="X44" i="42"/>
  <c r="W44" i="42"/>
  <c r="V44" i="42"/>
  <c r="U44" i="42"/>
  <c r="T44" i="42"/>
  <c r="S44" i="42"/>
  <c r="R44" i="42"/>
  <c r="Q44" i="42"/>
  <c r="P44" i="42"/>
  <c r="O44" i="42"/>
  <c r="N44" i="42"/>
  <c r="M44" i="42"/>
  <c r="L44" i="42"/>
  <c r="K44" i="42"/>
  <c r="J44" i="42"/>
  <c r="I44" i="42"/>
  <c r="H44" i="42"/>
  <c r="G44" i="42"/>
  <c r="F44" i="42"/>
  <c r="E44" i="42"/>
  <c r="D44" i="42"/>
  <c r="C44" i="42"/>
  <c r="I43" i="42"/>
  <c r="I42" i="42" s="1"/>
  <c r="AE42" i="42"/>
  <c r="AC42" i="42"/>
  <c r="AB42" i="42"/>
  <c r="AA42" i="42"/>
  <c r="Z42" i="42"/>
  <c r="Y42" i="42"/>
  <c r="X42" i="42"/>
  <c r="W42" i="42"/>
  <c r="V42" i="42"/>
  <c r="U42" i="42"/>
  <c r="T42" i="42"/>
  <c r="S42" i="42"/>
  <c r="R42" i="42"/>
  <c r="Q42" i="42"/>
  <c r="P42" i="42"/>
  <c r="O42" i="42"/>
  <c r="N42" i="42"/>
  <c r="M42" i="42"/>
  <c r="L42" i="42"/>
  <c r="K42" i="42"/>
  <c r="J42" i="42"/>
  <c r="H42" i="42"/>
  <c r="G42" i="42"/>
  <c r="F42" i="42"/>
  <c r="E42" i="42"/>
  <c r="D42" i="42"/>
  <c r="C42" i="42"/>
  <c r="AE40" i="42"/>
  <c r="AC40" i="42"/>
  <c r="AB40" i="42"/>
  <c r="AA40" i="42"/>
  <c r="Z40" i="42"/>
  <c r="Y40" i="42"/>
  <c r="X40" i="42"/>
  <c r="W40" i="42"/>
  <c r="V40" i="42"/>
  <c r="U40" i="42"/>
  <c r="T40" i="42"/>
  <c r="S40" i="42"/>
  <c r="R40" i="42"/>
  <c r="Q40" i="42"/>
  <c r="P40" i="42"/>
  <c r="O40" i="42"/>
  <c r="N40" i="42"/>
  <c r="M40" i="42"/>
  <c r="L40" i="42"/>
  <c r="K40" i="42"/>
  <c r="J40" i="42"/>
  <c r="I40" i="42"/>
  <c r="H40" i="42"/>
  <c r="G40" i="42"/>
  <c r="F40" i="42"/>
  <c r="E40" i="42"/>
  <c r="D40" i="42"/>
  <c r="C40" i="42"/>
  <c r="I38" i="42"/>
  <c r="I35" i="42" s="1"/>
  <c r="AE35" i="42"/>
  <c r="AE24" i="42" s="1"/>
  <c r="AC35" i="42"/>
  <c r="AB35" i="42"/>
  <c r="AA35" i="42"/>
  <c r="Z35" i="42"/>
  <c r="Y35" i="42"/>
  <c r="X35" i="42"/>
  <c r="W35" i="42"/>
  <c r="V35" i="42"/>
  <c r="V24" i="42" s="1"/>
  <c r="U35" i="42"/>
  <c r="T35" i="42"/>
  <c r="S35" i="42"/>
  <c r="R35" i="42"/>
  <c r="Q35" i="42"/>
  <c r="P35" i="42"/>
  <c r="O35" i="42"/>
  <c r="N35" i="42"/>
  <c r="N24" i="42" s="1"/>
  <c r="M35" i="42"/>
  <c r="L35" i="42"/>
  <c r="K35" i="42"/>
  <c r="J35" i="42"/>
  <c r="H35" i="42"/>
  <c r="G35" i="42"/>
  <c r="F35" i="42"/>
  <c r="F24" i="42" s="1"/>
  <c r="E35" i="42"/>
  <c r="D35" i="42"/>
  <c r="C35" i="42"/>
  <c r="AE30" i="42"/>
  <c r="AC30" i="42"/>
  <c r="AB30" i="42"/>
  <c r="AA30" i="42"/>
  <c r="AA24" i="42" s="1"/>
  <c r="Z30" i="42"/>
  <c r="Z24" i="42" s="1"/>
  <c r="Y30" i="42"/>
  <c r="X30" i="42"/>
  <c r="W30" i="42"/>
  <c r="V30" i="42"/>
  <c r="U30" i="42"/>
  <c r="T30" i="42"/>
  <c r="S30" i="42"/>
  <c r="S24" i="42" s="1"/>
  <c r="R30" i="42"/>
  <c r="R24" i="42" s="1"/>
  <c r="Q30" i="42"/>
  <c r="P30" i="42"/>
  <c r="O30" i="42"/>
  <c r="N30" i="42"/>
  <c r="M30" i="42"/>
  <c r="L30" i="42"/>
  <c r="K30" i="42"/>
  <c r="K24" i="42" s="1"/>
  <c r="J30" i="42"/>
  <c r="J24" i="42" s="1"/>
  <c r="I30" i="42"/>
  <c r="H30" i="42"/>
  <c r="G30" i="42"/>
  <c r="F30" i="42"/>
  <c r="E30" i="42"/>
  <c r="D30" i="42"/>
  <c r="C30" i="42"/>
  <c r="C24" i="42" s="1"/>
  <c r="I26" i="42"/>
  <c r="AE25" i="42"/>
  <c r="AC25" i="42"/>
  <c r="AB25" i="42"/>
  <c r="AB24" i="42" s="1"/>
  <c r="AA25" i="42"/>
  <c r="Z25" i="42"/>
  <c r="Y25" i="42"/>
  <c r="Y24" i="42" s="1"/>
  <c r="X25" i="42"/>
  <c r="W25" i="42"/>
  <c r="W24" i="42" s="1"/>
  <c r="V25" i="42"/>
  <c r="U25" i="42"/>
  <c r="T25" i="42"/>
  <c r="T24" i="42" s="1"/>
  <c r="S25" i="42"/>
  <c r="R25" i="42"/>
  <c r="Q25" i="42"/>
  <c r="Q24" i="42" s="1"/>
  <c r="P25" i="42"/>
  <c r="O25" i="42"/>
  <c r="O24" i="42" s="1"/>
  <c r="N25" i="42"/>
  <c r="M25" i="42"/>
  <c r="L25" i="42"/>
  <c r="L24" i="42" s="1"/>
  <c r="K25" i="42"/>
  <c r="J25" i="42"/>
  <c r="I25" i="42"/>
  <c r="I24" i="42" s="1"/>
  <c r="H25" i="42"/>
  <c r="G25" i="42"/>
  <c r="G24" i="42" s="1"/>
  <c r="F25" i="42"/>
  <c r="E25" i="42"/>
  <c r="D25" i="42"/>
  <c r="D24" i="42" s="1"/>
  <c r="C25" i="42"/>
  <c r="AC24" i="42"/>
  <c r="X24" i="42"/>
  <c r="U24" i="42"/>
  <c r="P24" i="42"/>
  <c r="M24" i="42"/>
  <c r="H24" i="42"/>
  <c r="E24" i="42"/>
  <c r="AE23" i="42"/>
  <c r="AE50" i="42" s="1"/>
  <c r="AC23" i="42"/>
  <c r="AC50" i="42" s="1"/>
  <c r="AB23" i="42"/>
  <c r="AB50" i="42" s="1"/>
  <c r="AA23" i="42"/>
  <c r="AA50" i="42" s="1"/>
  <c r="Z23" i="42"/>
  <c r="Z50" i="42" s="1"/>
  <c r="Y23" i="42"/>
  <c r="Y50" i="42" s="1"/>
  <c r="X23" i="42"/>
  <c r="W23" i="42"/>
  <c r="W50" i="42" s="1"/>
  <c r="V23" i="42"/>
  <c r="V50" i="42" s="1"/>
  <c r="U23" i="42"/>
  <c r="T23" i="42"/>
  <c r="T50" i="42" s="1"/>
  <c r="S23" i="42"/>
  <c r="R23" i="42"/>
  <c r="R50" i="42" s="1"/>
  <c r="Q23" i="42"/>
  <c r="Q50" i="42" s="1"/>
  <c r="P23" i="42"/>
  <c r="P50" i="42" s="1"/>
  <c r="O23" i="42"/>
  <c r="O50" i="42" s="1"/>
  <c r="N23" i="42"/>
  <c r="N50" i="42" s="1"/>
  <c r="M23" i="42"/>
  <c r="L23" i="42"/>
  <c r="L50" i="42" s="1"/>
  <c r="K23" i="42"/>
  <c r="J23" i="42"/>
  <c r="J50" i="42" s="1"/>
  <c r="H23" i="42"/>
  <c r="H50" i="42" s="1"/>
  <c r="G23" i="42"/>
  <c r="G50" i="42" s="1"/>
  <c r="F23" i="42"/>
  <c r="F50" i="42" s="1"/>
  <c r="E23" i="42"/>
  <c r="D23" i="42"/>
  <c r="D50" i="42" s="1"/>
  <c r="C23" i="42"/>
  <c r="AE22" i="42"/>
  <c r="AC22" i="42"/>
  <c r="AB22" i="42"/>
  <c r="AA22" i="42"/>
  <c r="Z22" i="42"/>
  <c r="Y22" i="42"/>
  <c r="X22" i="42"/>
  <c r="W22" i="42"/>
  <c r="V22" i="42"/>
  <c r="U22" i="42"/>
  <c r="T22" i="42"/>
  <c r="S22" i="42"/>
  <c r="R22" i="42"/>
  <c r="Q22" i="42"/>
  <c r="P22" i="42"/>
  <c r="O22" i="42"/>
  <c r="N22" i="42"/>
  <c r="M22" i="42"/>
  <c r="L22" i="42"/>
  <c r="K22" i="42"/>
  <c r="J22" i="42"/>
  <c r="I22" i="42"/>
  <c r="H22" i="42"/>
  <c r="G22" i="42"/>
  <c r="F22" i="42"/>
  <c r="E22" i="42"/>
  <c r="D22" i="42"/>
  <c r="C22" i="42"/>
  <c r="AE21" i="42"/>
  <c r="AC21" i="42"/>
  <c r="AB21" i="42"/>
  <c r="AA21" i="42"/>
  <c r="Z21" i="42"/>
  <c r="Y21" i="42"/>
  <c r="X21" i="42"/>
  <c r="W21" i="42"/>
  <c r="V21" i="42"/>
  <c r="U21" i="42"/>
  <c r="T21" i="42"/>
  <c r="T19" i="42" s="1"/>
  <c r="S21" i="42"/>
  <c r="R21" i="42"/>
  <c r="Q21" i="42"/>
  <c r="P21" i="42"/>
  <c r="O21" i="42"/>
  <c r="N21" i="42"/>
  <c r="M21" i="42"/>
  <c r="L21" i="42"/>
  <c r="K21" i="42"/>
  <c r="J21" i="42"/>
  <c r="I21" i="42"/>
  <c r="H21" i="42"/>
  <c r="G21" i="42"/>
  <c r="F21" i="42"/>
  <c r="E21" i="42"/>
  <c r="D21" i="42"/>
  <c r="C21" i="42"/>
  <c r="AE20" i="42"/>
  <c r="AC20" i="42"/>
  <c r="AC19" i="42" s="1"/>
  <c r="AB20" i="42"/>
  <c r="AA20" i="42"/>
  <c r="AA19" i="42" s="1"/>
  <c r="Z20" i="42"/>
  <c r="Y20" i="42"/>
  <c r="X20" i="42"/>
  <c r="X19" i="42" s="1"/>
  <c r="W20" i="42"/>
  <c r="V20" i="42"/>
  <c r="U20" i="42"/>
  <c r="U19" i="42" s="1"/>
  <c r="T20" i="42"/>
  <c r="S20" i="42"/>
  <c r="S19" i="42" s="1"/>
  <c r="R20" i="42"/>
  <c r="Q20" i="42"/>
  <c r="P20" i="42"/>
  <c r="P19" i="42" s="1"/>
  <c r="O20" i="42"/>
  <c r="N20" i="42"/>
  <c r="M20" i="42"/>
  <c r="M19" i="42" s="1"/>
  <c r="L20" i="42"/>
  <c r="K20" i="42"/>
  <c r="K19" i="42" s="1"/>
  <c r="J20" i="42"/>
  <c r="H20" i="42"/>
  <c r="H19" i="42" s="1"/>
  <c r="G20" i="42"/>
  <c r="F20" i="42"/>
  <c r="E20" i="42"/>
  <c r="E19" i="42" s="1"/>
  <c r="D20" i="42"/>
  <c r="C20" i="42"/>
  <c r="C19" i="42" s="1"/>
  <c r="AE19" i="42"/>
  <c r="AB19" i="42"/>
  <c r="Z19" i="42"/>
  <c r="Y19" i="42"/>
  <c r="W19" i="42"/>
  <c r="V19" i="42"/>
  <c r="R19" i="42"/>
  <c r="Q19" i="42"/>
  <c r="O19" i="42"/>
  <c r="N19" i="42"/>
  <c r="L19" i="42"/>
  <c r="J19" i="42"/>
  <c r="G19" i="42"/>
  <c r="F19" i="42"/>
  <c r="D19" i="42"/>
  <c r="I15" i="42"/>
  <c r="I20" i="42" s="1"/>
  <c r="AE14" i="42"/>
  <c r="AC14" i="42"/>
  <c r="AB14" i="42"/>
  <c r="AA14" i="42"/>
  <c r="Z14" i="42"/>
  <c r="Y14" i="42"/>
  <c r="X14" i="42"/>
  <c r="W14" i="42"/>
  <c r="V14" i="42"/>
  <c r="U14" i="42"/>
  <c r="T14" i="42"/>
  <c r="S14" i="42"/>
  <c r="R14" i="42"/>
  <c r="Q14" i="42"/>
  <c r="P14" i="42"/>
  <c r="O14" i="42"/>
  <c r="N14" i="42"/>
  <c r="M14" i="42"/>
  <c r="L14" i="42"/>
  <c r="K14" i="42"/>
  <c r="J14" i="42"/>
  <c r="I14" i="42"/>
  <c r="H14" i="42"/>
  <c r="G14" i="42"/>
  <c r="F14" i="42"/>
  <c r="E14" i="42"/>
  <c r="D14" i="42"/>
  <c r="C14" i="42"/>
  <c r="I13" i="42"/>
  <c r="I23" i="42" s="1"/>
  <c r="I50" i="42" s="1"/>
  <c r="AE9" i="42"/>
  <c r="AC9" i="42"/>
  <c r="AB9" i="42"/>
  <c r="AA9" i="42"/>
  <c r="Z9" i="42"/>
  <c r="Y9" i="42"/>
  <c r="X9" i="42"/>
  <c r="W9" i="42"/>
  <c r="V9" i="42"/>
  <c r="U9" i="42"/>
  <c r="T9" i="42"/>
  <c r="S9" i="42"/>
  <c r="R9" i="42"/>
  <c r="Q9" i="42"/>
  <c r="P9" i="42"/>
  <c r="O9" i="42"/>
  <c r="N9" i="42"/>
  <c r="M9" i="42"/>
  <c r="L9" i="42"/>
  <c r="K9" i="42"/>
  <c r="J9" i="42"/>
  <c r="H9" i="42"/>
  <c r="G9" i="42"/>
  <c r="F9" i="42"/>
  <c r="E9" i="42"/>
  <c r="D9" i="42"/>
  <c r="C9" i="42"/>
  <c r="X25" i="39"/>
  <c r="X17" i="39"/>
  <c r="X9" i="39"/>
  <c r="AB89" i="40"/>
  <c r="AB74" i="40"/>
  <c r="AB62" i="40"/>
  <c r="AB11" i="37"/>
  <c r="AB19" i="37" s="1"/>
  <c r="AB26" i="37" s="1"/>
  <c r="AB31" i="37" s="1"/>
  <c r="AB32" i="37" s="1"/>
  <c r="AB37" i="17"/>
  <c r="AB38" i="17" s="1"/>
  <c r="Z37" i="17"/>
  <c r="Z38" i="17" s="1"/>
  <c r="T37" i="17"/>
  <c r="T38" i="17" s="1"/>
  <c r="S37" i="17"/>
  <c r="S38" i="17" s="1"/>
  <c r="R37" i="17"/>
  <c r="R38" i="17" s="1"/>
  <c r="L37" i="17"/>
  <c r="L38" i="17" s="1"/>
  <c r="K37" i="17"/>
  <c r="K38" i="17" s="1"/>
  <c r="J37" i="17"/>
  <c r="J38" i="17" s="1"/>
  <c r="D37" i="17"/>
  <c r="D38" i="17" s="1"/>
  <c r="C37" i="17"/>
  <c r="C38" i="17" s="1"/>
  <c r="AB26" i="17"/>
  <c r="Z26" i="17"/>
  <c r="Y26" i="17"/>
  <c r="X26" i="17"/>
  <c r="W26" i="17"/>
  <c r="V26" i="17"/>
  <c r="U26" i="17"/>
  <c r="T26" i="17"/>
  <c r="S26" i="17"/>
  <c r="R26" i="17"/>
  <c r="Q26" i="17"/>
  <c r="P26" i="17"/>
  <c r="O26" i="17"/>
  <c r="N26" i="17"/>
  <c r="M26" i="17"/>
  <c r="L26" i="17"/>
  <c r="K26" i="17"/>
  <c r="J26" i="17"/>
  <c r="I26" i="17"/>
  <c r="H26" i="17"/>
  <c r="G26" i="17"/>
  <c r="F26" i="17"/>
  <c r="E26" i="17"/>
  <c r="D26" i="17"/>
  <c r="C26" i="17"/>
  <c r="AB19" i="17"/>
  <c r="Z19" i="17"/>
  <c r="Y19" i="17"/>
  <c r="X19" i="17"/>
  <c r="W19" i="17"/>
  <c r="V19" i="17"/>
  <c r="U19" i="17"/>
  <c r="T19" i="17"/>
  <c r="S19" i="17"/>
  <c r="R19" i="17"/>
  <c r="Q19" i="17"/>
  <c r="P19" i="17"/>
  <c r="O19" i="17"/>
  <c r="N19" i="17"/>
  <c r="M19" i="17"/>
  <c r="L19" i="17"/>
  <c r="K19" i="17"/>
  <c r="J19" i="17"/>
  <c r="I19" i="17"/>
  <c r="H19" i="17"/>
  <c r="G19" i="17"/>
  <c r="F19" i="17"/>
  <c r="E19" i="17"/>
  <c r="D19" i="17"/>
  <c r="C19" i="17"/>
  <c r="AB8" i="17"/>
  <c r="Z8" i="17"/>
  <c r="Y8" i="17"/>
  <c r="Y37" i="17" s="1"/>
  <c r="Y38" i="17" s="1"/>
  <c r="X8" i="17"/>
  <c r="X37" i="17" s="1"/>
  <c r="X38" i="17" s="1"/>
  <c r="W8" i="17"/>
  <c r="W37" i="17" s="1"/>
  <c r="W38" i="17" s="1"/>
  <c r="V8" i="17"/>
  <c r="V37" i="17" s="1"/>
  <c r="V38" i="17" s="1"/>
  <c r="U8" i="17"/>
  <c r="U37" i="17" s="1"/>
  <c r="U38" i="17" s="1"/>
  <c r="T8" i="17"/>
  <c r="S8" i="17"/>
  <c r="R8" i="17"/>
  <c r="Q8" i="17"/>
  <c r="Q37" i="17" s="1"/>
  <c r="Q38" i="17" s="1"/>
  <c r="P8" i="17"/>
  <c r="P37" i="17" s="1"/>
  <c r="P38" i="17" s="1"/>
  <c r="O8" i="17"/>
  <c r="O37" i="17" s="1"/>
  <c r="O38" i="17" s="1"/>
  <c r="N8" i="17"/>
  <c r="N37" i="17" s="1"/>
  <c r="N38" i="17" s="1"/>
  <c r="M8" i="17"/>
  <c r="M37" i="17" s="1"/>
  <c r="M38" i="17" s="1"/>
  <c r="L8" i="17"/>
  <c r="K8" i="17"/>
  <c r="J8" i="17"/>
  <c r="I8" i="17"/>
  <c r="I37" i="17" s="1"/>
  <c r="I38" i="17" s="1"/>
  <c r="H8" i="17"/>
  <c r="H37" i="17" s="1"/>
  <c r="H38" i="17" s="1"/>
  <c r="G8" i="17"/>
  <c r="G37" i="17" s="1"/>
  <c r="G38" i="17" s="1"/>
  <c r="F8" i="17"/>
  <c r="F37" i="17" s="1"/>
  <c r="F38" i="17" s="1"/>
  <c r="E8" i="17"/>
  <c r="E37" i="17" s="1"/>
  <c r="E38" i="17" s="1"/>
  <c r="D8" i="17"/>
  <c r="C8" i="17"/>
  <c r="AB93" i="40" l="1"/>
  <c r="I19" i="42"/>
  <c r="I9" i="42"/>
  <c r="W89" i="40"/>
  <c r="W18" i="29" l="1"/>
  <c r="W11" i="29"/>
  <c r="W9" i="29"/>
  <c r="Z10" i="38"/>
  <c r="Z31" i="37"/>
  <c r="Z26" i="37"/>
  <c r="Z19" i="37"/>
  <c r="Z11" i="37"/>
  <c r="W12" i="29" l="1"/>
  <c r="W16" i="29" s="1"/>
  <c r="W20" i="29" s="1"/>
  <c r="W23" i="29" s="1"/>
  <c r="V25" i="39"/>
  <c r="V17" i="39"/>
  <c r="V9" i="39"/>
  <c r="Z95" i="40"/>
  <c r="Z89" i="40"/>
  <c r="Z74" i="40"/>
  <c r="Z62" i="40"/>
  <c r="Z72" i="38"/>
  <c r="Z63" i="38"/>
  <c r="Z40" i="38"/>
  <c r="Z22" i="38"/>
  <c r="Z8" i="38" s="1"/>
  <c r="Z32" i="37"/>
  <c r="V12" i="29"/>
  <c r="V16" i="29" s="1"/>
  <c r="V20" i="29" s="1"/>
  <c r="U25" i="39"/>
  <c r="U17" i="39"/>
  <c r="U9" i="39"/>
  <c r="Z93" i="40" l="1"/>
  <c r="Z97" i="40" s="1"/>
  <c r="AB95" i="40" s="1"/>
  <c r="AB97" i="40" s="1"/>
  <c r="AC95" i="40" s="1"/>
  <c r="AC97" i="40" s="1"/>
  <c r="AD95" i="40" s="1"/>
  <c r="AD97" i="40" s="1"/>
  <c r="AE95" i="40" s="1"/>
  <c r="AE97" i="40" s="1"/>
  <c r="Z38" i="38"/>
  <c r="T25" i="39" l="1"/>
  <c r="T17" i="39"/>
  <c r="T9" i="39"/>
  <c r="X89" i="40"/>
  <c r="X74" i="40"/>
  <c r="X62" i="40"/>
  <c r="X93" i="40" l="1"/>
  <c r="S25" i="39" l="1"/>
  <c r="S17" i="39"/>
  <c r="S9" i="39"/>
  <c r="B38" i="48"/>
  <c r="B37" i="48"/>
  <c r="W95" i="40"/>
  <c r="W74" i="40"/>
  <c r="W62" i="40"/>
  <c r="W72" i="38"/>
  <c r="W63" i="38"/>
  <c r="W40" i="38"/>
  <c r="W22" i="38"/>
  <c r="W10" i="38"/>
  <c r="W32" i="37"/>
  <c r="W8" i="38" l="1"/>
  <c r="W93" i="40"/>
  <c r="W97" i="40" s="1"/>
  <c r="X95" i="40" s="1"/>
  <c r="X97" i="40" s="1"/>
  <c r="W38" i="38"/>
  <c r="V62" i="40" l="1"/>
  <c r="V74" i="40"/>
  <c r="V89" i="40"/>
  <c r="V95" i="40"/>
  <c r="V8" i="38"/>
  <c r="V38" i="38"/>
  <c r="R12" i="29"/>
  <c r="R16" i="29" s="1"/>
  <c r="R20" i="29" s="1"/>
  <c r="Q12" i="29"/>
  <c r="Q16" i="29" s="1"/>
  <c r="Q20" i="29" s="1"/>
  <c r="P12" i="29"/>
  <c r="P16" i="29" s="1"/>
  <c r="P20" i="29" s="1"/>
  <c r="O12" i="29"/>
  <c r="O16" i="29" s="1"/>
  <c r="O20" i="29" s="1"/>
  <c r="N12" i="29"/>
  <c r="N16" i="29" s="1"/>
  <c r="N20" i="29" s="1"/>
  <c r="M12" i="29"/>
  <c r="M16" i="29" s="1"/>
  <c r="M20" i="29" s="1"/>
  <c r="L12" i="29"/>
  <c r="L16" i="29" s="1"/>
  <c r="L20" i="29" s="1"/>
  <c r="K12" i="29"/>
  <c r="K16" i="29" s="1"/>
  <c r="K20" i="29" s="1"/>
  <c r="J12" i="29"/>
  <c r="J16" i="29" s="1"/>
  <c r="J20" i="29" s="1"/>
  <c r="I12" i="29"/>
  <c r="I16" i="29" s="1"/>
  <c r="I20" i="29" s="1"/>
  <c r="H12" i="29"/>
  <c r="H16" i="29" s="1"/>
  <c r="H20" i="29" s="1"/>
  <c r="G12" i="29"/>
  <c r="G16" i="29" s="1"/>
  <c r="G20" i="29" s="1"/>
  <c r="F12" i="29"/>
  <c r="F16" i="29" s="1"/>
  <c r="F20" i="29" s="1"/>
  <c r="E12" i="29"/>
  <c r="E16" i="29" s="1"/>
  <c r="E20" i="29" s="1"/>
  <c r="D12" i="29"/>
  <c r="D16" i="29" s="1"/>
  <c r="D20" i="29" s="1"/>
  <c r="C12" i="29"/>
  <c r="C16" i="29" s="1"/>
  <c r="Q25" i="39"/>
  <c r="P25" i="39"/>
  <c r="O25" i="39"/>
  <c r="N25" i="39"/>
  <c r="M25" i="39"/>
  <c r="L25" i="39"/>
  <c r="K25" i="39"/>
  <c r="J25" i="39"/>
  <c r="I25" i="39"/>
  <c r="H25" i="39"/>
  <c r="G25" i="39"/>
  <c r="F25" i="39"/>
  <c r="E25" i="39"/>
  <c r="D25" i="39"/>
  <c r="C25" i="39"/>
  <c r="Q17" i="39"/>
  <c r="P17" i="39"/>
  <c r="O17" i="39"/>
  <c r="N17" i="39"/>
  <c r="M17" i="39"/>
  <c r="L17" i="39"/>
  <c r="K17" i="39"/>
  <c r="J17" i="39"/>
  <c r="I17" i="39"/>
  <c r="H17" i="39"/>
  <c r="G17" i="39"/>
  <c r="F17" i="39"/>
  <c r="E17" i="39"/>
  <c r="D17" i="39"/>
  <c r="C17" i="39"/>
  <c r="Q9" i="39"/>
  <c r="P9" i="39"/>
  <c r="O9" i="39"/>
  <c r="N9" i="39"/>
  <c r="M9" i="39"/>
  <c r="L9" i="39"/>
  <c r="K9" i="39"/>
  <c r="J9" i="39"/>
  <c r="I9" i="39"/>
  <c r="H9" i="39"/>
  <c r="G9" i="39"/>
  <c r="F9" i="39"/>
  <c r="E9" i="39"/>
  <c r="D9" i="39"/>
  <c r="C9" i="39"/>
  <c r="R23" i="46"/>
  <c r="Q23" i="46"/>
  <c r="P23" i="46"/>
  <c r="N23" i="46"/>
  <c r="M23" i="46"/>
  <c r="L23" i="46"/>
  <c r="J23" i="46"/>
  <c r="I23" i="46"/>
  <c r="H23" i="46"/>
  <c r="F23" i="46"/>
  <c r="E23" i="46"/>
  <c r="D23" i="46"/>
  <c r="C23" i="46"/>
  <c r="R21" i="46"/>
  <c r="Q21" i="46"/>
  <c r="P21" i="46"/>
  <c r="N21" i="46"/>
  <c r="M21" i="46"/>
  <c r="L21" i="46"/>
  <c r="J21" i="46"/>
  <c r="I21" i="46"/>
  <c r="H21" i="46"/>
  <c r="F21" i="46"/>
  <c r="E21" i="46"/>
  <c r="D21" i="46"/>
  <c r="C21" i="46"/>
  <c r="R15" i="46"/>
  <c r="N15" i="46"/>
  <c r="J15" i="46"/>
  <c r="F15" i="46"/>
  <c r="E15" i="46"/>
  <c r="D15" i="46"/>
  <c r="R13" i="46"/>
  <c r="N13" i="46"/>
  <c r="J13" i="46"/>
  <c r="F13" i="46"/>
  <c r="E13" i="46"/>
  <c r="D13" i="46"/>
  <c r="R11" i="46"/>
  <c r="N11" i="46"/>
  <c r="J11" i="46"/>
  <c r="F11" i="46"/>
  <c r="E11" i="46"/>
  <c r="D11" i="46"/>
  <c r="S95" i="40"/>
  <c r="R95" i="40"/>
  <c r="Q95" i="40"/>
  <c r="P95" i="40"/>
  <c r="O95" i="40"/>
  <c r="N95" i="40"/>
  <c r="M95" i="40"/>
  <c r="L95" i="40"/>
  <c r="J95" i="40"/>
  <c r="I95" i="40"/>
  <c r="H95" i="40"/>
  <c r="U89" i="40"/>
  <c r="T89" i="40"/>
  <c r="S89" i="40"/>
  <c r="R89" i="40"/>
  <c r="Q89" i="40"/>
  <c r="P89" i="40"/>
  <c r="O89" i="40"/>
  <c r="N89" i="40"/>
  <c r="M89" i="40"/>
  <c r="L89" i="40"/>
  <c r="K89" i="40"/>
  <c r="J89" i="40"/>
  <c r="I89" i="40"/>
  <c r="H89" i="40"/>
  <c r="G89" i="40"/>
  <c r="F89" i="40"/>
  <c r="E89" i="40"/>
  <c r="D89" i="40"/>
  <c r="C89" i="40"/>
  <c r="U74" i="40"/>
  <c r="T74" i="40"/>
  <c r="S74" i="40"/>
  <c r="R74" i="40"/>
  <c r="Q74" i="40"/>
  <c r="P74" i="40"/>
  <c r="O74" i="40"/>
  <c r="N74" i="40"/>
  <c r="M74" i="40"/>
  <c r="L74" i="40"/>
  <c r="K74" i="40"/>
  <c r="J74" i="40"/>
  <c r="I74" i="40"/>
  <c r="H74" i="40"/>
  <c r="G74" i="40"/>
  <c r="F74" i="40"/>
  <c r="E74" i="40"/>
  <c r="D74" i="40"/>
  <c r="C74" i="40"/>
  <c r="T62" i="40"/>
  <c r="S62" i="40"/>
  <c r="R62" i="40"/>
  <c r="Q62" i="40"/>
  <c r="P62" i="40"/>
  <c r="O62" i="40"/>
  <c r="N62" i="40"/>
  <c r="M62" i="40"/>
  <c r="L62" i="40"/>
  <c r="K62" i="40"/>
  <c r="J62" i="40"/>
  <c r="I62" i="40"/>
  <c r="H62" i="40"/>
  <c r="G62" i="40"/>
  <c r="F62" i="40"/>
  <c r="E62" i="40"/>
  <c r="D62" i="40"/>
  <c r="C62" i="40"/>
  <c r="U31" i="40"/>
  <c r="U62" i="40" s="1"/>
  <c r="M72" i="38"/>
  <c r="L72" i="38"/>
  <c r="K72" i="38"/>
  <c r="I72" i="38"/>
  <c r="H72" i="38"/>
  <c r="G72" i="38"/>
  <c r="M63" i="38"/>
  <c r="L63" i="38"/>
  <c r="K63" i="38"/>
  <c r="I63" i="38"/>
  <c r="H63" i="38"/>
  <c r="G63" i="38"/>
  <c r="M40" i="38"/>
  <c r="L40" i="38"/>
  <c r="K40" i="38"/>
  <c r="I40" i="38"/>
  <c r="H40" i="38"/>
  <c r="G40" i="38"/>
  <c r="U38" i="38"/>
  <c r="T38" i="38"/>
  <c r="S38" i="38"/>
  <c r="R38" i="38"/>
  <c r="Q38" i="38"/>
  <c r="P38" i="38"/>
  <c r="O38" i="38"/>
  <c r="N38" i="38"/>
  <c r="J38" i="38"/>
  <c r="F38" i="38"/>
  <c r="E38" i="38"/>
  <c r="D38" i="38"/>
  <c r="C38" i="38"/>
  <c r="M22" i="38"/>
  <c r="L22" i="38"/>
  <c r="K22" i="38"/>
  <c r="I22" i="38"/>
  <c r="H22" i="38"/>
  <c r="G22" i="38"/>
  <c r="M10" i="38"/>
  <c r="L10" i="38"/>
  <c r="K10" i="38"/>
  <c r="I10" i="38"/>
  <c r="H10" i="38"/>
  <c r="G10" i="38"/>
  <c r="U8" i="38"/>
  <c r="T8" i="38"/>
  <c r="S8" i="38"/>
  <c r="R8" i="38"/>
  <c r="Q8" i="38"/>
  <c r="P8" i="38"/>
  <c r="O8" i="38"/>
  <c r="N8" i="38"/>
  <c r="J8" i="38"/>
  <c r="F8" i="38"/>
  <c r="E8" i="38"/>
  <c r="D8" i="38"/>
  <c r="C8" i="38"/>
  <c r="U32" i="37"/>
  <c r="T32" i="37"/>
  <c r="S32" i="37"/>
  <c r="R32" i="37"/>
  <c r="Q32" i="37"/>
  <c r="P32" i="37"/>
  <c r="O32" i="37"/>
  <c r="N32" i="37"/>
  <c r="M32" i="37"/>
  <c r="L32" i="37"/>
  <c r="K32" i="37"/>
  <c r="I32" i="37"/>
  <c r="H32" i="37"/>
  <c r="F32" i="37"/>
  <c r="E32" i="37"/>
  <c r="D32" i="37"/>
  <c r="C32" i="37"/>
  <c r="G31" i="37"/>
  <c r="G32" i="37" s="1"/>
  <c r="G29" i="37"/>
  <c r="J29" i="37" s="1"/>
  <c r="G28" i="37"/>
  <c r="J28" i="37" s="1"/>
  <c r="G26" i="37"/>
  <c r="J26" i="37" s="1"/>
  <c r="G25" i="37"/>
  <c r="J25" i="37" s="1"/>
  <c r="G23" i="37"/>
  <c r="J23" i="37" s="1"/>
  <c r="G22" i="37"/>
  <c r="J22" i="37" s="1"/>
  <c r="G21" i="37"/>
  <c r="J21" i="37" s="1"/>
  <c r="G19" i="37"/>
  <c r="J19" i="37" s="1"/>
  <c r="G17" i="37"/>
  <c r="J17" i="37" s="1"/>
  <c r="G16" i="37"/>
  <c r="J16" i="37" s="1"/>
  <c r="G15" i="37"/>
  <c r="J15" i="37" s="1"/>
  <c r="G13" i="37"/>
  <c r="J13" i="37" s="1"/>
  <c r="G11" i="37"/>
  <c r="J11" i="37" s="1"/>
  <c r="I10" i="37"/>
  <c r="G10" i="37"/>
  <c r="I9" i="37"/>
  <c r="G9" i="37"/>
  <c r="L38" i="38" l="1"/>
  <c r="M93" i="40"/>
  <c r="V93" i="40"/>
  <c r="I8" i="38"/>
  <c r="L8" i="38"/>
  <c r="H38" i="38"/>
  <c r="M38" i="38"/>
  <c r="G8" i="38"/>
  <c r="J9" i="37"/>
  <c r="J31" i="37"/>
  <c r="J32" i="37" s="1"/>
  <c r="C93" i="40"/>
  <c r="G93" i="40"/>
  <c r="K93" i="40"/>
  <c r="D93" i="40"/>
  <c r="H93" i="40"/>
  <c r="L93" i="40"/>
  <c r="P93" i="40"/>
  <c r="T93" i="40"/>
  <c r="I38" i="38"/>
  <c r="F93" i="40"/>
  <c r="J93" i="40"/>
  <c r="N93" i="40"/>
  <c r="R93" i="40"/>
  <c r="E93" i="40"/>
  <c r="I93" i="40"/>
  <c r="J10" i="37"/>
  <c r="H8" i="38"/>
  <c r="M8" i="38"/>
  <c r="K8" i="38"/>
  <c r="G38" i="38"/>
  <c r="Q93" i="40"/>
  <c r="K38" i="38"/>
  <c r="U93" i="40"/>
  <c r="O93" i="40"/>
  <c r="S93" i="40"/>
  <c r="S97" i="40" s="1"/>
  <c r="T95" i="40" s="1"/>
  <c r="T97" i="40" l="1"/>
  <c r="U95" i="40" s="1"/>
  <c r="F51" i="47" l="1"/>
  <c r="F53" i="47" s="1"/>
  <c r="N51" i="47"/>
  <c r="V51" i="47"/>
  <c r="G51" i="47"/>
  <c r="O51" i="47"/>
  <c r="W51" i="47"/>
  <c r="W53" i="47" s="1"/>
  <c r="AC53" i="47"/>
  <c r="H51" i="47"/>
  <c r="P51" i="47"/>
  <c r="X51" i="47"/>
  <c r="I51" i="47"/>
  <c r="I53" i="47" s="1"/>
  <c r="Q51" i="47"/>
  <c r="Y51" i="47"/>
  <c r="Q53" i="47"/>
  <c r="J51" i="47"/>
  <c r="J53" i="47" s="1"/>
  <c r="R51" i="47"/>
  <c r="Z53" i="47"/>
  <c r="C51" i="47"/>
  <c r="K51" i="47"/>
  <c r="S51" i="47"/>
  <c r="S53" i="47" s="1"/>
  <c r="AA53" i="47"/>
  <c r="AE53" i="47"/>
  <c r="D51" i="47"/>
  <c r="D53" i="47" s="1"/>
  <c r="L51" i="47"/>
  <c r="T51" i="47"/>
  <c r="E51" i="47"/>
  <c r="M51" i="47"/>
  <c r="U51" i="47"/>
  <c r="AB53" i="47"/>
  <c r="N53" i="47" l="1"/>
  <c r="H53" i="47"/>
  <c r="E53" i="47"/>
  <c r="T53" i="47"/>
  <c r="X53" i="47"/>
  <c r="O53" i="47"/>
  <c r="M53" i="47"/>
  <c r="U53" i="47"/>
  <c r="L53" i="47"/>
  <c r="K53" i="47"/>
  <c r="P53" i="47"/>
  <c r="V53" i="47"/>
  <c r="C53" i="47"/>
  <c r="R53" i="47"/>
  <c r="Y53" i="47"/>
  <c r="G53" i="47"/>
  <c r="AC44" i="48" l="1"/>
  <c r="AA44" i="48" l="1"/>
  <c r="AH49" i="47" l="1"/>
  <c r="AH53" i="4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Lara Ribeiro de Lima</author>
  </authors>
  <commentList>
    <comment ref="B27" authorId="0" shapeId="0" xr:uid="{5F2F209C-34CB-49D2-B3FE-414DA87BF6FF}">
      <text>
        <r>
          <rPr>
            <b/>
            <sz val="10"/>
            <color indexed="81"/>
            <rFont val="Calibri Light"/>
            <family val="2"/>
            <scheme val="major"/>
          </rPr>
          <t xml:space="preserve">Encargos tributários: </t>
        </r>
        <r>
          <rPr>
            <sz val="10"/>
            <color indexed="81"/>
            <rFont val="Calibri Light"/>
            <family val="2"/>
            <scheme val="major"/>
          </rPr>
          <t>Os ajustes são referentes aos gastos com IOF, PIS e COFINS incidentes sobre as receitas financeiras da Companhia e que estão classificados em despesas tributárias.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tc={40D4BC28-8A17-4AE7-AE67-E4F71FC11F75}</author>
    <author>tc={D9EB7F35-7824-4598-88EF-1C987485002F}</author>
    <author>tc={CDE13574-F1B6-489B-AAA3-E5174B07EC20}</author>
    <author>tc={3BA03E8C-BC6A-4934-A3AA-2748FB4BEB08}</author>
    <author>tc={172024DA-50A6-4925-8A8A-D99A2D48E2BF}</author>
    <author>tc={7106E705-969B-4EB3-8083-89597D9ED7FD}</author>
  </authors>
  <commentList>
    <comment ref="B44" authorId="0" shapeId="0" xr:uid="{40D4BC28-8A17-4AE7-AE67-E4F71FC11F75}">
      <text>
        <t>[Comentário encadeado]
Sua versão do Excel permite que você leia este comentário encadeado, no entanto, as edições serão removidas se o arquivo for aberto em uma versão mais recente do Excel. Saiba mais: https://go.microsoft.com/fwlink/?linkid=870924
Comentário:
    Indicators not disclosed in 2022</t>
      </text>
    </comment>
    <comment ref="B52" authorId="1" shapeId="0" xr:uid="{D9EB7F35-7824-4598-88EF-1C987485002F}">
      <text>
        <t>[Comentário encadeado]
Sua versão do Excel permite que você leia este comentário encadeado, no entanto, as edições serão removidas se o arquivo for aberto em uma versão mais recente do Excel. Saiba mais: https://go.microsoft.com/fwlink/?linkid=870924
Comentário:
    Indicators not disclosed in 2022</t>
      </text>
    </comment>
    <comment ref="B102" authorId="2" shapeId="0" xr:uid="{CDE13574-F1B6-489B-AAA3-E5174B07EC20}">
      <text>
        <t>[Comentário encadeado]
Sua versão do Excel permite que você leia este comentário encadeado, no entanto, as edições serão removidas se o arquivo for aberto em uma versão mais recente do Excel. Saiba mais: https://go.microsoft.com/fwlink/?linkid=870924
Comentário:
    Indicator not disclosed in 2022</t>
      </text>
    </comment>
    <comment ref="B179" authorId="3" shapeId="0" xr:uid="{3BA03E8C-BC6A-4934-A3AA-2748FB4BEB08}">
      <text>
        <t>[Comentário encadeado]
Sua versão do Excel permite que você leia este comentário encadeado, no entanto, as edições serão removidas se o arquivo for aberto em uma versão mais recente do Excel. Saiba mais: https://go.microsoft.com/fwlink/?linkid=870924
Comentário:
    GRI reworded the denominator to thousand m³</t>
      </text>
    </comment>
    <comment ref="B186" authorId="4" shapeId="0" xr:uid="{172024DA-50A6-4925-8A8A-D99A2D48E2BF}">
      <text>
        <t>[Comentário encadeado]
Sua versão do Excel permite que você leia este comentário encadeado, no entanto, as edições serão removidas se o arquivo for aberto em uma versão mais recente do Excel. Saiba mais: https://go.microsoft.com/fwlink/?linkid=870924
Comentário:
    Indicators not disclosed in 2022</t>
      </text>
    </comment>
    <comment ref="B276" authorId="5" shapeId="0" xr:uid="{7106E705-969B-4EB3-8083-89597D9ED7FD}">
      <text>
        <t>[Comentário encadeado]
Sua versão do Excel permite que você leia este comentário encadeado, no entanto, as edições serão removidas se o arquivo for aberto em uma versão mais recente do Excel. Saiba mais: https://go.microsoft.com/fwlink/?linkid=870924
Comentário:
    Waste is no longer disclosed by type, only divided into hazardous and non-hazardous.</t>
      </text>
    </comment>
  </commentList>
</comments>
</file>

<file path=xl/sharedStrings.xml><?xml version="1.0" encoding="utf-8"?>
<sst xmlns="http://schemas.openxmlformats.org/spreadsheetml/2006/main" count="1302" uniqueCount="680">
  <si>
    <t>1. Volume</t>
  </si>
  <si>
    <t>Diesel</t>
  </si>
  <si>
    <t>VIBRA ENERGIA</t>
  </si>
  <si>
    <t>CAPEX</t>
  </si>
  <si>
    <t>(1.2) B2B</t>
  </si>
  <si>
    <t>(2.2) B2B</t>
  </si>
  <si>
    <t>(3.2) B2B</t>
  </si>
  <si>
    <t>(7.2) B2B</t>
  </si>
  <si>
    <t>SWAP</t>
  </si>
  <si>
    <t>CDI</t>
  </si>
  <si>
    <t>IPCA</t>
  </si>
  <si>
    <t>EBITDA/m³</t>
  </si>
  <si>
    <t>Real</t>
  </si>
  <si>
    <t>Δ</t>
  </si>
  <si>
    <t>CBIOS</t>
  </si>
  <si>
    <t>(4.1.2) B2B</t>
  </si>
  <si>
    <t>GRI 405-2</t>
  </si>
  <si>
    <t>-</t>
  </si>
  <si>
    <t>GRI 403-9</t>
  </si>
  <si>
    <t>GRI 205-2</t>
  </si>
  <si>
    <t>GRI 205-3</t>
  </si>
  <si>
    <t>GRI 413-1</t>
  </si>
  <si>
    <t>%</t>
  </si>
  <si>
    <t>GRI 413-2</t>
  </si>
  <si>
    <t>GRI 305-1</t>
  </si>
  <si>
    <t>Status</t>
  </si>
  <si>
    <t>Total</t>
  </si>
  <si>
    <t>(*) (**)</t>
  </si>
  <si>
    <t>USDBRL</t>
  </si>
  <si>
    <t>GRI 306-3</t>
  </si>
  <si>
    <t>GRI 305-4</t>
  </si>
  <si>
    <t>GRI 303-3</t>
  </si>
  <si>
    <t>GRI 302-1</t>
  </si>
  <si>
    <t>GRI 302-3</t>
  </si>
  <si>
    <t>GRI 302-4</t>
  </si>
  <si>
    <t>(4.2.2) B2B</t>
  </si>
  <si>
    <t>(4.3.2) B2B</t>
  </si>
  <si>
    <t>jan-mar</t>
  </si>
  <si>
    <t>IPCA (m-1)*</t>
  </si>
  <si>
    <t>Selic</t>
  </si>
  <si>
    <t>Revenue from goods sold and services rendered</t>
  </si>
  <si>
    <t>Cost of goods sold and services rendered</t>
  </si>
  <si>
    <t>Gross profit</t>
  </si>
  <si>
    <t>Operating expenses</t>
  </si>
  <si>
    <t>Sales</t>
  </si>
  <si>
    <t>Allowance for credit loss</t>
  </si>
  <si>
    <t>General and administrative</t>
  </si>
  <si>
    <t>Tax</t>
  </si>
  <si>
    <t>Other net income (expenses)</t>
  </si>
  <si>
    <t>Finance income, net</t>
  </si>
  <si>
    <t>Expenses</t>
  </si>
  <si>
    <t>Income</t>
  </si>
  <si>
    <t>Foreign exchange and inflation indexation, net</t>
  </si>
  <si>
    <t>Results in equity-accounted investments</t>
  </si>
  <si>
    <t>Income before tax</t>
  </si>
  <si>
    <t xml:space="preserve">  Income tax and social contribution</t>
  </si>
  <si>
    <t>Current</t>
  </si>
  <si>
    <t xml:space="preserve">Deferred </t>
  </si>
  <si>
    <t>Result, basic and diluted per stock  - R$</t>
  </si>
  <si>
    <t>Share capital: 1,165,000,000 ordinary.</t>
  </si>
  <si>
    <t>VIBRA ENERGIA - Consolidated</t>
  </si>
  <si>
    <t>ASSETS</t>
  </si>
  <si>
    <t>Cash and cash equivalents</t>
  </si>
  <si>
    <t>Net accounts receivable</t>
  </si>
  <si>
    <t>Inventories</t>
  </si>
  <si>
    <t>Advances to suppliers</t>
  </si>
  <si>
    <t>Income tax and social contribution</t>
  </si>
  <si>
    <t>Taxes and contributions recoverable</t>
  </si>
  <si>
    <t>Bonuses advanced to clients</t>
  </si>
  <si>
    <t>Prepaid expenses</t>
  </si>
  <si>
    <t>Derivative financial instruments</t>
  </si>
  <si>
    <t>Other current assets</t>
  </si>
  <si>
    <t>Noncurrent</t>
  </si>
  <si>
    <t xml:space="preserve">Judicial deposits </t>
  </si>
  <si>
    <t xml:space="preserve">Deferred income and social contribution tax </t>
  </si>
  <si>
    <t>Other noncurrent assets</t>
  </si>
  <si>
    <t>Investments</t>
  </si>
  <si>
    <t>Property, plant and equipment</t>
  </si>
  <si>
    <t>Intangible assets</t>
  </si>
  <si>
    <t>Loans and financing related party</t>
  </si>
  <si>
    <t>LIABILITIES + EQUITY</t>
  </si>
  <si>
    <t>Equity</t>
  </si>
  <si>
    <t>Paid-in capital</t>
  </si>
  <si>
    <t>Revenue reserves</t>
  </si>
  <si>
    <t>Capital reserves</t>
  </si>
  <si>
    <t>Treasury stock</t>
  </si>
  <si>
    <t>Asset and liability valuation adjustments</t>
  </si>
  <si>
    <t>Cash flows from operating activities</t>
  </si>
  <si>
    <t>Adjustments to:</t>
  </si>
  <si>
    <t>Depreciation and amortization</t>
  </si>
  <si>
    <t>Expected credit losses, net of reversal</t>
  </si>
  <si>
    <t xml:space="preserve">Income on the sale / derecognition of assets </t>
  </si>
  <si>
    <t>Appropriation of insurance, rent and other</t>
  </si>
  <si>
    <t>Net monetary and exchange variance</t>
  </si>
  <si>
    <t>Expenses on pension and health plans</t>
  </si>
  <si>
    <t>Provision for judicial and administrative proceedings, net of reversal</t>
  </si>
  <si>
    <t>Provision Discount due to salary renegotiation</t>
  </si>
  <si>
    <t>Provision for decarbonization credits (CBIOS)</t>
  </si>
  <si>
    <t>Recovery of PIS and Cofins - exclusion of ICMS from the calculation base</t>
  </si>
  <si>
    <t>ICMS credits - End of permanent status "Tax Substitution"</t>
  </si>
  <si>
    <t>Other adjustments</t>
  </si>
  <si>
    <t>Earnings on material interests</t>
  </si>
  <si>
    <t>Appropriation / derecognition of early bonuses awarded to customers</t>
  </si>
  <si>
    <t>Decrease (increase) in assets and increase (decrease) in liabilities</t>
  </si>
  <si>
    <t>Judicial Deposits</t>
  </si>
  <si>
    <t>Acquisition for decarbonization credits (CBIOS)</t>
  </si>
  <si>
    <t>Trade and other receivables</t>
  </si>
  <si>
    <t>Advanced bonuses awarded to clients</t>
  </si>
  <si>
    <t>Trade accounts payable</t>
  </si>
  <si>
    <t>Income and social contribution taxes paid</t>
  </si>
  <si>
    <t>Taxes, fees and contributions</t>
  </si>
  <si>
    <t>Pension and health plan</t>
  </si>
  <si>
    <t>Voluntary redundancy incentivization plan</t>
  </si>
  <si>
    <t>Redundancy program and restructuring</t>
  </si>
  <si>
    <t>Payments of legal proceedings</t>
  </si>
  <si>
    <t>Customer advances</t>
  </si>
  <si>
    <t>Other assets and liabilities, net</t>
  </si>
  <si>
    <t>Investment activities</t>
  </si>
  <si>
    <t>Receipt from the sale of assets</t>
  </si>
  <si>
    <t>Investments in securities</t>
  </si>
  <si>
    <t>Dividends received</t>
  </si>
  <si>
    <t>Receipt of loans awarded</t>
  </si>
  <si>
    <t>Cash effect from the loss of control over interest</t>
  </si>
  <si>
    <t>Financing activities</t>
  </si>
  <si>
    <t>Financing</t>
  </si>
  <si>
    <t>Loans and financing</t>
  </si>
  <si>
    <t>Amortization of principal</t>
  </si>
  <si>
    <t>Amortization of interest</t>
  </si>
  <si>
    <t>Dividends and interest on shareholders’ equity paid</t>
  </si>
  <si>
    <t>Leases</t>
  </si>
  <si>
    <t>Payments of principal</t>
  </si>
  <si>
    <t>Interest payments</t>
  </si>
  <si>
    <t>Others</t>
  </si>
  <si>
    <t>Assignments credit rights - FIDC-NP / Share buyback</t>
  </si>
  <si>
    <t>Loss of value of asset recovery  - Impairment</t>
  </si>
  <si>
    <t>(millions)</t>
  </si>
  <si>
    <t>Income and social contribution taxes</t>
  </si>
  <si>
    <t>Taxes and contributions payable</t>
  </si>
  <si>
    <t xml:space="preserve">Provision for decarbonization credits </t>
  </si>
  <si>
    <t>Other accounts and expenses payable</t>
  </si>
  <si>
    <t>Derivative financial instrument</t>
  </si>
  <si>
    <t>Provision for judicial and administrative proceedings</t>
  </si>
  <si>
    <t>(1) Sales Revenue</t>
  </si>
  <si>
    <t>(1.1) Retail</t>
  </si>
  <si>
    <t>(2.1) Retail</t>
  </si>
  <si>
    <t>(2) Cost of goods sold</t>
  </si>
  <si>
    <t>(3.1) Retail</t>
  </si>
  <si>
    <t>(8.1) Reconciliation with financial statements</t>
  </si>
  <si>
    <t>(8) Net income (loss) before tax</t>
  </si>
  <si>
    <t>(7) Adjusted EBITDA</t>
  </si>
  <si>
    <t>(7.1) Retail</t>
  </si>
  <si>
    <t>(5) Equity earnings</t>
  </si>
  <si>
    <t>(4.3) Other net revenue (expenses)</t>
  </si>
  <si>
    <t>(4.3.1) Retail</t>
  </si>
  <si>
    <t>(4.2) Tax</t>
  </si>
  <si>
    <t>(4.2.1) Retail</t>
  </si>
  <si>
    <t>(4.1) General, administrative and sales</t>
  </si>
  <si>
    <t>(4.1.1) Retail</t>
  </si>
  <si>
    <t>(4) Expenses</t>
  </si>
  <si>
    <t>Performance Bonuses</t>
  </si>
  <si>
    <t>Values ​​granted to customers based on compliance with contractually agreed deadlines and performances.</t>
  </si>
  <si>
    <t>BONUSES</t>
  </si>
  <si>
    <t>VIBRA ENERGIA (R$ millions)</t>
  </si>
  <si>
    <t>Award and sales rebates</t>
  </si>
  <si>
    <t>Acquisitions of fixed and intangible assets</t>
  </si>
  <si>
    <t>Investments in equity interests</t>
  </si>
  <si>
    <r>
      <t xml:space="preserve">VIBRA ENERGIA - Consolidated </t>
    </r>
    <r>
      <rPr>
        <sz val="12"/>
        <color rgb="FF0E7716"/>
        <rFont val="Arial"/>
        <family val="2"/>
      </rPr>
      <t>(millions)</t>
    </r>
  </si>
  <si>
    <t>Cost of goods sold</t>
  </si>
  <si>
    <t>Products for resale</t>
  </si>
  <si>
    <t>Third-party services, freight and rentals</t>
  </si>
  <si>
    <t>Personnel expenses</t>
  </si>
  <si>
    <t>Expected Credit Losses (*)</t>
  </si>
  <si>
    <t>Losses with bad debts (*)</t>
  </si>
  <si>
    <t>Salary renegotiation allowance</t>
  </si>
  <si>
    <t>General and Administrative Expenses</t>
  </si>
  <si>
    <t>Tax credits - ICMS on the PIS and COFINS calculation basis</t>
  </si>
  <si>
    <t>ICMS credits – End of definitiveness</t>
  </si>
  <si>
    <t>Recovery of PIS/COFINS Credits - Ninety</t>
  </si>
  <si>
    <t>Rent Expenses</t>
  </si>
  <si>
    <t>Indemnity gain from the concession contract GAS ES</t>
  </si>
  <si>
    <t>Losses and provisions with legal proceedings</t>
  </si>
  <si>
    <t>Profit participation</t>
  </si>
  <si>
    <t xml:space="preserve">Plan for jobs and salaries </t>
  </si>
  <si>
    <t>Volunteer dismissal incentive plan</t>
  </si>
  <si>
    <t>Dismissal and restructuring program</t>
  </si>
  <si>
    <t>Pension and health plan - inactive</t>
  </si>
  <si>
    <t>2. Income Statement</t>
  </si>
  <si>
    <t>(thousand of m³)</t>
  </si>
  <si>
    <t>Gasoline</t>
  </si>
  <si>
    <t>Ethanol</t>
  </si>
  <si>
    <t>Fuel Oil</t>
  </si>
  <si>
    <t>Fuel Aviation</t>
  </si>
  <si>
    <t xml:space="preserve">B2B Segment: </t>
  </si>
  <si>
    <t>oct-dec</t>
  </si>
  <si>
    <t>apr-jun</t>
  </si>
  <si>
    <t>4Q17</t>
  </si>
  <si>
    <t>1Q18</t>
  </si>
  <si>
    <t>2Q18</t>
  </si>
  <si>
    <t>3Q18</t>
  </si>
  <si>
    <t>4Q18</t>
  </si>
  <si>
    <t>1Q19</t>
  </si>
  <si>
    <t>2Q19</t>
  </si>
  <si>
    <t>3Q19</t>
  </si>
  <si>
    <t>4Q19</t>
  </si>
  <si>
    <t>1Q20</t>
  </si>
  <si>
    <t>2Q20</t>
  </si>
  <si>
    <t>3Q20</t>
  </si>
  <si>
    <t>4Q20</t>
  </si>
  <si>
    <t>1Q21</t>
  </si>
  <si>
    <t>2Q21</t>
  </si>
  <si>
    <t>3Q21</t>
  </si>
  <si>
    <t>1Q17</t>
  </si>
  <si>
    <t>2Q17</t>
  </si>
  <si>
    <t>3Q17</t>
  </si>
  <si>
    <t>4. Cash Flow Reconciliation (CFR)</t>
  </si>
  <si>
    <t>5. Segment Reporting</t>
  </si>
  <si>
    <t>jan-dec</t>
  </si>
  <si>
    <t>3. Balance Sheet</t>
  </si>
  <si>
    <t>Loans transactions with holding shareholder</t>
  </si>
  <si>
    <t>Cession of credit rights</t>
  </si>
  <si>
    <t>Awards by performance</t>
  </si>
  <si>
    <t>Voluntary departures incentive Plan</t>
  </si>
  <si>
    <t>Profit Share Program</t>
  </si>
  <si>
    <t>Bonds and securities</t>
  </si>
  <si>
    <t>Decarbonization credit provision</t>
  </si>
  <si>
    <t>Franchise income, rents and royalties</t>
  </si>
  <si>
    <t>Joint Storage Revenue</t>
  </si>
  <si>
    <t>Recovery taxes of PIS and Cofins</t>
  </si>
  <si>
    <t>Institutional relations and cultural projects</t>
  </si>
  <si>
    <t>Commodities of hedge Result - open operations</t>
  </si>
  <si>
    <t>Commodities of hedge Result - closed operations</t>
  </si>
  <si>
    <t>Performance awards and others awards</t>
  </si>
  <si>
    <t>(*) The values ​​of Losses with irrecoverable debts started to be determined in a specific line as of 2020.</t>
  </si>
  <si>
    <t>(**) In 2018, the Commodities Hedge Result amounts were classified in the financial result according to the explanatory note nº 25 of March, June and September 2018 and explanatory note nº 26 of December 2018. The values ​​of the quarters were R$7 (1Q18), -R$28 (2Q18), -R$9 (3Q18) and R$55 (4Q18).</t>
  </si>
  <si>
    <t>Consolidated (R$ millions)</t>
  </si>
  <si>
    <t>Settled Commodities Hedge</t>
  </si>
  <si>
    <t>Retail (R$ millions)</t>
  </si>
  <si>
    <t>Operational expenses adjusted</t>
  </si>
  <si>
    <t>Settled Hedge Result</t>
  </si>
  <si>
    <t xml:space="preserve">Operational expenses without Hedge | CBIOs </t>
  </si>
  <si>
    <t>B2B (R$ millions)</t>
  </si>
  <si>
    <t>Commercial lease</t>
  </si>
  <si>
    <t>Consolidated Gross debt</t>
  </si>
  <si>
    <t>Gross debt upon WAP</t>
  </si>
  <si>
    <t>Net debt</t>
  </si>
  <si>
    <t>Adjusted Ebitda LTM</t>
  </si>
  <si>
    <t>Net debt / Adjusted Ebitda LTM</t>
  </si>
  <si>
    <t>Average cost of accumulated debt (% p.y.)</t>
  </si>
  <si>
    <t>Average maturity of the debt (years)</t>
  </si>
  <si>
    <t>* (m-1): used to calculate the cost of debt as there isn't index performed for the current month</t>
  </si>
  <si>
    <t>GDP</t>
  </si>
  <si>
    <t>Dividends</t>
  </si>
  <si>
    <t>Men</t>
  </si>
  <si>
    <t>Woman</t>
  </si>
  <si>
    <t>Employees</t>
  </si>
  <si>
    <t>Employees number by Region</t>
  </si>
  <si>
    <t>North region</t>
  </si>
  <si>
    <t>Northeast Region</t>
  </si>
  <si>
    <t>Midwest Region</t>
  </si>
  <si>
    <t>Southeast Region</t>
  </si>
  <si>
    <t>South Region</t>
  </si>
  <si>
    <t>Functional Category</t>
  </si>
  <si>
    <t>Executive Board</t>
  </si>
  <si>
    <t>Management</t>
  </si>
  <si>
    <t>Leaddership/Coordination</t>
  </si>
  <si>
    <t>Technician/Supervisor</t>
  </si>
  <si>
    <t>Non-management employees</t>
  </si>
  <si>
    <t>Age range</t>
  </si>
  <si>
    <t>&lt; 30 years old</t>
  </si>
  <si>
    <t>From 30 to 50 years old</t>
  </si>
  <si>
    <t>+ 50 years old</t>
  </si>
  <si>
    <t>Number of people in governance bodies</t>
  </si>
  <si>
    <t>Board of Directors and Fiscal Council</t>
  </si>
  <si>
    <t>Total annual compensation of the highest-paid person / total average annual compensation of all employees</t>
  </si>
  <si>
    <t>Highest compensation (R$)</t>
  </si>
  <si>
    <t>Average total annual compensation for all employees (R$) (except the highest paid person)</t>
  </si>
  <si>
    <t>The calculation only includes the base salary (guaranteed short-term, non-variable monetary compensation) of all full-time employees</t>
  </si>
  <si>
    <t>Percentage increase in the total annual compensation of the highest paid person / Average percentage increase in the total annual compensation of all employees</t>
  </si>
  <si>
    <t>Highest compensation paid</t>
  </si>
  <si>
    <t>Average total annual compensation for all employees</t>
  </si>
  <si>
    <t>percentage increase YoY</t>
  </si>
  <si>
    <t>Proportion (%)</t>
  </si>
  <si>
    <t>Mathematical ratio between base salary and compensation for women and men in each functional category</t>
  </si>
  <si>
    <t>Employee health and safety rates and figures</t>
  </si>
  <si>
    <t>Number of fatalities as a result of work-related injuries</t>
  </si>
  <si>
    <t>Fatality rate as a result of work-related injuries</t>
  </si>
  <si>
    <t>Rate of highly consequential work-related injuries (excluding fatalities)</t>
  </si>
  <si>
    <t>Number of reportable work-related injuries</t>
  </si>
  <si>
    <t>Rate of reportable work-related injuries</t>
  </si>
  <si>
    <t>Health, safety and environmental indicators</t>
  </si>
  <si>
    <t>Oil and oil derivative leaks having an impact on the environment (VAZO, m3 )</t>
  </si>
  <si>
    <t>Reported Accident Rate (RAR, injured per million of HHER)</t>
  </si>
  <si>
    <t>Percentage of Lost Work Time (LWT %)</t>
  </si>
  <si>
    <t>Factoring in preventive leave due to Covid-19, the accumulated result in 2020 was 1,59</t>
  </si>
  <si>
    <t>Fraud and corruption cases</t>
  </si>
  <si>
    <t>Total Number of confirmed cases</t>
  </si>
  <si>
    <t>Nature of reported cases</t>
  </si>
  <si>
    <t>Total number of confirmed cases in which employees were terminated or disciplined for corruption</t>
  </si>
  <si>
    <t>Total number of confirmed cases in which contracts with business partners were rescinded or not renewed as a result of corruptionrelated violations</t>
  </si>
  <si>
    <t>Asset misappropriation, corruption and bid rigging</t>
  </si>
  <si>
    <t>Asset misappropriation and other issues</t>
  </si>
  <si>
    <t>One case of misrepresentation, one case of misuse of privileged company information, and two cases of supplier favoring</t>
  </si>
  <si>
    <t>Corporate governance</t>
  </si>
  <si>
    <t>Internal public</t>
  </si>
  <si>
    <t>Communities</t>
  </si>
  <si>
    <t>Environment</t>
  </si>
  <si>
    <t xml:space="preserve">Percentage of operations with implemented local community engagement, impact assessments and/or development programs </t>
  </si>
  <si>
    <t>Public reporting of results of environmental and social impact assessments</t>
  </si>
  <si>
    <t>Local development programs based on the needs of local communities</t>
  </si>
  <si>
    <t>Stakeholder engagement plans based on mappings of these parties (Community Relationship Plans)</t>
  </si>
  <si>
    <t>Generation of electricity, heat or steam resulting from the burning of fuels in stationary (fixed) sources such as boilers, furnaces and turbines and from other combustion processes such as burning</t>
  </si>
  <si>
    <t>Transport of materials, products, waste, employees and passengers resulting from the burning of fuels in mobile combustion sources that are owned or controlled by us, such as trucks, trains, ships, planes, buses and cars</t>
  </si>
  <si>
    <t>Fugitive emissions emissions that come from intentional or involuntary releases, such as leaks in gaskets, seals, packaging and equipment seals; methane emissions from coal mines and ventilation systems; hydrofluorocarbon emissions (HFCs) from the use of refrigerators and air conditioners; and methane leaks from gas transportation</t>
  </si>
  <si>
    <t>Intensity of greenhouse gas emission</t>
  </si>
  <si>
    <t>Total GHG emissions (t CO2 equivalent)</t>
  </si>
  <si>
    <t>Recycled and reused water</t>
  </si>
  <si>
    <t>Total volume of water recycled and reused by us (ML - megaliter)</t>
  </si>
  <si>
    <t>Total volume of water withdrawn (ML – megaliter)</t>
  </si>
  <si>
    <t>Percentage of recycled and reused water</t>
  </si>
  <si>
    <t>Consumption of fuels from non-renewable sources</t>
  </si>
  <si>
    <t>Natural gas</t>
  </si>
  <si>
    <t>Liquefied petroleum gas (LPG)</t>
  </si>
  <si>
    <t>Compressed natural gas (CNG)</t>
  </si>
  <si>
    <t>Fuel oil</t>
  </si>
  <si>
    <t>CONSUMPTION OF FUELS FROM RENEWABLE SOURCES (GJ)</t>
  </si>
  <si>
    <t>Ethanol²</t>
  </si>
  <si>
    <t>Energy consumed (gj)</t>
  </si>
  <si>
    <t>Steam</t>
  </si>
  <si>
    <t>Total energy consumed (gj)</t>
  </si>
  <si>
    <t>Fuels from non-renewable sources</t>
  </si>
  <si>
    <t>Energy consumed</t>
  </si>
  <si>
    <t>Energy Intensity</t>
  </si>
  <si>
    <t>Energy consumption within the organization</t>
  </si>
  <si>
    <t>Energy intensity within the organization (GJ/thousand m3 )</t>
  </si>
  <si>
    <t>Energy consumption outside the organization</t>
  </si>
  <si>
    <t>Energy intensity outside the organization (GJ/thousand m3 )</t>
  </si>
  <si>
    <t>Total energy consumption by the organization</t>
  </si>
  <si>
    <t>Energy intensity (total for the organization)</t>
  </si>
  <si>
    <t>Reductions in energy consumption achieved directly as a result of improvements in conservation and efficiency (gj)</t>
  </si>
  <si>
    <t>Consumption of fuels from nonrenewable sources within the organization</t>
  </si>
  <si>
    <t>Electricity consumption within the organization</t>
  </si>
  <si>
    <t>Biogenic co2 emissions (t co2 equivalent)</t>
  </si>
  <si>
    <t>Total withdrawal of water, broken down by the following sources, if applicable (ml – megaliter)</t>
  </si>
  <si>
    <t>Surface waters, including wetlands, rivers, lakes and oceans</t>
  </si>
  <si>
    <t>Groundwater/Water tables</t>
  </si>
  <si>
    <t>Rainwater directly collected and stored by the organization</t>
  </si>
  <si>
    <t>City water supply or other water supply companies</t>
  </si>
  <si>
    <t>Produced Water</t>
  </si>
  <si>
    <t>Third-party water</t>
  </si>
  <si>
    <t>Spills</t>
  </si>
  <si>
    <t>Total number and volume of significant spills reported</t>
  </si>
  <si>
    <t>Total volume of leaks above 1 bbl</t>
  </si>
  <si>
    <t>Total number of leaks above 1 bbl</t>
  </si>
  <si>
    <t>*Interest rate set by Government used to index long term loans</t>
  </si>
  <si>
    <t>Long term interest rate ("TJLP")* (Nominal rate)</t>
  </si>
  <si>
    <t xml:space="preserve">Source: BCB | IBGE </t>
  </si>
  <si>
    <t>Economic Activity</t>
  </si>
  <si>
    <t>accrued quartely</t>
  </si>
  <si>
    <t>enf of term</t>
  </si>
  <si>
    <t>Period</t>
  </si>
  <si>
    <t>Payment date</t>
  </si>
  <si>
    <t>Gross value (R$)</t>
  </si>
  <si>
    <t>Value/ year (R$)</t>
  </si>
  <si>
    <t xml:space="preserve">Interest on Net Equity </t>
  </si>
  <si>
    <t>Net Operating Revenue</t>
  </si>
  <si>
    <t>Adjusted EBITDA</t>
  </si>
  <si>
    <t>Net Income</t>
  </si>
  <si>
    <t>Stock Target Price</t>
  </si>
  <si>
    <t>Anticipation of a part of Interest on Net Equity.</t>
  </si>
  <si>
    <t>Proceeds</t>
  </si>
  <si>
    <t>EX-dividend date</t>
  </si>
  <si>
    <t>Gross value per share (R$)</t>
  </si>
  <si>
    <t>Number and percentage of members of the governance body to whom they were communicated and who received training on anti-corruption policies and procedures adopted by us, by region</t>
  </si>
  <si>
    <t>Southeast</t>
  </si>
  <si>
    <t>Total number of members in the year</t>
  </si>
  <si>
    <t>Total number and percentage of employees who have been reported and who have received training on anti-corruption policies and procedures adopted by us</t>
  </si>
  <si>
    <t>out-dec</t>
  </si>
  <si>
    <t>Gain from indemnity concession contract</t>
  </si>
  <si>
    <t>Provision for incentive to voluntary shutdown</t>
  </si>
  <si>
    <t>Capital payment / Mutual transaction</t>
  </si>
  <si>
    <r>
      <t xml:space="preserve">VIBRA ENERGIA  - Consolidated </t>
    </r>
    <r>
      <rPr>
        <sz val="12"/>
        <color rgb="FF0E7716"/>
        <rFont val="Arial"/>
        <family val="2"/>
      </rPr>
      <t>(millions)</t>
    </r>
  </si>
  <si>
    <t>Sales Revenue</t>
  </si>
  <si>
    <t>Appropriation of advance bonuses granted to customers¹</t>
  </si>
  <si>
    <t>Costs of products sold</t>
  </si>
  <si>
    <t>Actuarial remeasurement - Heath plan</t>
  </si>
  <si>
    <t>Expected credit losses²</t>
  </si>
  <si>
    <t>Rescission funds from shutdown plans</t>
  </si>
  <si>
    <t>Consulting expenses - Organizational Transformation Plan</t>
  </si>
  <si>
    <t>Tax³</t>
  </si>
  <si>
    <t>Tax amnesties</t>
  </si>
  <si>
    <t>Tax charges</t>
  </si>
  <si>
    <t>Tax charges on disposal revenue - Pecém and Muricy</t>
  </si>
  <si>
    <t>Shutdown plans</t>
  </si>
  <si>
    <t>Lava-jato</t>
  </si>
  <si>
    <t>Impairment</t>
  </si>
  <si>
    <t>Salary renegotiation allowance - Organizational Transformation Plan</t>
  </si>
  <si>
    <t>Commodity hedging operations in progress</t>
  </si>
  <si>
    <t>Result with disposal - Pecém and Muricy</t>
  </si>
  <si>
    <t>Result with disposal - Stratura</t>
  </si>
  <si>
    <t>Income on the sale - Brasil Carbonos</t>
  </si>
  <si>
    <t>Net finance income</t>
  </si>
  <si>
    <t>TOTAL</t>
  </si>
  <si>
    <t>Observations</t>
  </si>
  <si>
    <t>¹ Sales revenues are adjusted by the advance bonuses granted to dealers of service stations for which the Company distributes fuels and lubricants. They correspond to the portion made available, mainly in kind and carried out under pre-established conditions with such parts, which once fulfilled, become unenforceable and are absorbed as an expense by the Company. It is a system of goals that, once achieved, exempts customers, resellers of service stations, from returning to the Company these anticipated amounts as a bonus. They are recognized in the result in proportion to their term of validity.</t>
  </si>
  <si>
    <t>² The adjusted values refer to the provisions related to receivables due to the Company by the thermal companies of the isolated and interconnected energy system, a segment substantially serviced by the Company.</t>
  </si>
  <si>
    <t>³ Tax adjustments refer to tax amnesties and tax burdens on financial income.</t>
  </si>
  <si>
    <t>6. Reconciliation with the financial statements</t>
  </si>
  <si>
    <t>8. Investments (CAPEX)</t>
  </si>
  <si>
    <t>9. Expenses by nature</t>
  </si>
  <si>
    <t>10. Hedge</t>
  </si>
  <si>
    <t>11. Debt</t>
  </si>
  <si>
    <t>12. Macroeconomics</t>
  </si>
  <si>
    <t>VIBRA ENERGIA  - Consolidated (millions)</t>
  </si>
  <si>
    <t>EBITDA Composition</t>
  </si>
  <si>
    <t>Net financial result</t>
  </si>
  <si>
    <t>EBITDA</t>
  </si>
  <si>
    <t>Estimated losses on doubtful accounts - Electricity Sector (Isolated and Interconnected System)</t>
  </si>
  <si>
    <t>Losses and provisions with judicial and administrative proceedings</t>
  </si>
  <si>
    <t>Amortization of advance bonuses granted to customers</t>
  </si>
  <si>
    <t>Rescission Funds (Optional and Executive Shutdown Plan)</t>
  </si>
  <si>
    <t>Tax Amnesties Program</t>
  </si>
  <si>
    <t>Result with divestment - Brasil Carbonos</t>
  </si>
  <si>
    <t>Tax expenses on financial results</t>
  </si>
  <si>
    <t xml:space="preserve"> ADJUSTED EBITDA</t>
  </si>
  <si>
    <t>Sales volumes (millions of m³)</t>
  </si>
  <si>
    <t>ADJUSTED EBITDA MARGIN (R$/m³)</t>
  </si>
  <si>
    <t>7. EBITDA Reconciliation</t>
  </si>
  <si>
    <t>Financing of product supply</t>
  </si>
  <si>
    <t>4Q21</t>
  </si>
  <si>
    <t> 5,5805</t>
  </si>
  <si>
    <t>Anticipation of the 2nd installment of Interest on Net Equity.</t>
  </si>
  <si>
    <t>Dividends complementary to the mandatory minimum.</t>
  </si>
  <si>
    <t>12/14/2021</t>
  </si>
  <si>
    <t>12/23/2021</t>
  </si>
  <si>
    <t>RETAIL</t>
  </si>
  <si>
    <t>1Q22</t>
  </si>
  <si>
    <t>Obligations for acquisitions of equity interests</t>
  </si>
  <si>
    <t>Result of the incorporation process of Vem Conveniência - JV with Lojas Americanas</t>
  </si>
  <si>
    <t>Result of the contribution of Vibra Comercializadora de Energia to Comerc Participações S.A.</t>
  </si>
  <si>
    <t>Disposal result/ assets retirement (***)</t>
  </si>
  <si>
    <t>2Q22</t>
  </si>
  <si>
    <t>Creditors for acquisition of equity interests</t>
  </si>
  <si>
    <t>05/30/2022</t>
  </si>
  <si>
    <t>12. ESG</t>
  </si>
  <si>
    <t>Employment contract</t>
  </si>
  <si>
    <t>Permanent</t>
  </si>
  <si>
    <t>Temporary</t>
  </si>
  <si>
    <t>Total number of reported employees</t>
  </si>
  <si>
    <t>Total number of trained employees</t>
  </si>
  <si>
    <t>Percentage of reported employees</t>
  </si>
  <si>
    <t>Percentage of trained employees</t>
  </si>
  <si>
    <t>Work councils, health and safety committees at work and other employee representative entities to discuss impacts</t>
  </si>
  <si>
    <t>Formal complaints and complaints processes by local communities</t>
  </si>
  <si>
    <t>Total GHG emissions (t CO2 equivalent) - Choice of location</t>
  </si>
  <si>
    <t>Total GHG emissions (t CO2 equivalent) - Choice of purchase</t>
  </si>
  <si>
    <t>Intensity of greenhouse gas emission (t CO2 equivalent) - Choice of location</t>
  </si>
  <si>
    <t>Intensity of greenhouse gas emission (t CO2 equivalent) - Choice of purchase</t>
  </si>
  <si>
    <t>Emissions included are only from Scope 1 and 2, The gases included in the calculation were CO2 – carbon dioxide; CH4 – Methane; N2O – nitrous oxide; HFCs – hydrofluorocarbons and PFCs. From 2021 we started to adopt the denominator BOE for our emission intensity calculations.</t>
  </si>
  <si>
    <t>Proportion of intensity energy from inside/outside the organization</t>
  </si>
  <si>
    <t xml:space="preserve">Note: From 2021 we started to adopt the denominator BOE for our energy intensity calculations. In 2021, there was a significant increase in the value of energy consumed outside the organization due to a change in scope when compared to 2020.  The transport of products for delivery in the road modal was considered within the organization and came to be considered outside, as well as other road and modal transport. The motivation for the change was the fact that the delivery of delivery to Vibra customers also began to be carried out by contracted freight and not by its own fleet, and this consumption is already reported as internal by the respective carriers. </t>
  </si>
  <si>
    <t>Process redesign</t>
  </si>
  <si>
    <t>Infrastructure improvement</t>
  </si>
  <si>
    <t>Operational changes and asset reduction</t>
  </si>
  <si>
    <t>Permanence of the home office regime throughout the year 2021, improvements in conservation and disposal of assets. Redesign of process / scope where the fuel and biofuel consumed in road delivery transport came to be considered external to the organization (contracted freight). The improvement in infrastructure was the main reduction due to the installation of meters and decrease in steam loss.</t>
  </si>
  <si>
    <t>The gases included in the calculation were CO2 – carbon dioxide; CH4 – Methane; N2 O – nitrous oxide, Source of emission factors used and global warming potential (GWP) rates: GWP: IPCC AR4 (2007); emission factors: GHG Protocol and CDP 2016 (Tool Scope 3 O&amp;G). We adopted the GHG Protocol methodology for the transportation category and CDP – Tool Scope 3 O&amp;G for the product use category. The database used was updated and the calculation of estimated emissions was improved for the transportation category. The other categories of scope 3 were not included in the inventory because they are not representative when compared to the category of use of the product, since the product marketed by us is intense in carbon emissions. Conversion factor: BEN 2021 (National Energy Balance). For comparability purposes, including in scope 3 the portion of the transport of products that was previously accounted for as scope 1, in the years 2020 and 2019 we had the biogenic emission of 12,693,558 tCO2biogenic and 13,434,156 tCO2biogenic, respectively.</t>
  </si>
  <si>
    <t>Note: In 2021, the Produced Water indicator was considered the sum of all volume captured from rainwater and water reuse. In the sum of Third-Party Water, all water purchased from public supply distributors, other companies and by water truck was considered.</t>
  </si>
  <si>
    <t>Note: Other non-hazardous waste (class II A and B) non-recurring (e.g. tyre, cooking oil, workshop parts, filters, coating, counter-labels). Other hazardous waste (class I) non-recurrent (e.g. asbestos tile, health service waste, laboratory reagent). In 2021, the volume of sanitary and oily effluent sent for treatment according to GRI 306-3 was not included.</t>
  </si>
  <si>
    <t>GRI 405-1</t>
  </si>
  <si>
    <t>See frame</t>
  </si>
  <si>
    <t>Employees by functional category and age range (%)</t>
  </si>
  <si>
    <t>3Q22</t>
  </si>
  <si>
    <t>jul-sep</t>
  </si>
  <si>
    <t>**Note 2: Stratura considered in the "Others" line of B2B</t>
  </si>
  <si>
    <t>Others **</t>
  </si>
  <si>
    <t>B2B *</t>
  </si>
  <si>
    <t>Lubricants</t>
  </si>
  <si>
    <t>Creditors by acquisition of equity interests</t>
  </si>
  <si>
    <t>Actuarial remeasurement/assumed debt - Flexprev Migration</t>
  </si>
  <si>
    <t>Operational expenses without Hedge | CBIOs | PIS e COFINS</t>
  </si>
  <si>
    <t>Dividendos últimos 12 meses</t>
  </si>
  <si>
    <t>4Q22</t>
  </si>
  <si>
    <t>09/22/2022</t>
  </si>
  <si>
    <t>12/22/2022</t>
  </si>
  <si>
    <t>02/28/2023</t>
  </si>
  <si>
    <t>Payment of the second installment of interest on own capital (JCP).</t>
  </si>
  <si>
    <t>Net income before finance income (expense), results in equity-accounted investments and income tax</t>
  </si>
  <si>
    <t>PIS/COFINS Result</t>
  </si>
  <si>
    <t>Properties Sell</t>
  </si>
  <si>
    <t>Dividends complementary to the mandatory minimum and part of the additional dividends approved in the Ordinary General Meeting.</t>
  </si>
  <si>
    <t>2nd installment related to remuneration to shareholders in the form of dividends, approved in the Ordinary General Meeting.</t>
  </si>
  <si>
    <t>04/29/2022</t>
  </si>
  <si>
    <t>12/29/2022</t>
  </si>
  <si>
    <t>(Real - Consensus)</t>
  </si>
  <si>
    <t>Disbursements on acquisitions of PP&amp;E and intangible assets</t>
  </si>
  <si>
    <t>Disbursements on acquisitions of equity interests</t>
  </si>
  <si>
    <t>Loans granted</t>
  </si>
  <si>
    <t>Exchange variance effect on Cash and cash equivalents</t>
  </si>
  <si>
    <t>QAV / GAV</t>
  </si>
  <si>
    <t>Vibra</t>
  </si>
  <si>
    <t>Check</t>
  </si>
  <si>
    <t>1Q23</t>
  </si>
  <si>
    <t>(1.3) Corporate</t>
  </si>
  <si>
    <t>(1.4) Reconciliation with financial statements</t>
  </si>
  <si>
    <t>(2.3) Corporate</t>
  </si>
  <si>
    <t>(2.4) Reconciliation with financial statements</t>
  </si>
  <si>
    <t>(3.3) Corporate</t>
  </si>
  <si>
    <t>(3.4) Reconciliation with financial statements</t>
  </si>
  <si>
    <t>(4.1.3) Corporate</t>
  </si>
  <si>
    <t>(4.1.4) Reconciliation with financial statements</t>
  </si>
  <si>
    <t>(4.2.3) Corporate</t>
  </si>
  <si>
    <t>(4.2.4) Reconciliation with financial statements</t>
  </si>
  <si>
    <t>(4.3.3) Corporate</t>
  </si>
  <si>
    <t>(4.3.4) Reconciliation with financial statements</t>
  </si>
  <si>
    <t>(5.1) Reconciliation with financial statements</t>
  </si>
  <si>
    <t>(6.1) Reconciliation with financial statements</t>
  </si>
  <si>
    <t>(7.3) Corporate</t>
  </si>
  <si>
    <t>(7.4) Reconciliation with financial statements</t>
  </si>
  <si>
    <t>Equity earnings</t>
  </si>
  <si>
    <t>Total number of service stations</t>
  </si>
  <si>
    <t xml:space="preserve">         Recovery with presumed tax credit - ICMS (****)</t>
  </si>
  <si>
    <t>Change in stocks (****)</t>
  </si>
  <si>
    <t>Property expropriation (****)</t>
  </si>
  <si>
    <t>(****) As of 2Q22, it will be presented together with the item "Products for resale"</t>
  </si>
  <si>
    <t>Pet Coke</t>
  </si>
  <si>
    <t>2Q23</t>
  </si>
  <si>
    <t>Drawn risk</t>
  </si>
  <si>
    <t>Consensus *</t>
  </si>
  <si>
    <t>(******) Changed From: PIS/COFINS Credits, To: PIS/COFINS Credits - Essential Operating Expenses</t>
  </si>
  <si>
    <t>Win in lawsuit against the State of Goiás</t>
  </si>
  <si>
    <t xml:space="preserve">         PIS/COFINS Credits - essential operating expenses (******)</t>
  </si>
  <si>
    <t>PIS/COFINS Credits - essential operating expenses</t>
  </si>
  <si>
    <t>General, administrative and sales</t>
  </si>
  <si>
    <t>Other net revenue (expenses)</t>
  </si>
  <si>
    <t>GRI 2-7</t>
  </si>
  <si>
    <t>Vice President</t>
  </si>
  <si>
    <t>Director</t>
  </si>
  <si>
    <t xml:space="preserve">44.44% </t>
  </si>
  <si>
    <t>55.56%</t>
  </si>
  <si>
    <t>Executive manager</t>
  </si>
  <si>
    <t>73.91%</t>
  </si>
  <si>
    <t>26.09%</t>
  </si>
  <si>
    <t>Manager</t>
  </si>
  <si>
    <t>76.15%</t>
  </si>
  <si>
    <t>23.85%</t>
  </si>
  <si>
    <t>Coordinator</t>
  </si>
  <si>
    <t>Superintendent</t>
  </si>
  <si>
    <t>2.17%</t>
  </si>
  <si>
    <t>63.04%</t>
  </si>
  <si>
    <t>34.78%</t>
  </si>
  <si>
    <t>10.66%</t>
  </si>
  <si>
    <t>77.41%</t>
  </si>
  <si>
    <t>11.93%</t>
  </si>
  <si>
    <t>GRI 2-21</t>
  </si>
  <si>
    <t>The calculation considers only base salary (short-term, non-variable guaranteed monetary remuneration). Due to the confidentiality of data involving the compensation of individuals, only the item's remuneration ratio value was reported.
Reduction compared to 2021 due to the significant increase in the sample of employees with a full company year or 95% of the year worked.</t>
  </si>
  <si>
    <t>1.26</t>
  </si>
  <si>
    <t>1.94</t>
  </si>
  <si>
    <t>Executive Manage</t>
  </si>
  <si>
    <t>Manage</t>
  </si>
  <si>
    <t>Note: On 12/31/2020 there were no women in the supervisory position. As of March/2022 all the departments were called Vice Presidencies</t>
  </si>
  <si>
    <t>Number of highly consequential work-related injuries (excluding fatalities)¹</t>
  </si>
  <si>
    <t>¹We consider serious injuries those that result in a leave of absence.
Rates are calculated taking into consideration 1 million hours worked, and their calculations consider employees, contractors and drivers who have contracts longer than six months with Vibra Energia.</t>
  </si>
  <si>
    <t>Transportation Accident Frequency Rate (TFAT, per million kilometers traveled)</t>
  </si>
  <si>
    <t>Total number of members reported</t>
  </si>
  <si>
    <t>Percentage of reported  members</t>
  </si>
  <si>
    <t>Total number of members trained</t>
  </si>
  <si>
    <t>Percentage of trained members</t>
  </si>
  <si>
    <t>Note: We consider the employees who completed the EAD Corruption Prevention of the Integrity Trail training.
 We reviewed the data of communications and training in 2021, considering active employees as at 12/31/2021</t>
  </si>
  <si>
    <t>Note: Investigations of Sustained and Partially Sustained Complaints were considered, The nature of the reported cases of fraud was provided as established in the whistleblower classification tree, In 2020, there were cases of justified investigations that did not lead to disciplinary measures because the employees involved no longer belonged to internal staff at the time the investigation was completed, We are not aware of any public lawsuits related to corruption initiated against us and our employees in 2020. In 2022, the cases involved misuse of company resources, declaratory or documentary falsehood, fraud in personnel management tools and the favoring of Vibra suppliers. In two cases, no disciplinary sanction was deemed appropriate (in one of them, a pedagogical measure established by a Personal and Professional Conduct Agreement approved by the Ethics Committee was used). In the third case, the employee was dismissed and, in the fourth case, the dismissal was suspended due to force majeure.</t>
  </si>
  <si>
    <t>Social impact assessments, including gender impact assessments, based on participatory processes (Community mapping)¹</t>
  </si>
  <si>
    <t>Vibra Operating Units</t>
  </si>
  <si>
    <t>Environmental impact assessments and continuous monitoring²</t>
  </si>
  <si>
    <t>Committees and processes for wideranging outreach with the local community, including vulnerable groups</t>
  </si>
  <si>
    <t>¹We consider only the units operated directly by us. We included the units that updated the community registrations, including social impacts, while excluding aviation units and individual areas.
²We include the units that have LAIPDs, APRs or EARs, considering Environmental Aspects and Impacts Assessment Practices. We have not publicly disclosed the results of environmental and social impact assessments.</t>
  </si>
  <si>
    <t>Direct greenhouse gas emissions (t CO2 equivalent)</t>
  </si>
  <si>
    <t xml:space="preserve">Note: In 2021 there was a significant decrease in fuel and biofuel consumption when compared to 2019 and 2020 due to a change in scope where the fuel consumed to transport delivery of products in the road modal was considered internal and came to be considered external. The change occurred because these deliveries are made by third parties, and these internal consumptions are already reported by the respective carriers. </t>
  </si>
  <si>
    <t>Biodiesel¹</t>
  </si>
  <si>
    <t>Note:Hydrated ethanol began to be used in the light vehicle fleet in 2022. Ethanol consumption 2020 and 2021 in the previous reports
considered only anhydrous ethanol, which as of 2022, became part of the automotive gasoline consumed data. GRI 2-4</t>
  </si>
  <si>
    <t>Electricity y – Captive market</t>
  </si>
  <si>
    <t>Electricity – Free market</t>
  </si>
  <si>
    <t>Electricity – Photovoltaic self-generation</t>
  </si>
  <si>
    <t>Note: Photovoltaic power from Vibra's headquarters</t>
  </si>
  <si>
    <t xml:space="preserve">Fuels from renewable sources </t>
  </si>
  <si>
    <t>Note: It was considered for the calculation, all fuel consumed from renewable (biodiesel and ethanol) and non-renewable sources (gasoline, diesel, LPG, CNG and fuel oil) used in the operation of vibra units. Main equipment: generators, motor pumps, own vehicles and boilers. It was also considered the consumption of diesel for generation distributed in the Juruti Thermoelectric Plant. It was considered for energy consumed, all the consumption of electricity of own generation (photovoltaic) and purchased (captive and free market), and also, the consumption of steam purchased for heating of pipelines and fuel oil tanks.Hydrous ethanol began to be used in the light vehicle fleet in 2022. The consumption of ethanol in the years 2020 and 2021 in previous reports considered only anhydrous ethanol, which from 2022, became part of the value of automotive gasoline consumed.</t>
  </si>
  <si>
    <t>GRI 305-3</t>
  </si>
  <si>
    <t xml:space="preserve">GRI 303-3 </t>
  </si>
  <si>
    <t>Total Waste Generated in metric tons</t>
  </si>
  <si>
    <t>Hazardous waste (Class I)</t>
  </si>
  <si>
    <t>Non-hazardous waste (Class II A and B)</t>
  </si>
  <si>
    <t>3Q23</t>
  </si>
  <si>
    <t>Provision for out-of-court settlements</t>
  </si>
  <si>
    <t>14. Consensus*</t>
  </si>
  <si>
    <t>* Considered the median for Consensus</t>
  </si>
  <si>
    <t>(***) Includes "Income from disposal/write-off of assets" in the amount of R$42 (1Q23), R$58 (2Q23) and R$75 (3Q23) and "Income from sale/write-off - equity interests" in the amount of R$0 (1Q23), R$0 (2Q23) and R$564 (3Q23).</t>
  </si>
  <si>
    <t>(*****) In 1Q23, 2Q23 and 3Q23, the balances of the lines "Recovery with Presumed Tax Credit - ICMS" and "Property expropriation" are being presented in the line "Others" of the note "Other income (expenses) net" of the Financial Statements of March 2023, June 2023 and September 2023.</t>
  </si>
  <si>
    <t>Dividends and interest on shareholders equity payable</t>
  </si>
  <si>
    <t>Payroll, vacations, charges, bonuses and incentives</t>
  </si>
  <si>
    <t>Actuarial remeasurement/Debt Assumed - Flexprev Migration</t>
  </si>
  <si>
    <t>Commodity hedges - imports in progress</t>
  </si>
  <si>
    <t xml:space="preserve">Judicial losses and provisions </t>
  </si>
  <si>
    <t>Actuarial Remeasurement/Debt Assumed - Flexprev Migration </t>
  </si>
  <si>
    <t>(3) Gross profit (loss)</t>
  </si>
  <si>
    <t>(6) Net finance income/loss</t>
  </si>
  <si>
    <t xml:space="preserve">         Win in lawsuit against the State of Goiás</t>
  </si>
  <si>
    <t xml:space="preserve">         Provision for out-of-court settlements</t>
  </si>
  <si>
    <t>4Q23</t>
  </si>
  <si>
    <t>Result with disposal - ESGás</t>
  </si>
  <si>
    <t>Result with divestment - ESGás</t>
  </si>
  <si>
    <t xml:space="preserve">Interest on Net D22Equity </t>
  </si>
  <si>
    <t>09/22/2023</t>
  </si>
  <si>
    <t>02/29/2024</t>
  </si>
  <si>
    <t>12/26/2023</t>
  </si>
  <si>
    <t>05/29/2024</t>
  </si>
  <si>
    <t>Net income for the year</t>
  </si>
  <si>
    <t>Credit PIS overpayment tax-half-yearly</t>
  </si>
  <si>
    <t>PIS/COFINS credit SL 192</t>
  </si>
  <si>
    <t>Remeasurement of equity interest (acquisition of control)</t>
  </si>
  <si>
    <t>Gain arising from a pre-existing contractual relationship (acquisition of control)</t>
  </si>
  <si>
    <t>Provision for tax recovery loss</t>
  </si>
  <si>
    <t>Payment of out-of-court settlements</t>
  </si>
  <si>
    <t>Acquisition of subsidiary, net of cash acquired in consolidated</t>
  </si>
  <si>
    <t>Net cash generated (used) in investment activities</t>
  </si>
  <si>
    <t xml:space="preserve">Outcome of the control acquisition process - Equity interest </t>
  </si>
  <si>
    <t xml:space="preserve">         Credit PIS overpayment tax-half-yearly</t>
  </si>
  <si>
    <t xml:space="preserve">   PIS/COFINS credit SL 192</t>
  </si>
  <si>
    <t xml:space="preserve">         Gain arising from a pre-existing contractual relationship (acquisition of control)</t>
  </si>
  <si>
    <t xml:space="preserve">         Remeasurement of equity interest (acquisition of control)</t>
  </si>
  <si>
    <t xml:space="preserve">         Provision for tax recovery loss</t>
  </si>
  <si>
    <t>Additional dividends on the minimum mandatory dividend and portion of the additional dividends proposed to be announced at the E/AGM</t>
  </si>
  <si>
    <t>08/31/2024</t>
  </si>
  <si>
    <t>Additional dividends proposed to be announced at the E/AGM</t>
  </si>
  <si>
    <t>11/30/2024</t>
  </si>
  <si>
    <t>Other tax recoveries</t>
  </si>
  <si>
    <t>Extraordinary tax recoveries</t>
  </si>
  <si>
    <t>1Q24</t>
  </si>
  <si>
    <t>04/19/2024</t>
  </si>
  <si>
    <t>Profit or loss fair value, financial instruments</t>
  </si>
  <si>
    <t>Provision for bonuses and incentives</t>
  </si>
  <si>
    <t>Payment of bonuses and incentives</t>
  </si>
  <si>
    <t>Net cash provided (used) by operations</t>
  </si>
  <si>
    <t>Net cash (used) in financing activities</t>
  </si>
  <si>
    <t>Net change in cash and cash equivalents in the period</t>
  </si>
  <si>
    <t>Cash and cash equivalents at beginning of period</t>
  </si>
  <si>
    <t>Cash and cash equivalents at end of period</t>
  </si>
  <si>
    <t>13*</t>
  </si>
  <si>
    <t>* CA - In 2023, the Extraordinary General Meeting approved the reduction of the number of members of the Board of Directors from nine to seven. Number of members according to the last election in April/2024..</t>
  </si>
  <si>
    <t>6**</t>
  </si>
  <si>
    <t>The cases involved misuse of company resources, declaratory or documentary falsehood, fraud in Vibra's management tools and supplier favoring.</t>
  </si>
  <si>
    <t>*The cases involved misappropriation of non-monetary assets; declaratory or documentary falsehood; bribery/kickback; Conflict of interests; and favoring Vibra suppliers, customers or employees.     ** Six of those involved were punished, two of whom held leadership positions, three did not have a leadership position and one was already a former employee. The number of employees punished is lower than the number of confirmed cases because in four incidents those responsible were no longer part of Vibra's workforce, in one case the assessment was that only feedback would be appropriate and in three situations the responsibility of people external to Vibra. Among the measures adopted are: one dismissal for just cause, one exclusion of former employees and their dependents from the health plan and four dismissals for convenience.</t>
  </si>
  <si>
    <t>Electricity – Consolidated (captive, free and GD)</t>
  </si>
  <si>
    <t>Operations with significant negative impacts - real and potential - on local communities</t>
  </si>
  <si>
    <t>Location
of the operation</t>
  </si>
  <si>
    <t>Location
of the impact</t>
  </si>
  <si>
    <t>Description of actual and potential significant negative impacts of operations in this location</t>
  </si>
  <si>
    <t>Mitigation/remediation actions</t>
  </si>
  <si>
    <t>Storage and
distribution of
fuels and
lubricants</t>
  </si>
  <si>
    <t>Increase in truck traffic, increased movement of vehicles and people around our units, which may cause an increase in dust and waste generation</t>
  </si>
  <si>
    <t>Change in air quality</t>
  </si>
  <si>
    <t xml:space="preserve">Increase in rates prostitution and exploitation sexual relations of children and teenagers </t>
  </si>
  <si>
    <t>Removal of communities and expropriation of real estate</t>
  </si>
  <si>
    <t>Impacts caused by traffic-accidents</t>
  </si>
  <si>
    <t>Water contamination underground and soil</t>
  </si>
  <si>
    <t>Raising awareness among drivers working for Vibra regarding the correct disposal of waste; Scheduling and efficiency in serving trucks at our units, avoiding crowds and queues</t>
  </si>
  <si>
    <t>Detailed information in the chapter Soil and groundwater, page 124</t>
  </si>
  <si>
    <t>Transport Risk Management Program and Deztaque Driver Program. Find out more in Transport safety, page 99</t>
  </si>
  <si>
    <t>Renewal and quality control of the contracted fleet</t>
  </si>
  <si>
    <t>Analysis of new projects considering existing communities</t>
  </si>
  <si>
    <t>Raising awareness among drivers, employees and partners about combating the sexual exploitation of children and adolescents; participation in the Na Mão Certa Program, from Childhood Brasil; in addition to our work through the social cause ESCA Zero</t>
  </si>
  <si>
    <t>*</t>
  </si>
  <si>
    <t>* we only report %</t>
  </si>
  <si>
    <t>145.372*</t>
  </si>
  <si>
    <t>* Data on energy consumed (captive, free and DG) is consolidated</t>
  </si>
  <si>
    <t>* Data originating from operation 961,515 / 5,580,077 = 0.1723</t>
  </si>
  <si>
    <t>2Q24</t>
  </si>
  <si>
    <t>abr-jun</t>
  </si>
  <si>
    <t>12Q24</t>
  </si>
  <si>
    <t>*GRI 413-1 |Porcentage of operations with local community engagement, impact assessments, and/or development programs implemented: regarding this indicator, we simply did not report it this year.</t>
  </si>
  <si>
    <t>*it´s not reported</t>
  </si>
  <si>
    <r>
      <t>This presentation contains some statements and forward-looking information related to VIBRA that reflect the current vision and/or expectations of the Company and its management regarding its business plan. Such information is not only historical facts, but reflects the goals and expectations of VIBRA's management. Forward-looking statements include, but are not, all statements that denote forecasting, projection, indicate or imply future results, performance or achievements, and may contain words such as "believe," "provide," "expect," "contemplate," "likely" or other words or expressions of similar meaning. While we believe that these forward-looking statements are based on reasonable assumptions, these statements are subject to various risks and uncertainties, and are made taking into account the information vibra currently has access to. This presentation is updated until June 30</t>
    </r>
    <r>
      <rPr>
        <vertAlign val="superscript"/>
        <sz val="10"/>
        <color theme="1"/>
        <rFont val="Arial"/>
        <family val="2"/>
      </rPr>
      <t>th</t>
    </r>
    <r>
      <rPr>
        <sz val="10"/>
        <color theme="1"/>
        <rFont val="Arial"/>
        <family val="2"/>
      </rPr>
      <t xml:space="preserve">, 2024 and VIBRA is not obliged to update it through new information and/or future events. In no event shall VIBRA or its subsidiaries, its directors, directors, representatives or employees be liable to any third party (including investors) for investment or business decisions or acts taken on the basis of the information and statements contained in this presentation, nor for indirect or similar consequential damages. VIBRA has no intention of providing potential stock holders with a review of forward-looking statements or analysis of differences between forward-looking statements and actual results. This presentation and its content constitute information owned by VIBRA, and may not be reproduced or disclosed in whole or in part without its prior written consent. 	</t>
    </r>
  </si>
  <si>
    <t>Regime de caixa</t>
  </si>
  <si>
    <t>competência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</si>
</sst>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0.0%"/>
    <numFmt numFmtId="165" formatCode="_(* #,##0.00_);_(* \(#,##0.00\);_(* &quot;-&quot;??_);_(@_)"/>
    <numFmt numFmtId="166" formatCode="_(* #,##0_);_(* \(#,##0\);_(* &quot;-&quot;_);_(@_)"/>
    <numFmt numFmtId="167" formatCode="_(* #,##0_);_(* \(#,##0\);_(* &quot;-&quot;??_);_(@_)"/>
    <numFmt numFmtId="168" formatCode="_([$€-2]* #,##0.00_);_([$€-2]* \(#,##0.00\);_([$€-2]* &quot;-&quot;??_)"/>
    <numFmt numFmtId="169" formatCode="_(&quot;R$ &quot;* #,##0.00_);_(&quot;R$ &quot;* \(#,##0.00\);_(&quot;R$ &quot;* &quot;-&quot;??_);_(@_)"/>
    <numFmt numFmtId="170" formatCode="_(* #,##0.00_);_(* \(#,##0.00\);_(* \-??_);_(@_)"/>
    <numFmt numFmtId="171" formatCode="mmm\-yy"/>
    <numFmt numFmtId="172" formatCode="0.000000000"/>
    <numFmt numFmtId="173" formatCode="_(* #,##0_);_(* \(#,##0\);_(* &quot;-&quot;??\);_(@\)"/>
    <numFmt numFmtId="174" formatCode="_(* #,##0.0_);_(* \(#,##0.0\);_(* &quot;-&quot;_);_(@_)"/>
    <numFmt numFmtId="175" formatCode="_(* #,##0.0_)&quot;x&quot;;_(* \(#,##0.0\)&quot;x&quot;;_(* &quot;-&quot;_)&quot;x&quot;;_(@_)&quot;x&quot;"/>
    <numFmt numFmtId="176" formatCode="#,##0.0"/>
    <numFmt numFmtId="177" formatCode="0.0"/>
    <numFmt numFmtId="178" formatCode="#,##0.0000"/>
    <numFmt numFmtId="179" formatCode="_(* #,##0.0000_);_(* \(#,##0.0000\);_(* &quot;-&quot;_);_(@_)"/>
    <numFmt numFmtId="180" formatCode="m/d/yyyy;@"/>
    <numFmt numFmtId="181" formatCode="&quot;in up to&quot;\ [$-409]mmm\-yyyy;@"/>
    <numFmt numFmtId="182" formatCode="[$-409]mmm\-yy;@"/>
    <numFmt numFmtId="183" formatCode="[$$-409]#,##0_);\([$$-409]#,##0\);[$$-409]#,##0_);@_)"/>
    <numFmt numFmtId="185" formatCode="&quot;R$&quot;\ #,##0.00"/>
    <numFmt numFmtId="186" formatCode="#,##0.0000000"/>
  </numFmts>
  <fonts count="119" x14ac:knownFonts="1">
    <font>
      <sz val="11"/>
      <color theme="1"/>
      <name val="Calibri"/>
      <family val="2"/>
      <scheme val="minor"/>
    </font>
    <font>
      <sz val="11"/>
      <color theme="1"/>
      <name val="Calibri"/>
      <family val="2"/>
      <scheme val="minor"/>
    </font>
    <font>
      <u/>
      <sz val="11"/>
      <color theme="10"/>
      <name val="Calibri"/>
      <family val="2"/>
      <scheme val="minor"/>
    </font>
    <font>
      <sz val="10"/>
      <name val="Calibri"/>
      <family val="2"/>
    </font>
    <font>
      <b/>
      <sz val="20"/>
      <color theme="1"/>
      <name val="Calibri"/>
      <family val="2"/>
      <scheme val="minor"/>
    </font>
    <font>
      <sz val="10"/>
      <color theme="1"/>
      <name val="Calibri"/>
      <family val="2"/>
      <scheme val="minor"/>
    </font>
    <font>
      <b/>
      <sz val="1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2"/>
      <color indexed="24"/>
      <name val="Arial"/>
      <family val="2"/>
    </font>
    <font>
      <sz val="10"/>
      <name val="Times New Roman"/>
      <family val="1"/>
    </font>
    <font>
      <sz val="8"/>
      <color indexed="8"/>
      <name val="Arial"/>
      <family val="2"/>
    </font>
    <font>
      <b/>
      <sz val="8"/>
      <color indexed="8"/>
      <name val="Arial"/>
      <family val="2"/>
    </font>
    <font>
      <sz val="12"/>
      <color theme="1"/>
      <name val="Trebuchet MS"/>
      <family val="2"/>
    </font>
    <font>
      <sz val="14"/>
      <color theme="1"/>
      <name val="Trebuchet MS"/>
      <family val="2"/>
    </font>
    <font>
      <b/>
      <sz val="12"/>
      <color theme="1"/>
      <name val="Trebuchet MS"/>
      <family val="2"/>
    </font>
    <font>
      <b/>
      <sz val="11"/>
      <color theme="1"/>
      <name val="Calibri"/>
      <family val="2"/>
      <scheme val="minor"/>
    </font>
    <font>
      <b/>
      <sz val="10"/>
      <color theme="1"/>
      <name val="Calibri"/>
      <family val="2"/>
      <scheme val="minor"/>
    </font>
    <font>
      <b/>
      <sz val="14"/>
      <color rgb="FF28333C"/>
      <name val="Trebuchet MS"/>
      <family val="2"/>
    </font>
    <font>
      <sz val="9"/>
      <color rgb="FF595959"/>
      <name val="Arial"/>
      <family val="2"/>
    </font>
    <font>
      <b/>
      <sz val="9"/>
      <color rgb="FF595959"/>
      <name val="Arial"/>
      <family val="2"/>
    </font>
    <font>
      <sz val="11"/>
      <color theme="1"/>
      <name val="Arial"/>
      <family val="2"/>
    </font>
    <font>
      <sz val="11"/>
      <color theme="0"/>
      <name val="Arial"/>
      <family val="2"/>
    </font>
    <font>
      <b/>
      <sz val="12"/>
      <color rgb="FF28333C"/>
      <name val="Arial"/>
      <family val="2"/>
    </font>
    <font>
      <b/>
      <sz val="12"/>
      <color theme="0" tint="-0.249977111117893"/>
      <name val="Arial"/>
      <family val="2"/>
    </font>
    <font>
      <b/>
      <sz val="12"/>
      <color theme="1"/>
      <name val="Arial"/>
      <family val="2"/>
    </font>
    <font>
      <sz val="12"/>
      <color rgb="FF28333C"/>
      <name val="Arial"/>
      <family val="2"/>
    </font>
    <font>
      <b/>
      <sz val="14"/>
      <color rgb="FF28333C"/>
      <name val="Arial"/>
      <family val="2"/>
    </font>
    <font>
      <sz val="12"/>
      <color theme="1"/>
      <name val="Arial"/>
      <family val="2"/>
    </font>
    <font>
      <sz val="12"/>
      <color theme="1" tint="0.249977111117893"/>
      <name val="Arial"/>
      <family val="2"/>
    </font>
    <font>
      <sz val="10"/>
      <color theme="1"/>
      <name val="Arial"/>
      <family val="2"/>
    </font>
    <font>
      <sz val="10"/>
      <color theme="0"/>
      <name val="Arial"/>
      <family val="2"/>
    </font>
    <font>
      <b/>
      <sz val="10"/>
      <color rgb="FF28333C"/>
      <name val="Arial"/>
      <family val="2"/>
    </font>
    <font>
      <b/>
      <sz val="10"/>
      <color theme="0" tint="-0.249977111117893"/>
      <name val="Arial"/>
      <family val="2"/>
    </font>
    <font>
      <b/>
      <sz val="10"/>
      <color theme="1"/>
      <name val="Arial"/>
      <family val="2"/>
    </font>
    <font>
      <sz val="10"/>
      <color rgb="FF28333C"/>
      <name val="Arial"/>
      <family val="2"/>
    </font>
    <font>
      <b/>
      <sz val="14"/>
      <color theme="0"/>
      <name val="Arial"/>
      <family val="2"/>
    </font>
    <font>
      <b/>
      <sz val="14"/>
      <color rgb="FF0E7716"/>
      <name val="Arial"/>
      <family val="2"/>
    </font>
    <font>
      <b/>
      <sz val="20"/>
      <color theme="1"/>
      <name val="Arial"/>
      <family val="2"/>
    </font>
    <font>
      <b/>
      <sz val="12"/>
      <color theme="1" tint="0.34998626667073579"/>
      <name val="Arial"/>
      <family val="2"/>
    </font>
    <font>
      <b/>
      <sz val="10"/>
      <color rgb="FFFF0000"/>
      <name val="Arial"/>
      <family val="2"/>
    </font>
    <font>
      <sz val="12"/>
      <color theme="1" tint="0.14999847407452621"/>
      <name val="Arial"/>
      <family val="2"/>
    </font>
    <font>
      <sz val="10"/>
      <color theme="1" tint="0.14999847407452621"/>
      <name val="Arial"/>
      <family val="2"/>
    </font>
    <font>
      <b/>
      <sz val="12"/>
      <color rgb="FF05663A"/>
      <name val="Arial"/>
      <family val="2"/>
    </font>
    <font>
      <b/>
      <sz val="10"/>
      <color rgb="FF425563"/>
      <name val="Arial"/>
      <family val="2"/>
    </font>
    <font>
      <b/>
      <sz val="11"/>
      <color theme="1"/>
      <name val="Arial"/>
      <family val="2"/>
    </font>
    <font>
      <b/>
      <sz val="12"/>
      <color theme="1" tint="0.14999847407452621"/>
      <name val="Arial"/>
      <family val="2"/>
    </font>
    <font>
      <b/>
      <sz val="10"/>
      <color theme="1" tint="0.14999847407452621"/>
      <name val="Arial"/>
      <family val="2"/>
    </font>
    <font>
      <u/>
      <sz val="11"/>
      <color theme="10"/>
      <name val="Arial"/>
      <family val="2"/>
    </font>
    <font>
      <b/>
      <sz val="12"/>
      <color theme="0"/>
      <name val="Arial"/>
      <family val="2"/>
    </font>
    <font>
      <sz val="14"/>
      <color rgb="FF28333C"/>
      <name val="Arial"/>
      <family val="2"/>
    </font>
    <font>
      <sz val="14"/>
      <color theme="1"/>
      <name val="Arial"/>
      <family val="2"/>
    </font>
    <font>
      <sz val="12"/>
      <name val="Arial"/>
      <family val="2"/>
    </font>
    <font>
      <sz val="10"/>
      <color theme="1" tint="0.34998626667073579"/>
      <name val="Arial"/>
      <family val="2"/>
    </font>
    <font>
      <b/>
      <sz val="14"/>
      <color theme="1"/>
      <name val="Arial"/>
      <family val="2"/>
    </font>
    <font>
      <sz val="12"/>
      <color theme="0" tint="-0.499984740745262"/>
      <name val="Arial"/>
      <family val="2"/>
    </font>
    <font>
      <sz val="12"/>
      <color rgb="FF0E7716"/>
      <name val="Arial"/>
      <family val="2"/>
    </font>
    <font>
      <sz val="10"/>
      <color theme="1" tint="0.499984740745262"/>
      <name val="Arial"/>
      <family val="2"/>
    </font>
    <font>
      <b/>
      <sz val="12"/>
      <color rgb="FF364550"/>
      <name val="Arial"/>
      <family val="2"/>
    </font>
    <font>
      <sz val="12"/>
      <color rgb="FF364550"/>
      <name val="Arial"/>
      <family val="2"/>
    </font>
    <font>
      <b/>
      <sz val="14"/>
      <color rgb="FF364550"/>
      <name val="Arial"/>
      <family val="2"/>
    </font>
    <font>
      <sz val="12"/>
      <color theme="1" tint="0.34998626667073579"/>
      <name val="Arial"/>
      <family val="2"/>
    </font>
    <font>
      <i/>
      <sz val="12"/>
      <color theme="1" tint="0.34998626667073579"/>
      <name val="Arial"/>
      <family val="2"/>
    </font>
    <font>
      <b/>
      <sz val="12"/>
      <color rgb="FFFF0000"/>
      <name val="Arial"/>
      <family val="2"/>
    </font>
    <font>
      <b/>
      <sz val="14"/>
      <color rgb="FF0000FF"/>
      <name val="Arial"/>
      <family val="2"/>
    </font>
    <font>
      <b/>
      <sz val="12"/>
      <color rgb="FF0E7716"/>
      <name val="Arial"/>
      <family val="2"/>
    </font>
    <font>
      <i/>
      <sz val="12"/>
      <color theme="1" tint="0.499984740745262"/>
      <name val="Arial"/>
      <family val="2"/>
    </font>
    <font>
      <i/>
      <sz val="12"/>
      <color theme="1"/>
      <name val="Arial"/>
      <family val="2"/>
    </font>
    <font>
      <i/>
      <sz val="11"/>
      <color theme="1"/>
      <name val="Arial"/>
      <family val="2"/>
    </font>
    <font>
      <sz val="12"/>
      <color theme="1" tint="0.499984740745262"/>
      <name val="Arial"/>
      <family val="2"/>
    </font>
    <font>
      <sz val="11"/>
      <color theme="1" tint="0.249977111117893"/>
      <name val="Arial"/>
      <family val="2"/>
    </font>
    <font>
      <sz val="11"/>
      <color theme="1" tint="0.499984740745262"/>
      <name val="Arial"/>
      <family val="2"/>
    </font>
    <font>
      <sz val="9"/>
      <color theme="1"/>
      <name val="Arial"/>
      <family val="2"/>
    </font>
    <font>
      <sz val="10"/>
      <color theme="0" tint="-0.249977111117893"/>
      <name val="Arial"/>
      <family val="2"/>
    </font>
    <font>
      <sz val="12"/>
      <color theme="2" tint="-0.249977111117893"/>
      <name val="Arial"/>
      <family val="2"/>
    </font>
    <font>
      <b/>
      <sz val="12"/>
      <name val="Arial"/>
      <family val="2"/>
    </font>
    <font>
      <i/>
      <u/>
      <sz val="12"/>
      <color theme="1" tint="0.249977111117893"/>
      <name val="Trebuchet MS"/>
      <family val="2"/>
    </font>
    <font>
      <sz val="12"/>
      <color theme="0" tint="-0.499984740745262"/>
      <name val="Calibri Light"/>
      <family val="2"/>
      <scheme val="major"/>
    </font>
    <font>
      <b/>
      <sz val="10"/>
      <color indexed="81"/>
      <name val="Calibri Light"/>
      <family val="2"/>
      <scheme val="major"/>
    </font>
    <font>
      <sz val="10"/>
      <color indexed="81"/>
      <name val="Calibri Light"/>
      <family val="2"/>
      <scheme val="major"/>
    </font>
    <font>
      <sz val="8"/>
      <name val="Calibri"/>
      <family val="2"/>
      <scheme val="minor"/>
    </font>
    <font>
      <vertAlign val="superscript"/>
      <sz val="10"/>
      <color theme="1"/>
      <name val="Arial"/>
      <family val="2"/>
    </font>
    <font>
      <i/>
      <u/>
      <sz val="10"/>
      <color theme="1" tint="0.34998626667073579"/>
      <name val="Arial"/>
      <family val="2"/>
    </font>
    <font>
      <i/>
      <sz val="10"/>
      <color theme="1" tint="0.249977111117893"/>
      <name val="Arial"/>
      <family val="2"/>
    </font>
    <font>
      <sz val="10"/>
      <color theme="0" tint="-0.499984740745262"/>
      <name val="Arial"/>
      <family val="2"/>
    </font>
    <font>
      <sz val="10"/>
      <color theme="0" tint="-0.14999847407452621"/>
      <name val="Arial"/>
      <family val="2"/>
    </font>
    <font>
      <b/>
      <sz val="11"/>
      <color theme="2" tint="-0.499984740745262"/>
      <name val="Arial"/>
      <family val="2"/>
    </font>
    <font>
      <sz val="11"/>
      <color theme="2" tint="-0.499984740745262"/>
      <name val="Arial"/>
      <family val="2"/>
    </font>
    <font>
      <b/>
      <i/>
      <sz val="10"/>
      <color theme="0" tint="-0.499984740745262"/>
      <name val="Arial"/>
      <family val="2"/>
    </font>
    <font>
      <b/>
      <sz val="10"/>
      <name val="Arial"/>
      <family val="2"/>
    </font>
    <font>
      <sz val="11"/>
      <color rgb="FF000000"/>
      <name val="Arial"/>
      <family val="2"/>
    </font>
    <font>
      <sz val="12"/>
      <color rgb="FF000000"/>
      <name val="Arial"/>
      <family val="2"/>
    </font>
    <font>
      <sz val="12"/>
      <color rgb="FF404040"/>
      <name val="Arial"/>
      <family val="2"/>
    </font>
    <font>
      <b/>
      <sz val="11"/>
      <name val="Arial"/>
      <family val="2"/>
    </font>
    <font>
      <sz val="14"/>
      <name val="Arial"/>
      <family val="2"/>
    </font>
    <font>
      <sz val="11"/>
      <name val="Arial"/>
      <family val="2"/>
    </font>
    <font>
      <b/>
      <sz val="9"/>
      <name val="Arial"/>
      <family val="2"/>
    </font>
    <font>
      <sz val="9"/>
      <name val="Arial"/>
      <family val="2"/>
    </font>
    <font>
      <b/>
      <sz val="12"/>
      <color rgb="FF000000"/>
      <name val="Arial"/>
      <family val="2"/>
    </font>
    <font>
      <b/>
      <sz val="12"/>
      <color theme="1" tint="0.249977111117893"/>
      <name val="Arial"/>
      <family val="2"/>
    </font>
    <font>
      <b/>
      <sz val="10"/>
      <color rgb="FFFFFFFF"/>
      <name val="Arial"/>
      <family val="2"/>
    </font>
    <font>
      <sz val="9"/>
      <color theme="0" tint="-0.14999847407452621"/>
      <name val="Arial"/>
      <family val="2"/>
    </font>
    <font>
      <sz val="9"/>
      <color theme="1" tint="0.249977111117893"/>
      <name val="Arial"/>
      <family val="2"/>
    </font>
  </fonts>
  <fills count="37">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3"/>
        <bgColor indexed="9"/>
      </patternFill>
    </fill>
    <fill>
      <patternFill patternType="solid">
        <fgColor theme="9" tint="0.59999389629810485"/>
        <bgColor indexed="64"/>
      </patternFill>
    </fill>
    <fill>
      <patternFill patternType="solid">
        <fgColor theme="2"/>
        <bgColor indexed="64"/>
      </patternFill>
    </fill>
    <fill>
      <patternFill patternType="solid">
        <fgColor rgb="FF004415"/>
        <bgColor indexed="64"/>
      </patternFill>
    </fill>
    <fill>
      <patternFill patternType="solid">
        <fgColor rgb="FF008442"/>
        <bgColor indexed="64"/>
      </patternFill>
    </fill>
    <fill>
      <patternFill patternType="solid">
        <fgColor rgb="FFE7E6E6"/>
        <bgColor indexed="64"/>
      </patternFill>
    </fill>
    <fill>
      <patternFill patternType="solid">
        <fgColor theme="7"/>
        <bgColor indexed="64"/>
      </patternFill>
    </fill>
    <fill>
      <patternFill patternType="solid">
        <fgColor rgb="FFF2F2F2"/>
        <bgColor rgb="FF000000"/>
      </patternFill>
    </fill>
    <fill>
      <patternFill patternType="solid">
        <fgColor theme="9"/>
        <bgColor indexed="64"/>
      </patternFill>
    </fill>
    <fill>
      <patternFill patternType="solid">
        <fgColor rgb="FFFFC000"/>
        <bgColor indexed="64"/>
      </patternFill>
    </fill>
  </fills>
  <borders count="8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ck">
        <color theme="0"/>
      </right>
      <top/>
      <bottom/>
      <diagonal/>
    </border>
    <border>
      <left/>
      <right/>
      <top/>
      <bottom style="thin">
        <color rgb="FF05663A"/>
      </bottom>
      <diagonal/>
    </border>
    <border>
      <left/>
      <right style="thick">
        <color theme="0"/>
      </right>
      <top/>
      <bottom style="thin">
        <color rgb="FF05663A"/>
      </bottom>
      <diagonal/>
    </border>
    <border>
      <left style="thick">
        <color theme="0"/>
      </left>
      <right style="thick">
        <color theme="0"/>
      </right>
      <top/>
      <bottom/>
      <diagonal/>
    </border>
    <border>
      <left/>
      <right/>
      <top/>
      <bottom style="thin">
        <color rgb="FF0E7716"/>
      </bottom>
      <diagonal/>
    </border>
    <border>
      <left/>
      <right style="thick">
        <color theme="0"/>
      </right>
      <top/>
      <bottom style="thin">
        <color rgb="FF0E7716"/>
      </bottom>
      <diagonal/>
    </border>
    <border>
      <left/>
      <right/>
      <top style="thin">
        <color rgb="FF0E7716"/>
      </top>
      <bottom style="thin">
        <color rgb="FF0E7716"/>
      </bottom>
      <diagonal/>
    </border>
    <border>
      <left/>
      <right style="thick">
        <color theme="0"/>
      </right>
      <top style="thin">
        <color rgb="FF0E7716"/>
      </top>
      <bottom style="thin">
        <color rgb="FF0E7716"/>
      </bottom>
      <diagonal/>
    </border>
    <border>
      <left/>
      <right/>
      <top/>
      <bottom style="thin">
        <color rgb="FF28333C"/>
      </bottom>
      <diagonal/>
    </border>
    <border>
      <left/>
      <right/>
      <top/>
      <bottom style="thin">
        <color theme="0" tint="-0.499984740745262"/>
      </bottom>
      <diagonal/>
    </border>
    <border>
      <left/>
      <right/>
      <top/>
      <bottom style="medium">
        <color rgb="FFA5A5A5"/>
      </bottom>
      <diagonal/>
    </border>
    <border>
      <left/>
      <right/>
      <top style="medium">
        <color rgb="FFA5A5A5"/>
      </top>
      <bottom/>
      <diagonal/>
    </border>
    <border>
      <left style="dotted">
        <color theme="2" tint="-0.249977111117893"/>
      </left>
      <right/>
      <top/>
      <bottom/>
      <diagonal/>
    </border>
    <border>
      <left/>
      <right/>
      <top style="thin">
        <color rgb="FF05663A"/>
      </top>
      <bottom/>
      <diagonal/>
    </border>
    <border>
      <left/>
      <right style="thick">
        <color theme="0"/>
      </right>
      <top style="thin">
        <color rgb="FF0E7716"/>
      </top>
      <bottom/>
      <diagonal/>
    </border>
    <border>
      <left style="thick">
        <color theme="0"/>
      </left>
      <right style="thick">
        <color theme="0"/>
      </right>
      <top style="thin">
        <color rgb="FF0E7716"/>
      </top>
      <bottom style="thin">
        <color rgb="FF0E7716"/>
      </bottom>
      <diagonal/>
    </border>
    <border>
      <left style="thick">
        <color theme="0"/>
      </left>
      <right style="thick">
        <color theme="0"/>
      </right>
      <top style="thin">
        <color rgb="FF0E7716"/>
      </top>
      <bottom/>
      <diagonal/>
    </border>
    <border>
      <left/>
      <right style="thick">
        <color theme="0"/>
      </right>
      <top style="thin">
        <color rgb="FF05663A"/>
      </top>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style="thick">
        <color theme="0"/>
      </right>
      <top style="thin">
        <color theme="0" tint="-0.249977111117893"/>
      </top>
      <bottom style="thin">
        <color theme="0" tint="-0.249977111117893"/>
      </bottom>
      <diagonal/>
    </border>
    <border>
      <left/>
      <right/>
      <top style="thin">
        <color rgb="FF0E7716"/>
      </top>
      <bottom style="thin">
        <color theme="0" tint="-0.249977111117893"/>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thin">
        <color rgb="FF0E7716"/>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top style="thin">
        <color indexed="64"/>
      </top>
      <bottom style="thin">
        <color rgb="FF0E7716"/>
      </bottom>
      <diagonal/>
    </border>
    <border>
      <left/>
      <right/>
      <top style="medium">
        <color theme="0" tint="-0.34998626667073579"/>
      </top>
      <bottom style="thin">
        <color indexed="64"/>
      </bottom>
      <diagonal/>
    </border>
    <border>
      <left/>
      <right/>
      <top/>
      <bottom style="medium">
        <color theme="0" tint="-0.34998626667073579"/>
      </bottom>
      <diagonal/>
    </border>
    <border>
      <left/>
      <right/>
      <top style="medium">
        <color theme="0" tint="-0.34998626667073579"/>
      </top>
      <bottom/>
      <diagonal/>
    </border>
    <border>
      <left/>
      <right style="thin">
        <color rgb="FF0E7716"/>
      </right>
      <top style="thin">
        <color rgb="FF0E7716"/>
      </top>
      <bottom style="thin">
        <color rgb="FF0E7716"/>
      </bottom>
      <diagonal/>
    </border>
    <border>
      <left/>
      <right/>
      <top style="thin">
        <color auto="1"/>
      </top>
      <bottom/>
      <diagonal/>
    </border>
    <border>
      <left/>
      <right/>
      <top style="thin">
        <color auto="1"/>
      </top>
      <bottom/>
      <diagonal/>
    </border>
    <border>
      <left/>
      <right/>
      <top style="thin">
        <color auto="1"/>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bottom style="thin">
        <color rgb="FFBFBFBF"/>
      </bottom>
      <diagonal/>
    </border>
    <border>
      <left/>
      <right/>
      <top style="thin">
        <color rgb="FFBFBFBF"/>
      </top>
      <bottom style="thin">
        <color rgb="FFBFBFBF"/>
      </bottom>
      <diagonal/>
    </border>
    <border>
      <left/>
      <right/>
      <top style="thin">
        <color rgb="FF0E7716"/>
      </top>
      <bottom style="thin">
        <color rgb="FFBFBFBF"/>
      </bottom>
      <diagonal/>
    </border>
    <border>
      <left/>
      <right/>
      <top style="thin">
        <color auto="1"/>
      </top>
      <bottom/>
      <diagonal/>
    </border>
    <border>
      <left/>
      <right/>
      <top style="medium">
        <color theme="0" tint="-0.34998626667073579"/>
      </top>
      <bottom style="medium">
        <color rgb="FFA5A5A5"/>
      </bottom>
      <diagonal/>
    </border>
    <border>
      <left/>
      <right/>
      <top style="thin">
        <color auto="1"/>
      </top>
      <bottom/>
      <diagonal/>
    </border>
    <border>
      <left style="thin">
        <color theme="2" tint="-0.499984740745262"/>
      </left>
      <right style="thin">
        <color theme="2" tint="-0.499984740745262"/>
      </right>
      <top style="medium">
        <color theme="0" tint="-0.34998626667073579"/>
      </top>
      <bottom style="thin">
        <color theme="2" tint="-0.499984740745262"/>
      </bottom>
      <diagonal/>
    </border>
    <border>
      <left style="thick">
        <color theme="0"/>
      </left>
      <right/>
      <top/>
      <bottom/>
      <diagonal/>
    </border>
    <border>
      <left/>
      <right/>
      <top style="thin">
        <color theme="0" tint="-0.249977111117893"/>
      </top>
      <bottom style="thin">
        <color theme="2"/>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2" tint="-0.499984740745262"/>
      </left>
      <right style="thin">
        <color theme="2" tint="-0.499984740745262"/>
      </right>
      <top style="thin">
        <color theme="2" tint="-0.499984740745262"/>
      </top>
      <bottom style="medium">
        <color theme="0" tint="-0.34998626667073579"/>
      </bottom>
      <diagonal/>
    </border>
  </borders>
  <cellStyleXfs count="175">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xf numFmtId="165"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9" fillId="15"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10" fillId="7" borderId="0" applyNumberFormat="0" applyBorder="0" applyAlignment="0" applyProtection="0"/>
    <xf numFmtId="0" fontId="11" fillId="19" borderId="1" applyNumberFormat="0" applyAlignment="0" applyProtection="0"/>
    <xf numFmtId="0" fontId="12" fillId="20" borderId="2" applyNumberFormat="0" applyAlignment="0" applyProtection="0"/>
    <xf numFmtId="0" fontId="13" fillId="0" borderId="3" applyNumberFormat="0" applyFill="0" applyAlignment="0" applyProtection="0"/>
    <xf numFmtId="3" fontId="25" fillId="0" borderId="0" applyFont="0" applyFill="0" applyBorder="0" applyAlignment="0" applyProtection="0"/>
    <xf numFmtId="0" fontId="26" fillId="0" borderId="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24" borderId="0" applyNumberFormat="0" applyBorder="0" applyAlignment="0" applyProtection="0"/>
    <xf numFmtId="0" fontId="14" fillId="10" borderId="1" applyNumberFormat="0" applyAlignment="0" applyProtection="0"/>
    <xf numFmtId="168" fontId="7" fillId="0" borderId="0" applyFont="0" applyFill="0" applyBorder="0" applyAlignment="0" applyProtection="0"/>
    <xf numFmtId="0" fontId="15" fillId="6" borderId="0" applyNumberFormat="0" applyBorder="0" applyAlignment="0" applyProtection="0"/>
    <xf numFmtId="0" fontId="16" fillId="25" borderId="0" applyNumberFormat="0" applyBorder="0" applyAlignment="0" applyProtection="0"/>
    <xf numFmtId="0" fontId="7" fillId="0" borderId="0"/>
    <xf numFmtId="0" fontId="7" fillId="0" borderId="0"/>
    <xf numFmtId="0" fontId="7" fillId="26" borderId="4" applyNumberFormat="0" applyFont="0" applyAlignment="0" applyProtection="0"/>
    <xf numFmtId="0" fontId="7" fillId="26" borderId="4"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0" fontId="7" fillId="27" borderId="5"/>
    <xf numFmtId="0" fontId="17" fillId="19" borderId="6" applyNumberFormat="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27" fillId="0" borderId="0" applyNumberFormat="0" applyFill="0" applyBorder="0" applyProtection="0">
      <alignment horizontal="center"/>
    </xf>
    <xf numFmtId="0" fontId="28" fillId="0" borderId="0" applyNumberFormat="0" applyFill="0" applyBorder="0" applyProtection="0">
      <alignment horizontal="center"/>
    </xf>
    <xf numFmtId="4" fontId="27" fillId="0" borderId="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1" fillId="0" borderId="7" applyNumberFormat="0" applyFill="0" applyAlignment="0" applyProtection="0"/>
    <xf numFmtId="0" fontId="22" fillId="0" borderId="8" applyNumberFormat="0" applyFill="0" applyAlignment="0" applyProtection="0"/>
    <xf numFmtId="0" fontId="23" fillId="0" borderId="9" applyNumberFormat="0" applyFill="0" applyAlignment="0" applyProtection="0"/>
    <xf numFmtId="0" fontId="23" fillId="0" borderId="0" applyNumberFormat="0" applyFill="0" applyBorder="0" applyAlignment="0" applyProtection="0"/>
    <xf numFmtId="0" fontId="20" fillId="0" borderId="0" applyNumberFormat="0" applyFill="0" applyBorder="0" applyAlignment="0" applyProtection="0"/>
    <xf numFmtId="0" fontId="24" fillId="0" borderId="10" applyNumberFormat="0" applyFill="0" applyAlignment="0" applyProtection="0"/>
    <xf numFmtId="0" fontId="7" fillId="0" borderId="0"/>
    <xf numFmtId="43" fontId="7" fillId="0" borderId="0" applyFont="0" applyFill="0" applyBorder="0" applyAlignment="0" applyProtection="0"/>
    <xf numFmtId="0" fontId="1" fillId="0" borderId="0"/>
    <xf numFmtId="9" fontId="7" fillId="0" borderId="0" applyFont="0" applyFill="0" applyBorder="0" applyAlignment="0" applyProtection="0"/>
    <xf numFmtId="43" fontId="7" fillId="0" borderId="0" applyFont="0" applyFill="0" applyBorder="0" applyAlignment="0" applyProtection="0"/>
    <xf numFmtId="0" fontId="7" fillId="0" borderId="0"/>
    <xf numFmtId="0" fontId="11" fillId="19" borderId="11" applyNumberFormat="0" applyAlignment="0" applyProtection="0"/>
    <xf numFmtId="0" fontId="14" fillId="10" borderId="11" applyNumberFormat="0" applyAlignment="0" applyProtection="0"/>
    <xf numFmtId="0" fontId="7" fillId="26" borderId="12" applyNumberFormat="0" applyFont="0" applyAlignment="0" applyProtection="0"/>
    <xf numFmtId="0" fontId="7" fillId="26" borderId="12" applyNumberFormat="0" applyFont="0" applyAlignment="0" applyProtection="0"/>
    <xf numFmtId="0" fontId="17" fillId="19" borderId="13" applyNumberFormat="0" applyAlignment="0" applyProtection="0"/>
    <xf numFmtId="0" fontId="24" fillId="0" borderId="14" applyNumberFormat="0" applyFill="0" applyAlignment="0" applyProtection="0"/>
    <xf numFmtId="169" fontId="7" fillId="0" borderId="0" applyFont="0" applyFill="0" applyBorder="0" applyAlignment="0" applyProtection="0"/>
    <xf numFmtId="170" fontId="7" fillId="0" borderId="0" applyFill="0" applyBorder="0" applyAlignment="0" applyProtection="0"/>
    <xf numFmtId="0" fontId="1" fillId="0" borderId="0"/>
    <xf numFmtId="43" fontId="7" fillId="0" borderId="0" applyFont="0" applyFill="0" applyBorder="0" applyAlignment="0" applyProtection="0"/>
    <xf numFmtId="43" fontId="8" fillId="0" borderId="0" applyFont="0" applyFill="0" applyBorder="0" applyAlignment="0" applyProtection="0"/>
    <xf numFmtId="0" fontId="1" fillId="0" borderId="0"/>
    <xf numFmtId="0" fontId="7" fillId="0" borderId="0"/>
    <xf numFmtId="43" fontId="7" fillId="0" borderId="0" applyFont="0" applyFill="0" applyBorder="0" applyAlignment="0" applyProtection="0"/>
    <xf numFmtId="43" fontId="1"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1" fillId="19" borderId="77" applyNumberFormat="0" applyAlignment="0" applyProtection="0"/>
    <xf numFmtId="0" fontId="14" fillId="10" borderId="77" applyNumberFormat="0" applyAlignment="0" applyProtection="0"/>
    <xf numFmtId="0" fontId="7" fillId="26" borderId="78" applyNumberFormat="0" applyFont="0" applyAlignment="0" applyProtection="0"/>
    <xf numFmtId="0" fontId="7" fillId="26" borderId="78" applyNumberFormat="0" applyFont="0" applyAlignment="0" applyProtection="0"/>
    <xf numFmtId="0" fontId="17" fillId="19" borderId="79" applyNumberFormat="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24" fillId="0" borderId="80" applyNumberFormat="0" applyFill="0" applyAlignment="0" applyProtection="0"/>
    <xf numFmtId="43" fontId="7" fillId="0" borderId="0" applyFont="0" applyFill="0" applyBorder="0" applyAlignment="0" applyProtection="0"/>
    <xf numFmtId="43" fontId="7" fillId="0" borderId="0" applyFont="0" applyFill="0" applyBorder="0" applyAlignment="0" applyProtection="0"/>
    <xf numFmtId="0" fontId="11" fillId="19" borderId="77" applyNumberFormat="0" applyAlignment="0" applyProtection="0"/>
    <xf numFmtId="0" fontId="14" fillId="10" borderId="77" applyNumberFormat="0" applyAlignment="0" applyProtection="0"/>
    <xf numFmtId="0" fontId="7" fillId="26" borderId="78" applyNumberFormat="0" applyFont="0" applyAlignment="0" applyProtection="0"/>
    <xf numFmtId="0" fontId="7" fillId="26" borderId="78" applyNumberFormat="0" applyFont="0" applyAlignment="0" applyProtection="0"/>
    <xf numFmtId="0" fontId="17" fillId="19" borderId="79" applyNumberFormat="0" applyAlignment="0" applyProtection="0"/>
    <xf numFmtId="0" fontId="24" fillId="0" borderId="80" applyNumberFormat="0" applyFill="0" applyAlignment="0" applyProtection="0"/>
    <xf numFmtId="43" fontId="7"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0" fontId="1" fillId="0" borderId="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55">
    <xf numFmtId="0" fontId="0" fillId="0" borderId="0" xfId="0"/>
    <xf numFmtId="0" fontId="2" fillId="0" borderId="0" xfId="2"/>
    <xf numFmtId="0" fontId="5" fillId="0" borderId="0" xfId="0" applyFont="1"/>
    <xf numFmtId="0" fontId="6" fillId="0" borderId="0" xfId="0" applyFont="1" applyAlignment="1">
      <alignment horizontal="left" vertical="center" indent="1"/>
    </xf>
    <xf numFmtId="0" fontId="1" fillId="0" borderId="0" xfId="0" applyFont="1"/>
    <xf numFmtId="0" fontId="29" fillId="0" borderId="0" xfId="0" applyFont="1"/>
    <xf numFmtId="0" fontId="30" fillId="0" borderId="0" xfId="0" applyFont="1"/>
    <xf numFmtId="0" fontId="29" fillId="0" borderId="0" xfId="0" applyFont="1" applyAlignment="1">
      <alignment horizontal="left" vertical="center"/>
    </xf>
    <xf numFmtId="0" fontId="4" fillId="0" borderId="0" xfId="3" applyFont="1" applyAlignment="1">
      <alignment horizontal="left" vertical="center"/>
    </xf>
    <xf numFmtId="0" fontId="31" fillId="0" borderId="0" xfId="0" applyFont="1"/>
    <xf numFmtId="0" fontId="32" fillId="0" borderId="0" xfId="0" applyFont="1"/>
    <xf numFmtId="0" fontId="34" fillId="0" borderId="0" xfId="0" applyFont="1"/>
    <xf numFmtId="0" fontId="31" fillId="0" borderId="0" xfId="0" applyFont="1" applyAlignment="1">
      <alignment horizontal="left" vertical="center"/>
    </xf>
    <xf numFmtId="0" fontId="0" fillId="0" borderId="0" xfId="0" applyAlignment="1">
      <alignment horizontal="left" vertical="center"/>
    </xf>
    <xf numFmtId="0" fontId="35" fillId="0" borderId="0" xfId="0" applyFont="1" applyAlignment="1">
      <alignment horizontal="center" vertical="center" wrapText="1"/>
    </xf>
    <xf numFmtId="0" fontId="35" fillId="0" borderId="25" xfId="0" applyFont="1" applyBorder="1" applyAlignment="1">
      <alignment horizontal="center" vertical="center" wrapText="1"/>
    </xf>
    <xf numFmtId="0" fontId="35" fillId="0" borderId="25" xfId="0" applyFont="1" applyBorder="1" applyAlignment="1">
      <alignment vertical="center" wrapText="1"/>
    </xf>
    <xf numFmtId="4" fontId="35" fillId="0" borderId="25" xfId="0" applyNumberFormat="1" applyFont="1" applyBorder="1" applyAlignment="1">
      <alignment horizontal="right" vertical="center"/>
    </xf>
    <xf numFmtId="14" fontId="37" fillId="0" borderId="0" xfId="0" applyNumberFormat="1" applyFont="1" applyAlignment="1">
      <alignment horizontal="right" vertical="center"/>
    </xf>
    <xf numFmtId="14" fontId="37" fillId="0" borderId="15" xfId="0" applyNumberFormat="1" applyFont="1" applyBorder="1" applyAlignment="1">
      <alignment horizontal="right" vertical="center"/>
    </xf>
    <xf numFmtId="0" fontId="38" fillId="30" borderId="0" xfId="0" applyFont="1" applyFill="1" applyAlignment="1">
      <alignment horizontal="right" vertical="center"/>
    </xf>
    <xf numFmtId="0" fontId="38" fillId="30" borderId="15" xfId="0" applyFont="1" applyFill="1" applyBorder="1" applyAlignment="1">
      <alignment horizontal="right" vertical="center"/>
    </xf>
    <xf numFmtId="0" fontId="37" fillId="0" borderId="0" xfId="0" applyFont="1" applyAlignment="1">
      <alignment horizontal="right" vertical="center"/>
    </xf>
    <xf numFmtId="0" fontId="37" fillId="0" borderId="15" xfId="0" applyFont="1" applyBorder="1" applyAlignment="1">
      <alignment horizontal="right" vertical="center"/>
    </xf>
    <xf numFmtId="0" fontId="39" fillId="29" borderId="0" xfId="0" applyFont="1" applyFill="1" applyAlignment="1">
      <alignment horizontal="right" vertical="center"/>
    </xf>
    <xf numFmtId="0" fontId="39" fillId="29" borderId="15" xfId="0" applyFont="1" applyFill="1" applyBorder="1" applyAlignment="1">
      <alignment horizontal="right" vertical="center"/>
    </xf>
    <xf numFmtId="0" fontId="41" fillId="0" borderId="19" xfId="0" applyFont="1" applyBorder="1" applyAlignment="1">
      <alignment horizontal="right" vertical="center"/>
    </xf>
    <xf numFmtId="0" fontId="41" fillId="0" borderId="20" xfId="0" applyFont="1" applyBorder="1" applyAlignment="1">
      <alignment horizontal="right" vertical="center"/>
    </xf>
    <xf numFmtId="0" fontId="39" fillId="0" borderId="19" xfId="0" applyFont="1" applyBorder="1" applyAlignment="1">
      <alignment horizontal="right" vertical="center"/>
    </xf>
    <xf numFmtId="0" fontId="39" fillId="0" borderId="20" xfId="0" applyFont="1" applyBorder="1" applyAlignment="1">
      <alignment horizontal="right" vertical="center"/>
    </xf>
    <xf numFmtId="3" fontId="39" fillId="0" borderId="19" xfId="0" applyNumberFormat="1" applyFont="1" applyBorder="1" applyAlignment="1">
      <alignment vertical="center"/>
    </xf>
    <xf numFmtId="3" fontId="39" fillId="0" borderId="19" xfId="0" applyNumberFormat="1" applyFont="1" applyBorder="1" applyAlignment="1">
      <alignment horizontal="right" vertical="center"/>
    </xf>
    <xf numFmtId="0" fontId="44" fillId="0" borderId="0" xfId="0" applyFont="1" applyAlignment="1">
      <alignment horizontal="right" vertical="center"/>
    </xf>
    <xf numFmtId="0" fontId="44" fillId="0" borderId="15" xfId="0" applyFont="1" applyBorder="1" applyAlignment="1">
      <alignment horizontal="right" vertical="center"/>
    </xf>
    <xf numFmtId="14" fontId="46" fillId="0" borderId="0" xfId="0" applyNumberFormat="1" applyFont="1" applyAlignment="1">
      <alignment horizontal="right" vertical="center"/>
    </xf>
    <xf numFmtId="14" fontId="46" fillId="0" borderId="15" xfId="0" applyNumberFormat="1" applyFont="1" applyBorder="1" applyAlignment="1">
      <alignment horizontal="right" vertical="center"/>
    </xf>
    <xf numFmtId="0" fontId="47" fillId="30" borderId="0" xfId="0" applyFont="1" applyFill="1" applyAlignment="1">
      <alignment horizontal="right" vertical="center"/>
    </xf>
    <xf numFmtId="0" fontId="47" fillId="30" borderId="15" xfId="0" applyFont="1" applyFill="1" applyBorder="1" applyAlignment="1">
      <alignment horizontal="right" vertical="center"/>
    </xf>
    <xf numFmtId="0" fontId="46" fillId="0" borderId="0" xfId="0" applyFont="1" applyAlignment="1">
      <alignment horizontal="right" vertical="center"/>
    </xf>
    <xf numFmtId="0" fontId="46" fillId="0" borderId="15" xfId="0" applyFont="1" applyBorder="1" applyAlignment="1">
      <alignment horizontal="right" vertical="center"/>
    </xf>
    <xf numFmtId="0" fontId="48" fillId="29" borderId="27" xfId="0" applyFont="1" applyFill="1" applyBorder="1" applyAlignment="1">
      <alignment horizontal="right" vertical="center"/>
    </xf>
    <xf numFmtId="0" fontId="48" fillId="29" borderId="0" xfId="0" applyFont="1" applyFill="1" applyAlignment="1">
      <alignment horizontal="right" vertical="center"/>
    </xf>
    <xf numFmtId="0" fontId="48" fillId="29" borderId="15" xfId="0" applyFont="1" applyFill="1" applyBorder="1" applyAlignment="1">
      <alignment horizontal="right" vertical="center"/>
    </xf>
    <xf numFmtId="171" fontId="49" fillId="4" borderId="16" xfId="0" applyNumberFormat="1" applyFont="1" applyFill="1" applyBorder="1" applyAlignment="1">
      <alignment horizontal="right" vertical="center"/>
    </xf>
    <xf numFmtId="171" fontId="49" fillId="4" borderId="17" xfId="0" applyNumberFormat="1" applyFont="1" applyFill="1" applyBorder="1" applyAlignment="1">
      <alignment horizontal="right" vertical="center"/>
    </xf>
    <xf numFmtId="0" fontId="50" fillId="0" borderId="19" xfId="0" applyFont="1" applyBorder="1" applyAlignment="1">
      <alignment horizontal="right" vertical="center"/>
    </xf>
    <xf numFmtId="0" fontId="50" fillId="0" borderId="20" xfId="0" applyFont="1" applyBorder="1" applyAlignment="1">
      <alignment horizontal="right" vertical="center"/>
    </xf>
    <xf numFmtId="0" fontId="48" fillId="0" borderId="19" xfId="0" applyFont="1" applyBorder="1" applyAlignment="1">
      <alignment horizontal="right" vertical="center"/>
    </xf>
    <xf numFmtId="0" fontId="48" fillId="0" borderId="20" xfId="0" applyFont="1" applyBorder="1" applyAlignment="1">
      <alignment horizontal="right" vertical="center"/>
    </xf>
    <xf numFmtId="3" fontId="48" fillId="0" borderId="19" xfId="0" applyNumberFormat="1" applyFont="1" applyBorder="1" applyAlignment="1">
      <alignment vertical="center"/>
    </xf>
    <xf numFmtId="3" fontId="48" fillId="2" borderId="0" xfId="0" applyNumberFormat="1" applyFont="1" applyFill="1" applyAlignment="1">
      <alignment horizontal="right" vertical="center"/>
    </xf>
    <xf numFmtId="3" fontId="48" fillId="2" borderId="15" xfId="0" applyNumberFormat="1" applyFont="1" applyFill="1" applyBorder="1" applyAlignment="1">
      <alignment horizontal="right" vertical="center"/>
    </xf>
    <xf numFmtId="3" fontId="51" fillId="0" borderId="0" xfId="0" applyNumberFormat="1" applyFont="1" applyAlignment="1">
      <alignment horizontal="right" vertical="center"/>
    </xf>
    <xf numFmtId="3" fontId="51" fillId="0" borderId="15" xfId="0" applyNumberFormat="1" applyFont="1" applyBorder="1" applyAlignment="1">
      <alignment horizontal="right" vertical="center"/>
    </xf>
    <xf numFmtId="3" fontId="48" fillId="0" borderId="19" xfId="0" applyNumberFormat="1" applyFont="1" applyBorder="1" applyAlignment="1">
      <alignment horizontal="right" vertical="center"/>
    </xf>
    <xf numFmtId="3" fontId="48" fillId="0" borderId="20" xfId="0" applyNumberFormat="1" applyFont="1" applyBorder="1" applyAlignment="1">
      <alignment horizontal="right" vertical="center"/>
    </xf>
    <xf numFmtId="0" fontId="44" fillId="0" borderId="0" xfId="0" applyFont="1"/>
    <xf numFmtId="0" fontId="52" fillId="30" borderId="0" xfId="3" applyFont="1" applyFill="1" applyAlignment="1">
      <alignment vertical="center"/>
    </xf>
    <xf numFmtId="0" fontId="39" fillId="29" borderId="0" xfId="0" applyFont="1" applyFill="1" applyAlignment="1">
      <alignment horizontal="center" vertical="center"/>
    </xf>
    <xf numFmtId="0" fontId="40" fillId="4" borderId="16" xfId="0" applyFont="1" applyFill="1" applyBorder="1"/>
    <xf numFmtId="0" fontId="53" fillId="0" borderId="19" xfId="0" applyFont="1" applyBorder="1"/>
    <xf numFmtId="0" fontId="42" fillId="2" borderId="0" xfId="0" applyFont="1" applyFill="1" applyAlignment="1">
      <alignment horizontal="left"/>
    </xf>
    <xf numFmtId="0" fontId="42" fillId="0" borderId="0" xfId="0" applyFont="1" applyAlignment="1">
      <alignment horizontal="left" indent="3"/>
    </xf>
    <xf numFmtId="0" fontId="39" fillId="0" borderId="0" xfId="0" applyFont="1" applyAlignment="1">
      <alignment vertical="center"/>
    </xf>
    <xf numFmtId="0" fontId="42" fillId="0" borderId="0" xfId="0" applyFont="1" applyAlignment="1">
      <alignment horizontal="left" vertical="center" indent="4"/>
    </xf>
    <xf numFmtId="0" fontId="39" fillId="0" borderId="21" xfId="0" applyFont="1" applyBorder="1" applyAlignment="1">
      <alignment vertical="center"/>
    </xf>
    <xf numFmtId="0" fontId="42" fillId="0" borderId="0" xfId="0" applyFont="1" applyAlignment="1">
      <alignment horizontal="left" vertical="center" indent="1"/>
    </xf>
    <xf numFmtId="0" fontId="42" fillId="0" borderId="0" xfId="0" applyFont="1" applyAlignment="1">
      <alignment vertical="center"/>
    </xf>
    <xf numFmtId="0" fontId="39" fillId="29" borderId="0" xfId="0" applyFont="1" applyFill="1" applyAlignment="1">
      <alignment vertical="center"/>
    </xf>
    <xf numFmtId="0" fontId="44" fillId="0" borderId="0" xfId="0" applyFont="1" applyAlignment="1">
      <alignment vertical="center"/>
    </xf>
    <xf numFmtId="0" fontId="54" fillId="0" borderId="0" xfId="3" applyFont="1" applyAlignment="1">
      <alignment horizontal="left" vertical="center"/>
    </xf>
    <xf numFmtId="0" fontId="37" fillId="0" borderId="0" xfId="0" applyFont="1"/>
    <xf numFmtId="0" fontId="50" fillId="0" borderId="0" xfId="3" applyFont="1" applyAlignment="1">
      <alignment horizontal="left" vertical="center"/>
    </xf>
    <xf numFmtId="14" fontId="56" fillId="0" borderId="15" xfId="0" applyNumberFormat="1" applyFont="1" applyBorder="1" applyAlignment="1">
      <alignment horizontal="left" vertical="center"/>
    </xf>
    <xf numFmtId="0" fontId="47" fillId="30" borderId="15" xfId="0" applyFont="1" applyFill="1" applyBorder="1"/>
    <xf numFmtId="14" fontId="46" fillId="0" borderId="28" xfId="0" applyNumberFormat="1" applyFont="1" applyBorder="1" applyAlignment="1">
      <alignment horizontal="right" vertical="center"/>
    </xf>
    <xf numFmtId="14" fontId="46" fillId="0" borderId="32" xfId="0" applyNumberFormat="1" applyFont="1" applyBorder="1" applyAlignment="1">
      <alignment horizontal="right" vertical="center"/>
    </xf>
    <xf numFmtId="3" fontId="48" fillId="2" borderId="29" xfId="0" applyNumberFormat="1" applyFont="1" applyFill="1" applyBorder="1" applyAlignment="1">
      <alignment horizontal="right" vertical="center"/>
    </xf>
    <xf numFmtId="3" fontId="48" fillId="2" borderId="31" xfId="0" applyNumberFormat="1" applyFont="1" applyFill="1" applyBorder="1" applyAlignment="1">
      <alignment horizontal="right" vertical="center"/>
    </xf>
    <xf numFmtId="166" fontId="48" fillId="0" borderId="15" xfId="0" applyNumberFormat="1" applyFont="1" applyBorder="1" applyAlignment="1">
      <alignment horizontal="right" vertical="center"/>
    </xf>
    <xf numFmtId="166" fontId="48" fillId="0" borderId="18" xfId="0" applyNumberFormat="1" applyFont="1" applyBorder="1" applyAlignment="1">
      <alignment horizontal="right" vertical="center"/>
    </xf>
    <xf numFmtId="166" fontId="48" fillId="0" borderId="0" xfId="0" applyNumberFormat="1" applyFont="1" applyAlignment="1">
      <alignment horizontal="right" vertical="center"/>
    </xf>
    <xf numFmtId="166" fontId="51" fillId="0" borderId="15" xfId="0" applyNumberFormat="1" applyFont="1" applyBorder="1" applyAlignment="1">
      <alignment horizontal="right" vertical="center"/>
    </xf>
    <xf numFmtId="166" fontId="51" fillId="0" borderId="18" xfId="0" applyNumberFormat="1" applyFont="1" applyBorder="1" applyAlignment="1">
      <alignment horizontal="right" vertical="center"/>
    </xf>
    <xf numFmtId="166" fontId="51" fillId="0" borderId="0" xfId="0" applyNumberFormat="1" applyFont="1" applyAlignment="1">
      <alignment horizontal="right" vertical="center"/>
    </xf>
    <xf numFmtId="167" fontId="48" fillId="0" borderId="22" xfId="0" applyNumberFormat="1" applyFont="1" applyBorder="1" applyAlignment="1">
      <alignment horizontal="right"/>
    </xf>
    <xf numFmtId="167" fontId="48" fillId="0" borderId="30" xfId="0" applyNumberFormat="1" applyFont="1" applyBorder="1" applyAlignment="1">
      <alignment horizontal="right"/>
    </xf>
    <xf numFmtId="167" fontId="48" fillId="0" borderId="21" xfId="0" applyNumberFormat="1" applyFont="1" applyBorder="1" applyAlignment="1">
      <alignment horizontal="right"/>
    </xf>
    <xf numFmtId="3" fontId="51" fillId="0" borderId="18" xfId="0" applyNumberFormat="1" applyFont="1" applyBorder="1" applyAlignment="1">
      <alignment horizontal="right" vertical="center"/>
    </xf>
    <xf numFmtId="167" fontId="51" fillId="0" borderId="15" xfId="6" applyNumberFormat="1" applyFont="1" applyBorder="1"/>
    <xf numFmtId="167" fontId="51" fillId="0" borderId="18" xfId="6" applyNumberFormat="1" applyFont="1" applyBorder="1"/>
    <xf numFmtId="167" fontId="51" fillId="0" borderId="0" xfId="6" applyNumberFormat="1" applyFont="1"/>
    <xf numFmtId="3" fontId="48" fillId="0" borderId="15" xfId="0" applyNumberFormat="1" applyFont="1" applyBorder="1" applyAlignment="1">
      <alignment horizontal="right" vertical="center"/>
    </xf>
    <xf numFmtId="3" fontId="48" fillId="0" borderId="18" xfId="0" applyNumberFormat="1" applyFont="1" applyBorder="1" applyAlignment="1">
      <alignment horizontal="right" vertical="center"/>
    </xf>
    <xf numFmtId="3" fontId="48" fillId="0" borderId="0" xfId="0" applyNumberFormat="1" applyFont="1" applyAlignment="1">
      <alignment horizontal="right" vertical="center"/>
    </xf>
    <xf numFmtId="165" fontId="51" fillId="29" borderId="29" xfId="0" applyNumberFormat="1" applyFont="1" applyFill="1" applyBorder="1" applyAlignment="1">
      <alignment horizontal="right" vertical="center"/>
    </xf>
    <xf numFmtId="165" fontId="51" fillId="29" borderId="31" xfId="0" applyNumberFormat="1" applyFont="1" applyFill="1" applyBorder="1" applyAlignment="1">
      <alignment horizontal="right" vertical="center"/>
    </xf>
    <xf numFmtId="165" fontId="51" fillId="29" borderId="0" xfId="0" applyNumberFormat="1" applyFont="1" applyFill="1" applyAlignment="1">
      <alignment horizontal="right" vertical="center"/>
    </xf>
    <xf numFmtId="165" fontId="51" fillId="29" borderId="15" xfId="0" applyNumberFormat="1" applyFont="1" applyFill="1" applyBorder="1" applyAlignment="1">
      <alignment horizontal="right" vertical="center"/>
    </xf>
    <xf numFmtId="0" fontId="46" fillId="0" borderId="0" xfId="0" applyFont="1"/>
    <xf numFmtId="0" fontId="42" fillId="2" borderId="21" xfId="0" applyFont="1" applyFill="1" applyBorder="1" applyAlignment="1">
      <alignment horizontal="left"/>
    </xf>
    <xf numFmtId="0" fontId="42" fillId="0" borderId="0" xfId="0" applyFont="1" applyAlignment="1">
      <alignment horizontal="left"/>
    </xf>
    <xf numFmtId="0" fontId="39" fillId="0" borderId="21" xfId="0" applyFont="1" applyBorder="1" applyAlignment="1">
      <alignment horizontal="left" vertical="center"/>
    </xf>
    <xf numFmtId="0" fontId="42" fillId="0" borderId="0" xfId="0" applyFont="1" applyAlignment="1">
      <alignment horizontal="left" vertical="center"/>
    </xf>
    <xf numFmtId="0" fontId="44" fillId="0" borderId="0" xfId="0" applyFont="1" applyAlignment="1">
      <alignment horizontal="left" vertical="center"/>
    </xf>
    <xf numFmtId="0" fontId="42" fillId="0" borderId="0" xfId="0" applyFont="1" applyAlignment="1">
      <alignment horizontal="left" vertical="center" indent="2"/>
    </xf>
    <xf numFmtId="3" fontId="43" fillId="0" borderId="15" xfId="0" applyNumberFormat="1" applyFont="1" applyBorder="1" applyAlignment="1">
      <alignment horizontal="right" vertical="center"/>
    </xf>
    <xf numFmtId="3" fontId="43" fillId="0" borderId="0" xfId="0" applyNumberFormat="1" applyFont="1" applyAlignment="1">
      <alignment horizontal="right" vertical="center"/>
    </xf>
    <xf numFmtId="167" fontId="57" fillId="0" borderId="15" xfId="6" applyNumberFormat="1" applyFont="1" applyBorder="1"/>
    <xf numFmtId="167" fontId="57" fillId="0" borderId="0" xfId="6" applyNumberFormat="1" applyFont="1"/>
    <xf numFmtId="0" fontId="50" fillId="0" borderId="20" xfId="0" applyFont="1" applyBorder="1"/>
    <xf numFmtId="173" fontId="48" fillId="2" borderId="22" xfId="0" applyNumberFormat="1" applyFont="1" applyFill="1" applyBorder="1" applyAlignment="1">
      <alignment horizontal="right" vertical="center"/>
    </xf>
    <xf numFmtId="167" fontId="48" fillId="2" borderId="21" xfId="0" applyNumberFormat="1" applyFont="1" applyFill="1" applyBorder="1" applyAlignment="1">
      <alignment horizontal="right" vertical="center"/>
    </xf>
    <xf numFmtId="3" fontId="48" fillId="0" borderId="22" xfId="0" applyNumberFormat="1" applyFont="1" applyBorder="1" applyAlignment="1">
      <alignment vertical="center"/>
    </xf>
    <xf numFmtId="3" fontId="48" fillId="0" borderId="21" xfId="0" applyNumberFormat="1" applyFont="1" applyBorder="1" applyAlignment="1">
      <alignment vertical="center"/>
    </xf>
    <xf numFmtId="167" fontId="58" fillId="0" borderId="15" xfId="6" applyNumberFormat="1" applyFont="1" applyBorder="1"/>
    <xf numFmtId="167" fontId="58" fillId="0" borderId="0" xfId="6" applyNumberFormat="1" applyFont="1"/>
    <xf numFmtId="3" fontId="51" fillId="0" borderId="15" xfId="0" applyNumberFormat="1" applyFont="1" applyBorder="1" applyAlignment="1">
      <alignment vertical="center"/>
    </xf>
    <xf numFmtId="3" fontId="51" fillId="0" borderId="0" xfId="0" applyNumberFormat="1" applyFont="1" applyAlignment="1">
      <alignment vertical="center"/>
    </xf>
    <xf numFmtId="0" fontId="51" fillId="0" borderId="15" xfId="0" applyFont="1" applyBorder="1" applyAlignment="1">
      <alignment vertical="center"/>
    </xf>
    <xf numFmtId="0" fontId="51" fillId="0" borderId="0" xfId="0" applyFont="1" applyAlignment="1">
      <alignment vertical="center"/>
    </xf>
    <xf numFmtId="0" fontId="51" fillId="0" borderId="15" xfId="0" applyFont="1" applyBorder="1" applyAlignment="1">
      <alignment horizontal="right" vertical="center"/>
    </xf>
    <xf numFmtId="0" fontId="51" fillId="0" borderId="0" xfId="0" applyFont="1" applyAlignment="1">
      <alignment horizontal="right" vertical="center"/>
    </xf>
    <xf numFmtId="0" fontId="59" fillId="0" borderId="0" xfId="0" applyFont="1" applyAlignment="1">
      <alignment vertical="center"/>
    </xf>
    <xf numFmtId="0" fontId="42" fillId="0" borderId="0" xfId="0" applyFont="1" applyAlignment="1">
      <alignment horizontal="left" vertical="center" indent="3"/>
    </xf>
    <xf numFmtId="0" fontId="39" fillId="0" borderId="0" xfId="0" applyFont="1" applyAlignment="1">
      <alignment horizontal="left" vertical="center" indent="4"/>
    </xf>
    <xf numFmtId="0" fontId="42" fillId="0" borderId="0" xfId="0" applyFont="1" applyAlignment="1">
      <alignment horizontal="left" vertical="center" indent="6"/>
    </xf>
    <xf numFmtId="0" fontId="60" fillId="0" borderId="0" xfId="2" applyFont="1" applyFill="1" applyBorder="1" applyAlignment="1">
      <alignment horizontal="right" vertical="center"/>
    </xf>
    <xf numFmtId="0" fontId="61" fillId="0" borderId="0" xfId="0" applyFont="1"/>
    <xf numFmtId="0" fontId="43" fillId="0" borderId="0" xfId="0" applyFont="1"/>
    <xf numFmtId="0" fontId="50" fillId="0" borderId="0" xfId="0" applyFont="1"/>
    <xf numFmtId="0" fontId="48" fillId="0" borderId="0" xfId="0" applyFont="1"/>
    <xf numFmtId="3" fontId="48" fillId="0" borderId="22" xfId="0" applyNumberFormat="1" applyFont="1" applyBorder="1" applyAlignment="1">
      <alignment horizontal="right" vertical="center"/>
    </xf>
    <xf numFmtId="173" fontId="48" fillId="0" borderId="22" xfId="0" applyNumberFormat="1" applyFont="1" applyBorder="1" applyAlignment="1">
      <alignment horizontal="right" vertical="center"/>
    </xf>
    <xf numFmtId="3" fontId="48" fillId="0" borderId="21" xfId="0" applyNumberFormat="1" applyFont="1" applyBorder="1" applyAlignment="1">
      <alignment horizontal="right" vertical="center"/>
    </xf>
    <xf numFmtId="3" fontId="48" fillId="0" borderId="0" xfId="1" applyNumberFormat="1" applyFont="1" applyFill="1" applyBorder="1" applyAlignment="1">
      <alignment horizontal="right" vertical="center"/>
    </xf>
    <xf numFmtId="3" fontId="48" fillId="0" borderId="0" xfId="1" applyNumberFormat="1" applyFont="1" applyAlignment="1">
      <alignment horizontal="right" vertical="center"/>
    </xf>
    <xf numFmtId="167" fontId="58" fillId="0" borderId="15" xfId="6" applyNumberFormat="1" applyFont="1" applyBorder="1" applyAlignment="1">
      <alignment horizontal="center"/>
    </xf>
    <xf numFmtId="167" fontId="58" fillId="0" borderId="0" xfId="6" applyNumberFormat="1" applyFont="1" applyAlignment="1">
      <alignment horizontal="center"/>
    </xf>
    <xf numFmtId="3" fontId="51" fillId="0" borderId="0" xfId="1" applyNumberFormat="1" applyFont="1" applyFill="1" applyBorder="1" applyAlignment="1">
      <alignment horizontal="right" vertical="center"/>
    </xf>
    <xf numFmtId="3" fontId="51" fillId="0" borderId="0" xfId="1" applyNumberFormat="1" applyFont="1" applyAlignment="1">
      <alignment horizontal="right" vertical="center"/>
    </xf>
    <xf numFmtId="173" fontId="48" fillId="0" borderId="21" xfId="1" applyNumberFormat="1" applyFont="1" applyBorder="1" applyAlignment="1">
      <alignment horizontal="right" vertical="center"/>
    </xf>
    <xf numFmtId="173" fontId="48" fillId="0" borderId="21" xfId="1" applyNumberFormat="1" applyFont="1" applyFill="1" applyBorder="1" applyAlignment="1">
      <alignment horizontal="right" vertical="center"/>
    </xf>
    <xf numFmtId="173" fontId="51" fillId="0" borderId="0" xfId="1" applyNumberFormat="1" applyFont="1" applyAlignment="1">
      <alignment horizontal="right" vertical="center"/>
    </xf>
    <xf numFmtId="173" fontId="48" fillId="0" borderId="0" xfId="0" applyNumberFormat="1" applyFont="1" applyAlignment="1">
      <alignment horizontal="right" vertical="center"/>
    </xf>
    <xf numFmtId="173" fontId="48" fillId="0" borderId="21" xfId="0" applyNumberFormat="1" applyFont="1" applyBorder="1" applyAlignment="1">
      <alignment horizontal="right" vertical="center"/>
    </xf>
    <xf numFmtId="167" fontId="63" fillId="0" borderId="15" xfId="6" applyNumberFormat="1" applyFont="1" applyBorder="1"/>
    <xf numFmtId="167" fontId="48" fillId="0" borderId="21" xfId="0" applyNumberFormat="1" applyFont="1" applyBorder="1" applyAlignment="1">
      <alignment horizontal="right" vertical="center"/>
    </xf>
    <xf numFmtId="0" fontId="64" fillId="0" borderId="0" xfId="2" applyFont="1"/>
    <xf numFmtId="0" fontId="37" fillId="0" borderId="0" xfId="0" applyFont="1" applyAlignment="1">
      <alignment horizontal="center"/>
    </xf>
    <xf numFmtId="0" fontId="38" fillId="30" borderId="0" xfId="0" applyFont="1" applyFill="1"/>
    <xf numFmtId="0" fontId="41" fillId="0" borderId="0" xfId="0" applyFont="1"/>
    <xf numFmtId="0" fontId="47" fillId="30" borderId="0" xfId="0" applyFont="1" applyFill="1"/>
    <xf numFmtId="0" fontId="50" fillId="0" borderId="19" xfId="0" applyFont="1" applyBorder="1"/>
    <xf numFmtId="3" fontId="48" fillId="0" borderId="21" xfId="1" applyNumberFormat="1" applyFont="1" applyBorder="1" applyAlignment="1">
      <alignment horizontal="right" vertical="center"/>
    </xf>
    <xf numFmtId="167" fontId="51" fillId="0" borderId="0" xfId="0" applyNumberFormat="1" applyFont="1" applyAlignment="1">
      <alignment horizontal="right" vertical="center"/>
    </xf>
    <xf numFmtId="167" fontId="51" fillId="0" borderId="15" xfId="0" applyNumberFormat="1" applyFont="1" applyBorder="1" applyAlignment="1">
      <alignment horizontal="right" vertical="center"/>
    </xf>
    <xf numFmtId="167" fontId="51" fillId="0" borderId="0" xfId="1" applyNumberFormat="1" applyFont="1" applyAlignment="1">
      <alignment horizontal="right" vertical="center"/>
    </xf>
    <xf numFmtId="167" fontId="48" fillId="0" borderId="21" xfId="1" applyNumberFormat="1" applyFont="1" applyBorder="1" applyAlignment="1">
      <alignment horizontal="right" vertical="center"/>
    </xf>
    <xf numFmtId="167" fontId="48" fillId="0" borderId="0" xfId="1" applyNumberFormat="1" applyFont="1" applyAlignment="1">
      <alignment horizontal="right" vertical="center"/>
    </xf>
    <xf numFmtId="167" fontId="51" fillId="0" borderId="15" xfId="1" applyNumberFormat="1" applyFont="1" applyBorder="1" applyAlignment="1">
      <alignment horizontal="right" vertical="center"/>
    </xf>
    <xf numFmtId="167" fontId="51" fillId="0" borderId="0" xfId="1" applyNumberFormat="1" applyFont="1" applyFill="1" applyAlignment="1">
      <alignment horizontal="right" vertical="center"/>
    </xf>
    <xf numFmtId="167" fontId="51" fillId="0" borderId="15" xfId="1" applyNumberFormat="1" applyFont="1" applyFill="1" applyBorder="1" applyAlignment="1">
      <alignment horizontal="right" vertical="center"/>
    </xf>
    <xf numFmtId="167" fontId="48" fillId="0" borderId="22" xfId="0" applyNumberFormat="1" applyFont="1" applyBorder="1" applyAlignment="1">
      <alignment horizontal="right" vertical="center"/>
    </xf>
    <xf numFmtId="167" fontId="48" fillId="0" borderId="22" xfId="1" applyNumberFormat="1" applyFont="1" applyBorder="1" applyAlignment="1">
      <alignment horizontal="right" vertical="center"/>
    </xf>
    <xf numFmtId="167" fontId="48" fillId="0" borderId="22" xfId="1" applyNumberFormat="1" applyFont="1" applyFill="1" applyBorder="1" applyAlignment="1">
      <alignment horizontal="right" vertical="center"/>
    </xf>
    <xf numFmtId="0" fontId="64" fillId="0" borderId="0" xfId="2" applyFont="1" applyBorder="1"/>
    <xf numFmtId="0" fontId="39" fillId="29" borderId="0" xfId="0" applyFont="1" applyFill="1"/>
    <xf numFmtId="0" fontId="65" fillId="30" borderId="0" xfId="0" applyFont="1" applyFill="1" applyAlignment="1">
      <alignment horizontal="left" vertical="center"/>
    </xf>
    <xf numFmtId="0" fontId="44" fillId="30" borderId="0" xfId="0" applyFont="1" applyFill="1" applyAlignment="1">
      <alignment horizontal="right" vertical="center"/>
    </xf>
    <xf numFmtId="0" fontId="44" fillId="30" borderId="15" xfId="0" applyFont="1" applyFill="1" applyBorder="1" applyAlignment="1">
      <alignment horizontal="right" vertical="center"/>
    </xf>
    <xf numFmtId="3" fontId="44" fillId="0" borderId="0" xfId="0" applyNumberFormat="1" applyFont="1" applyAlignment="1">
      <alignment horizontal="right" vertical="center"/>
    </xf>
    <xf numFmtId="3" fontId="44" fillId="0" borderId="15" xfId="0" applyNumberFormat="1" applyFont="1" applyBorder="1" applyAlignment="1">
      <alignment horizontal="right" vertical="center"/>
    </xf>
    <xf numFmtId="0" fontId="39" fillId="0" borderId="16" xfId="0" applyFont="1" applyBorder="1"/>
    <xf numFmtId="0" fontId="44" fillId="0" borderId="16" xfId="0" applyFont="1" applyBorder="1"/>
    <xf numFmtId="0" fontId="44" fillId="0" borderId="16" xfId="0" applyFont="1" applyBorder="1" applyAlignment="1">
      <alignment horizontal="right" vertical="center"/>
    </xf>
    <xf numFmtId="0" fontId="44" fillId="0" borderId="17" xfId="0" applyFont="1" applyBorder="1" applyAlignment="1">
      <alignment horizontal="right" vertical="center"/>
    </xf>
    <xf numFmtId="3" fontId="44" fillId="0" borderId="16" xfId="0" applyNumberFormat="1" applyFont="1" applyBorder="1" applyAlignment="1">
      <alignment vertical="center"/>
    </xf>
    <xf numFmtId="0" fontId="66" fillId="4" borderId="0" xfId="0" applyFont="1" applyFill="1"/>
    <xf numFmtId="167" fontId="42" fillId="0" borderId="0" xfId="0" applyNumberFormat="1" applyFont="1" applyAlignment="1">
      <alignment horizontal="right" vertical="center"/>
    </xf>
    <xf numFmtId="0" fontId="67" fillId="4" borderId="0" xfId="0" applyFont="1" applyFill="1"/>
    <xf numFmtId="0" fontId="67" fillId="4" borderId="0" xfId="0" applyFont="1" applyFill="1" applyAlignment="1">
      <alignment horizontal="left" indent="4"/>
    </xf>
    <xf numFmtId="3" fontId="41" fillId="4" borderId="0" xfId="0" applyNumberFormat="1" applyFont="1" applyFill="1" applyAlignment="1">
      <alignment horizontal="right" vertical="center"/>
    </xf>
    <xf numFmtId="3" fontId="41" fillId="4" borderId="15" xfId="0" applyNumberFormat="1" applyFont="1" applyFill="1" applyBorder="1" applyAlignment="1">
      <alignment horizontal="right" vertical="center"/>
    </xf>
    <xf numFmtId="167" fontId="68" fillId="0" borderId="0" xfId="0" applyNumberFormat="1" applyFont="1" applyAlignment="1">
      <alignment vertical="center"/>
    </xf>
    <xf numFmtId="0" fontId="69" fillId="0" borderId="0" xfId="0" applyFont="1" applyAlignment="1">
      <alignment horizontal="left" wrapText="1"/>
    </xf>
    <xf numFmtId="167" fontId="68" fillId="0" borderId="0" xfId="0" applyNumberFormat="1" applyFont="1" applyAlignment="1">
      <alignment horizontal="right"/>
    </xf>
    <xf numFmtId="0" fontId="70" fillId="0" borderId="0" xfId="0" applyFont="1"/>
    <xf numFmtId="167" fontId="44" fillId="0" borderId="0" xfId="0" applyNumberFormat="1" applyFont="1" applyAlignment="1">
      <alignment vertical="center"/>
    </xf>
    <xf numFmtId="0" fontId="44" fillId="0" borderId="0" xfId="0" applyFont="1" applyAlignment="1">
      <alignment horizontal="left" indent="6"/>
    </xf>
    <xf numFmtId="3" fontId="44" fillId="0" borderId="0" xfId="0" applyNumberFormat="1" applyFont="1" applyAlignment="1">
      <alignment vertical="center"/>
    </xf>
    <xf numFmtId="0" fontId="71" fillId="0" borderId="0" xfId="0" applyFont="1" applyAlignment="1">
      <alignment horizontal="right" vertical="center"/>
    </xf>
    <xf numFmtId="0" fontId="71" fillId="0" borderId="15" xfId="0" applyFont="1" applyBorder="1" applyAlignment="1">
      <alignment horizontal="right" vertical="center"/>
    </xf>
    <xf numFmtId="0" fontId="39" fillId="2" borderId="21" xfId="0" applyFont="1" applyFill="1" applyBorder="1" applyAlignment="1">
      <alignment vertical="center"/>
    </xf>
    <xf numFmtId="167" fontId="62" fillId="2" borderId="21" xfId="6" applyNumberFormat="1" applyFont="1" applyFill="1" applyBorder="1"/>
    <xf numFmtId="167" fontId="62" fillId="2" borderId="22" xfId="6" applyNumberFormat="1" applyFont="1" applyFill="1" applyBorder="1"/>
    <xf numFmtId="0" fontId="57" fillId="0" borderId="0" xfId="0" applyFont="1" applyAlignment="1">
      <alignment horizontal="left" vertical="center" indent="4"/>
    </xf>
    <xf numFmtId="0" fontId="73" fillId="0" borderId="0" xfId="0" applyFont="1"/>
    <xf numFmtId="0" fontId="75" fillId="4" borderId="0" xfId="0" applyFont="1" applyFill="1" applyAlignment="1">
      <alignment horizontal="left" indent="2"/>
    </xf>
    <xf numFmtId="0" fontId="75" fillId="0" borderId="0" xfId="0" applyFont="1" applyAlignment="1">
      <alignment horizontal="left" indent="2"/>
    </xf>
    <xf numFmtId="0" fontId="75" fillId="0" borderId="0" xfId="0" applyFont="1" applyAlignment="1">
      <alignment horizontal="left" indent="6"/>
    </xf>
    <xf numFmtId="0" fontId="74" fillId="4" borderId="0" xfId="0" applyFont="1" applyFill="1" applyAlignment="1">
      <alignment horizontal="left"/>
    </xf>
    <xf numFmtId="0" fontId="75" fillId="0" borderId="0" xfId="0" applyFont="1"/>
    <xf numFmtId="0" fontId="76" fillId="4" borderId="0" xfId="0" applyFont="1" applyFill="1"/>
    <xf numFmtId="0" fontId="44" fillId="4" borderId="0" xfId="0" applyFont="1" applyFill="1" applyAlignment="1">
      <alignment horizontal="left" indent="4"/>
    </xf>
    <xf numFmtId="0" fontId="44" fillId="0" borderId="0" xfId="0" applyFont="1" applyAlignment="1">
      <alignment horizontal="left" indent="4"/>
    </xf>
    <xf numFmtId="0" fontId="77" fillId="0" borderId="33" xfId="0" applyFont="1" applyBorder="1"/>
    <xf numFmtId="0" fontId="77" fillId="0" borderId="34" xfId="0" applyFont="1" applyBorder="1"/>
    <xf numFmtId="0" fontId="78" fillId="0" borderId="0" xfId="0" applyFont="1"/>
    <xf numFmtId="0" fontId="42" fillId="4" borderId="0" xfId="0" applyFont="1" applyFill="1" applyAlignment="1">
      <alignment horizontal="left" indent="4"/>
    </xf>
    <xf numFmtId="10" fontId="42" fillId="4" borderId="15" xfId="1" applyNumberFormat="1" applyFont="1" applyFill="1" applyBorder="1" applyAlignment="1">
      <alignment horizontal="right" vertical="center"/>
    </xf>
    <xf numFmtId="10" fontId="42" fillId="4" borderId="0" xfId="1" applyNumberFormat="1" applyFont="1" applyFill="1" applyAlignment="1">
      <alignment horizontal="right" vertical="center"/>
    </xf>
    <xf numFmtId="10" fontId="42" fillId="4" borderId="0" xfId="1" applyNumberFormat="1" applyFont="1" applyFill="1" applyAlignment="1">
      <alignment vertical="center"/>
    </xf>
    <xf numFmtId="10" fontId="42" fillId="4" borderId="0" xfId="1" applyNumberFormat="1" applyFont="1" applyFill="1"/>
    <xf numFmtId="0" fontId="67" fillId="4" borderId="0" xfId="0" applyFont="1" applyFill="1" applyAlignment="1">
      <alignment horizontal="left" vertical="center"/>
    </xf>
    <xf numFmtId="3" fontId="41" fillId="4" borderId="0" xfId="0" applyNumberFormat="1" applyFont="1" applyFill="1" applyAlignment="1">
      <alignment horizontal="left" vertical="center"/>
    </xf>
    <xf numFmtId="3" fontId="41" fillId="4" borderId="15" xfId="0" applyNumberFormat="1" applyFont="1" applyFill="1" applyBorder="1" applyAlignment="1">
      <alignment horizontal="left" vertical="center"/>
    </xf>
    <xf numFmtId="167" fontId="68" fillId="0" borderId="0" xfId="0" applyNumberFormat="1" applyFont="1" applyAlignment="1">
      <alignment horizontal="left" vertical="center"/>
    </xf>
    <xf numFmtId="179" fontId="42" fillId="4" borderId="15" xfId="0" applyNumberFormat="1" applyFont="1" applyFill="1" applyBorder="1" applyAlignment="1">
      <alignment horizontal="right" vertical="center"/>
    </xf>
    <xf numFmtId="179" fontId="42" fillId="4" borderId="0" xfId="0" applyNumberFormat="1" applyFont="1" applyFill="1" applyAlignment="1">
      <alignment horizontal="right" vertical="center"/>
    </xf>
    <xf numFmtId="179" fontId="42" fillId="4" borderId="0" xfId="0" applyNumberFormat="1" applyFont="1" applyFill="1" applyAlignment="1">
      <alignment vertical="center"/>
    </xf>
    <xf numFmtId="179" fontId="42" fillId="4" borderId="0" xfId="0" applyNumberFormat="1" applyFont="1" applyFill="1"/>
    <xf numFmtId="0" fontId="77" fillId="0" borderId="0" xfId="0" applyFont="1"/>
    <xf numFmtId="0" fontId="79" fillId="0" borderId="0" xfId="0" applyFont="1"/>
    <xf numFmtId="0" fontId="54" fillId="0" borderId="15" xfId="3" applyFont="1" applyBorder="1" applyAlignment="1">
      <alignment horizontal="left" vertical="center"/>
    </xf>
    <xf numFmtId="0" fontId="39" fillId="29" borderId="16" xfId="0" applyFont="1" applyFill="1" applyBorder="1"/>
    <xf numFmtId="0" fontId="39" fillId="29" borderId="17" xfId="0" applyFont="1" applyFill="1" applyBorder="1" applyAlignment="1">
      <alignment horizontal="center" vertical="center"/>
    </xf>
    <xf numFmtId="0" fontId="42" fillId="0" borderId="0" xfId="0" applyFont="1"/>
    <xf numFmtId="14" fontId="37" fillId="0" borderId="18" xfId="0" applyNumberFormat="1" applyFont="1" applyBorder="1" applyAlignment="1">
      <alignment horizontal="right" vertical="center"/>
    </xf>
    <xf numFmtId="0" fontId="44" fillId="30" borderId="18" xfId="0" applyFont="1" applyFill="1" applyBorder="1" applyAlignment="1">
      <alignment horizontal="right" vertical="center"/>
    </xf>
    <xf numFmtId="3" fontId="44" fillId="0" borderId="18" xfId="0" applyNumberFormat="1" applyFont="1" applyBorder="1" applyAlignment="1">
      <alignment horizontal="right" vertical="center"/>
    </xf>
    <xf numFmtId="0" fontId="37" fillId="0" borderId="24" xfId="0" applyFont="1" applyBorder="1"/>
    <xf numFmtId="0" fontId="80" fillId="4" borderId="24" xfId="0" applyFont="1" applyFill="1" applyBorder="1" applyAlignment="1">
      <alignment horizontal="left"/>
    </xf>
    <xf numFmtId="0" fontId="55" fillId="4" borderId="24" xfId="0" applyFont="1" applyFill="1" applyBorder="1" applyAlignment="1">
      <alignment horizontal="left"/>
    </xf>
    <xf numFmtId="0" fontId="44" fillId="4" borderId="24" xfId="0" applyFont="1" applyFill="1" applyBorder="1"/>
    <xf numFmtId="0" fontId="44" fillId="4" borderId="24" xfId="0" applyFont="1" applyFill="1" applyBorder="1" applyAlignment="1">
      <alignment horizontal="right" vertical="center"/>
    </xf>
    <xf numFmtId="0" fontId="80" fillId="4" borderId="0" xfId="0" applyFont="1" applyFill="1" applyAlignment="1">
      <alignment horizontal="left"/>
    </xf>
    <xf numFmtId="0" fontId="55" fillId="4" borderId="0" xfId="0" applyFont="1" applyFill="1" applyAlignment="1">
      <alignment horizontal="left"/>
    </xf>
    <xf numFmtId="0" fontId="44" fillId="4" borderId="0" xfId="0" applyFont="1" applyFill="1"/>
    <xf numFmtId="0" fontId="44" fillId="4" borderId="0" xfId="0" applyFont="1" applyFill="1" applyAlignment="1">
      <alignment horizontal="right" vertical="center"/>
    </xf>
    <xf numFmtId="0" fontId="37" fillId="0" borderId="23" xfId="0" applyFont="1" applyBorder="1"/>
    <xf numFmtId="0" fontId="39" fillId="29" borderId="23" xfId="0" applyFont="1" applyFill="1" applyBorder="1" applyAlignment="1">
      <alignment vertical="center"/>
    </xf>
    <xf numFmtId="3" fontId="39" fillId="29" borderId="23" xfId="0" applyNumberFormat="1" applyFont="1" applyFill="1" applyBorder="1" applyAlignment="1">
      <alignment horizontal="right" vertical="center"/>
    </xf>
    <xf numFmtId="0" fontId="59" fillId="4" borderId="0" xfId="0" applyFont="1" applyFill="1" applyAlignment="1">
      <alignment horizontal="left"/>
    </xf>
    <xf numFmtId="0" fontId="81" fillId="0" borderId="19" xfId="0" applyFont="1" applyBorder="1" applyAlignment="1">
      <alignment vertical="center"/>
    </xf>
    <xf numFmtId="0" fontId="39" fillId="0" borderId="19" xfId="0" applyFont="1" applyBorder="1" applyAlignment="1">
      <alignment vertical="center"/>
    </xf>
    <xf numFmtId="0" fontId="39" fillId="4" borderId="0" xfId="0" applyFont="1" applyFill="1" applyAlignment="1">
      <alignment horizontal="left" indent="3"/>
    </xf>
    <xf numFmtId="0" fontId="44" fillId="0" borderId="15" xfId="0" applyFont="1" applyBorder="1"/>
    <xf numFmtId="0" fontId="44" fillId="0" borderId="18" xfId="0" applyFont="1" applyBorder="1"/>
    <xf numFmtId="0" fontId="37" fillId="0" borderId="15" xfId="0" applyFont="1" applyBorder="1"/>
    <xf numFmtId="0" fontId="37" fillId="0" borderId="0" xfId="0" applyFont="1" applyAlignment="1">
      <alignment horizontal="left" vertical="center"/>
    </xf>
    <xf numFmtId="0" fontId="37" fillId="29" borderId="23" xfId="0" applyFont="1" applyFill="1" applyBorder="1"/>
    <xf numFmtId="0" fontId="81" fillId="0" borderId="19" xfId="0" applyFont="1" applyBorder="1" applyAlignment="1">
      <alignment vertical="center" wrapText="1"/>
    </xf>
    <xf numFmtId="0" fontId="72" fillId="0" borderId="0" xfId="0" applyFont="1"/>
    <xf numFmtId="9" fontId="81" fillId="0" borderId="18" xfId="1" applyFont="1" applyBorder="1" applyAlignment="1">
      <alignment horizontal="right" vertical="center"/>
    </xf>
    <xf numFmtId="0" fontId="82" fillId="0" borderId="0" xfId="0" applyFont="1" applyAlignment="1">
      <alignment wrapText="1"/>
    </xf>
    <xf numFmtId="0" fontId="78" fillId="0" borderId="0" xfId="0" applyFont="1" applyAlignment="1">
      <alignment wrapText="1"/>
    </xf>
    <xf numFmtId="4" fontId="44" fillId="0" borderId="0" xfId="0" applyNumberFormat="1" applyFont="1"/>
    <xf numFmtId="4" fontId="44" fillId="0" borderId="18" xfId="1" applyNumberFormat="1" applyFont="1" applyBorder="1" applyAlignment="1">
      <alignment horizontal="right" vertical="center"/>
    </xf>
    <xf numFmtId="0" fontId="83" fillId="3" borderId="0" xfId="0" applyFont="1" applyFill="1"/>
    <xf numFmtId="4" fontId="83" fillId="3" borderId="0" xfId="0" applyNumberFormat="1" applyFont="1" applyFill="1"/>
    <xf numFmtId="10" fontId="83" fillId="3" borderId="18" xfId="1" applyNumberFormat="1" applyFont="1" applyFill="1" applyBorder="1" applyAlignment="1">
      <alignment horizontal="right" vertical="center"/>
    </xf>
    <xf numFmtId="0" fontId="84" fillId="0" borderId="0" xfId="0" applyFont="1"/>
    <xf numFmtId="0" fontId="84" fillId="0" borderId="0" xfId="0" applyFont="1" applyAlignment="1">
      <alignment horizontal="right" vertical="center"/>
    </xf>
    <xf numFmtId="0" fontId="84" fillId="0" borderId="0" xfId="0" applyFont="1" applyAlignment="1">
      <alignment horizontal="center"/>
    </xf>
    <xf numFmtId="0" fontId="81" fillId="0" borderId="0" xfId="0" applyFont="1"/>
    <xf numFmtId="0" fontId="81" fillId="0" borderId="15" xfId="0" applyFont="1" applyBorder="1"/>
    <xf numFmtId="0" fontId="81" fillId="0" borderId="0" xfId="0" applyFont="1" applyAlignment="1">
      <alignment horizontal="right" vertical="center"/>
    </xf>
    <xf numFmtId="0" fontId="44" fillId="0" borderId="0" xfId="0" applyFont="1" applyAlignment="1">
      <alignment horizontal="left" indent="2"/>
    </xf>
    <xf numFmtId="0" fontId="85" fillId="0" borderId="0" xfId="0" applyFont="1"/>
    <xf numFmtId="0" fontId="85" fillId="0" borderId="0" xfId="0" applyFont="1" applyAlignment="1">
      <alignment wrapText="1"/>
    </xf>
    <xf numFmtId="0" fontId="44" fillId="0" borderId="0" xfId="0" applyFont="1" applyAlignment="1">
      <alignment vertical="center" wrapText="1"/>
    </xf>
    <xf numFmtId="0" fontId="44" fillId="0" borderId="15" xfId="0" applyFont="1" applyBorder="1" applyAlignment="1">
      <alignment vertical="center"/>
    </xf>
    <xf numFmtId="0" fontId="44" fillId="0" borderId="0" xfId="0" applyFont="1" applyAlignment="1">
      <alignment wrapText="1"/>
    </xf>
    <xf numFmtId="0" fontId="37" fillId="0" borderId="0" xfId="0" applyFont="1" applyAlignment="1">
      <alignment horizontal="right" vertical="center" wrapText="1"/>
    </xf>
    <xf numFmtId="0" fontId="37" fillId="0" borderId="15" xfId="0" applyFont="1" applyBorder="1" applyAlignment="1">
      <alignment horizontal="right" vertical="center" wrapText="1"/>
    </xf>
    <xf numFmtId="0" fontId="85" fillId="4" borderId="0" xfId="0" applyFont="1" applyFill="1" applyAlignment="1">
      <alignment wrapText="1"/>
    </xf>
    <xf numFmtId="0" fontId="39" fillId="0" borderId="23" xfId="0" applyFont="1" applyBorder="1" applyAlignment="1">
      <alignment vertical="center"/>
    </xf>
    <xf numFmtId="0" fontId="44" fillId="0" borderId="0" xfId="0" applyFont="1" applyAlignment="1">
      <alignment horizontal="right"/>
    </xf>
    <xf numFmtId="0" fontId="44" fillId="0" borderId="15" xfId="0" applyFont="1" applyBorder="1" applyAlignment="1">
      <alignment horizontal="right"/>
    </xf>
    <xf numFmtId="0" fontId="44" fillId="3" borderId="0" xfId="0" applyFont="1" applyFill="1"/>
    <xf numFmtId="164" fontId="44" fillId="3" borderId="0" xfId="0" applyNumberFormat="1" applyFont="1" applyFill="1" applyAlignment="1">
      <alignment horizontal="right"/>
    </xf>
    <xf numFmtId="164" fontId="44" fillId="3" borderId="15" xfId="0" applyNumberFormat="1" applyFont="1" applyFill="1" applyBorder="1" applyAlignment="1">
      <alignment horizontal="right"/>
    </xf>
    <xf numFmtId="0" fontId="44" fillId="3" borderId="0" xfId="0" applyFont="1" applyFill="1" applyAlignment="1">
      <alignment horizontal="right"/>
    </xf>
    <xf numFmtId="0" fontId="44" fillId="0" borderId="33" xfId="0" applyFont="1" applyBorder="1" applyAlignment="1">
      <alignment wrapText="1"/>
    </xf>
    <xf numFmtId="0" fontId="44" fillId="0" borderId="33" xfId="0" applyFont="1" applyBorder="1"/>
    <xf numFmtId="3" fontId="45" fillId="0" borderId="33" xfId="0" applyNumberFormat="1" applyFont="1" applyBorder="1" applyAlignment="1">
      <alignment vertical="center"/>
    </xf>
    <xf numFmtId="3" fontId="45" fillId="0" borderId="33" xfId="0" applyNumberFormat="1" applyFont="1" applyBorder="1" applyAlignment="1">
      <alignment horizontal="right" vertical="center"/>
    </xf>
    <xf numFmtId="0" fontId="44" fillId="0" borderId="34" xfId="0" applyFont="1" applyBorder="1" applyAlignment="1">
      <alignment wrapText="1"/>
    </xf>
    <xf numFmtId="0" fontId="44" fillId="0" borderId="34" xfId="0" applyFont="1" applyBorder="1"/>
    <xf numFmtId="3" fontId="45" fillId="0" borderId="34" xfId="0" applyNumberFormat="1" applyFont="1" applyBorder="1" applyAlignment="1">
      <alignment vertical="center"/>
    </xf>
    <xf numFmtId="3" fontId="45" fillId="0" borderId="34" xfId="0" applyNumberFormat="1" applyFont="1" applyBorder="1" applyAlignment="1">
      <alignment horizontal="right" vertical="center"/>
    </xf>
    <xf numFmtId="3" fontId="45" fillId="0" borderId="35" xfId="0" applyNumberFormat="1" applyFont="1" applyBorder="1" applyAlignment="1">
      <alignment vertical="center"/>
    </xf>
    <xf numFmtId="3" fontId="45" fillId="0" borderId="0" xfId="0" applyNumberFormat="1" applyFont="1" applyAlignment="1">
      <alignment vertical="center"/>
    </xf>
    <xf numFmtId="3" fontId="45" fillId="0" borderId="0" xfId="0" applyNumberFormat="1" applyFont="1" applyAlignment="1">
      <alignment horizontal="right" vertical="center"/>
    </xf>
    <xf numFmtId="0" fontId="87" fillId="4" borderId="0" xfId="0" applyFont="1" applyFill="1" applyAlignment="1">
      <alignment wrapText="1"/>
    </xf>
    <xf numFmtId="10" fontId="45" fillId="0" borderId="34" xfId="1" applyNumberFormat="1" applyFont="1" applyBorder="1" applyAlignment="1">
      <alignment vertical="center"/>
    </xf>
    <xf numFmtId="10" fontId="45" fillId="0" borderId="34" xfId="1" applyNumberFormat="1" applyFont="1" applyBorder="1" applyAlignment="1">
      <alignment horizontal="right" vertical="center"/>
    </xf>
    <xf numFmtId="0" fontId="87" fillId="0" borderId="0" xfId="0" applyFont="1" applyAlignment="1">
      <alignment wrapText="1"/>
    </xf>
    <xf numFmtId="0" fontId="37" fillId="0" borderId="0" xfId="0" applyFont="1" applyAlignment="1">
      <alignment wrapText="1"/>
    </xf>
    <xf numFmtId="0" fontId="81" fillId="0" borderId="0" xfId="0" applyFont="1" applyAlignment="1">
      <alignment vertical="center" wrapText="1"/>
    </xf>
    <xf numFmtId="3" fontId="39" fillId="0" borderId="0" xfId="0" applyNumberFormat="1" applyFont="1" applyAlignment="1">
      <alignment horizontal="right" vertical="center"/>
    </xf>
    <xf numFmtId="0" fontId="88" fillId="4" borderId="0" xfId="0" applyFont="1" applyFill="1" applyAlignment="1">
      <alignment wrapText="1"/>
    </xf>
    <xf numFmtId="0" fontId="42" fillId="0" borderId="0" xfId="0" applyFont="1" applyAlignment="1">
      <alignment horizontal="left" indent="6"/>
    </xf>
    <xf numFmtId="177" fontId="42" fillId="0" borderId="0" xfId="0" applyNumberFormat="1" applyFont="1"/>
    <xf numFmtId="177" fontId="42" fillId="0" borderId="15" xfId="0" applyNumberFormat="1" applyFont="1" applyBorder="1"/>
    <xf numFmtId="177" fontId="42" fillId="0" borderId="0" xfId="0" applyNumberFormat="1" applyFont="1" applyAlignment="1">
      <alignment horizontal="right" vertical="center"/>
    </xf>
    <xf numFmtId="0" fontId="42" fillId="0" borderId="36" xfId="0" applyFont="1" applyBorder="1" applyAlignment="1">
      <alignment horizontal="left" indent="6"/>
    </xf>
    <xf numFmtId="0" fontId="42" fillId="0" borderId="36" xfId="0" applyFont="1" applyBorder="1"/>
    <xf numFmtId="177" fontId="42" fillId="0" borderId="36" xfId="0" applyNumberFormat="1" applyFont="1" applyBorder="1"/>
    <xf numFmtId="177" fontId="42" fillId="0" borderId="36" xfId="0" applyNumberFormat="1" applyFont="1" applyBorder="1" applyAlignment="1">
      <alignment horizontal="right" vertical="center"/>
    </xf>
    <xf numFmtId="0" fontId="42" fillId="0" borderId="34" xfId="0" applyFont="1" applyBorder="1" applyAlignment="1">
      <alignment horizontal="left" indent="6"/>
    </xf>
    <xf numFmtId="0" fontId="42" fillId="0" borderId="34" xfId="0" applyFont="1" applyBorder="1"/>
    <xf numFmtId="177" fontId="42" fillId="0" borderId="34" xfId="0" applyNumberFormat="1" applyFont="1" applyBorder="1"/>
    <xf numFmtId="0" fontId="42" fillId="0" borderId="36" xfId="0" applyFont="1" applyBorder="1" applyAlignment="1">
      <alignment horizontal="left" indent="3"/>
    </xf>
    <xf numFmtId="0" fontId="42" fillId="0" borderId="34" xfId="0" applyFont="1" applyBorder="1" applyAlignment="1">
      <alignment horizontal="left" indent="3"/>
    </xf>
    <xf numFmtId="2" fontId="37" fillId="0" borderId="0" xfId="0" applyNumberFormat="1" applyFont="1"/>
    <xf numFmtId="171" fontId="39" fillId="29" borderId="17" xfId="0" applyNumberFormat="1" applyFont="1" applyFill="1" applyBorder="1" applyAlignment="1">
      <alignment horizontal="center" vertical="center"/>
    </xf>
    <xf numFmtId="171" fontId="39" fillId="29" borderId="16" xfId="0" applyNumberFormat="1" applyFont="1" applyFill="1" applyBorder="1" applyAlignment="1">
      <alignment horizontal="center" vertical="center"/>
    </xf>
    <xf numFmtId="0" fontId="39" fillId="29" borderId="0" xfId="0" applyFont="1" applyFill="1" applyAlignment="1">
      <alignment horizontal="left"/>
    </xf>
    <xf numFmtId="0" fontId="89" fillId="4" borderId="0" xfId="0" applyFont="1" applyFill="1" applyAlignment="1">
      <alignment horizontal="left" vertical="center"/>
    </xf>
    <xf numFmtId="0" fontId="39" fillId="0" borderId="21" xfId="0" applyFont="1" applyBorder="1" applyAlignment="1">
      <alignment vertical="center" wrapText="1"/>
    </xf>
    <xf numFmtId="0" fontId="57" fillId="0" borderId="0" xfId="0" applyFont="1" applyAlignment="1">
      <alignment horizontal="left" vertical="center" wrapText="1" indent="4"/>
    </xf>
    <xf numFmtId="0" fontId="39" fillId="2" borderId="21" xfId="0" applyFont="1" applyFill="1" applyBorder="1" applyAlignment="1">
      <alignment vertical="center" wrapText="1"/>
    </xf>
    <xf numFmtId="0" fontId="53" fillId="0" borderId="19" xfId="0" applyFont="1" applyBorder="1" applyAlignment="1">
      <alignment horizontal="left"/>
    </xf>
    <xf numFmtId="0" fontId="39" fillId="4" borderId="0" xfId="0" applyFont="1" applyFill="1" applyAlignment="1">
      <alignment horizontal="left" wrapText="1" indent="3"/>
    </xf>
    <xf numFmtId="0" fontId="44" fillId="0" borderId="0" xfId="0" applyFont="1" applyAlignment="1">
      <alignment horizontal="left" vertical="center" wrapText="1"/>
    </xf>
    <xf numFmtId="0" fontId="90" fillId="0" borderId="0" xfId="0" applyFont="1"/>
    <xf numFmtId="182" fontId="40" fillId="4" borderId="17" xfId="0" applyNumberFormat="1" applyFont="1" applyFill="1" applyBorder="1" applyAlignment="1">
      <alignment horizontal="right" vertical="center"/>
    </xf>
    <xf numFmtId="183" fontId="57" fillId="0" borderId="0" xfId="0" applyNumberFormat="1" applyFont="1" applyAlignment="1">
      <alignment horizontal="left" vertical="center" indent="3"/>
    </xf>
    <xf numFmtId="0" fontId="57" fillId="0" borderId="0" xfId="0" applyFont="1" applyAlignment="1">
      <alignment horizontal="left" vertical="center" indent="3"/>
    </xf>
    <xf numFmtId="167" fontId="68" fillId="0" borderId="0" xfId="6" applyNumberFormat="1" applyFont="1"/>
    <xf numFmtId="167" fontId="68" fillId="0" borderId="15" xfId="6" applyNumberFormat="1" applyFont="1" applyBorder="1"/>
    <xf numFmtId="0" fontId="57" fillId="0" borderId="0" xfId="0" applyFont="1" applyAlignment="1">
      <alignment horizontal="left" vertical="center" wrapText="1" indent="3"/>
    </xf>
    <xf numFmtId="167" fontId="57" fillId="0" borderId="0" xfId="6" applyNumberFormat="1" applyFont="1" applyAlignment="1">
      <alignment horizontal="left" wrapText="1" indent="4"/>
    </xf>
    <xf numFmtId="167" fontId="57" fillId="0" borderId="0" xfId="6" applyNumberFormat="1" applyFont="1" applyAlignment="1">
      <alignment wrapText="1"/>
    </xf>
    <xf numFmtId="0" fontId="68" fillId="0" borderId="0" xfId="0" applyFont="1" applyAlignment="1">
      <alignment horizontal="left" vertical="center" wrapText="1" indent="3"/>
    </xf>
    <xf numFmtId="0" fontId="44" fillId="0" borderId="0" xfId="0" applyFont="1" applyAlignment="1">
      <alignment horizontal="left" indent="3"/>
    </xf>
    <xf numFmtId="0" fontId="92" fillId="0" borderId="0" xfId="0" applyFont="1"/>
    <xf numFmtId="0" fontId="93" fillId="0" borderId="0" xfId="0" applyFont="1" applyAlignment="1">
      <alignment vertical="center" wrapText="1"/>
    </xf>
    <xf numFmtId="0" fontId="93" fillId="0" borderId="0" xfId="0" applyFont="1" applyAlignment="1">
      <alignment horizontal="left" vertical="center" wrapText="1"/>
    </xf>
    <xf numFmtId="0" fontId="33" fillId="0" borderId="0" xfId="0" applyFont="1"/>
    <xf numFmtId="0" fontId="39" fillId="0" borderId="0" xfId="0" applyFont="1" applyAlignment="1">
      <alignment horizontal="left" vertical="center" indent="2"/>
    </xf>
    <xf numFmtId="0" fontId="41" fillId="0" borderId="46" xfId="0" applyFont="1" applyBorder="1" applyAlignment="1">
      <alignment horizontal="left"/>
    </xf>
    <xf numFmtId="0" fontId="37" fillId="0" borderId="47" xfId="0" applyFont="1" applyBorder="1"/>
    <xf numFmtId="0" fontId="41" fillId="0" borderId="49" xfId="0" applyFont="1" applyBorder="1" applyAlignment="1">
      <alignment horizontal="left"/>
    </xf>
    <xf numFmtId="10" fontId="44" fillId="0" borderId="49" xfId="0" applyNumberFormat="1" applyFont="1" applyBorder="1"/>
    <xf numFmtId="9" fontId="44" fillId="0" borderId="49" xfId="0" applyNumberFormat="1" applyFont="1" applyBorder="1"/>
    <xf numFmtId="0" fontId="41" fillId="0" borderId="50" xfId="0" applyFont="1" applyBorder="1" applyAlignment="1">
      <alignment horizontal="left"/>
    </xf>
    <xf numFmtId="10" fontId="44" fillId="0" borderId="50" xfId="0" applyNumberFormat="1" applyFont="1" applyBorder="1"/>
    <xf numFmtId="0" fontId="41" fillId="0" borderId="0" xfId="0" applyFont="1" applyAlignment="1">
      <alignment horizontal="left"/>
    </xf>
    <xf numFmtId="10" fontId="44" fillId="0" borderId="0" xfId="0" applyNumberFormat="1" applyFont="1"/>
    <xf numFmtId="2" fontId="81" fillId="0" borderId="0" xfId="0" applyNumberFormat="1" applyFont="1" applyAlignment="1">
      <alignment horizontal="right" vertical="center"/>
    </xf>
    <xf numFmtId="2" fontId="44" fillId="0" borderId="0" xfId="0" applyNumberFormat="1" applyFont="1" applyAlignment="1">
      <alignment horizontal="right" vertical="center"/>
    </xf>
    <xf numFmtId="9" fontId="44" fillId="0" borderId="0" xfId="0" applyNumberFormat="1" applyFont="1" applyAlignment="1">
      <alignment horizontal="right" vertical="center"/>
    </xf>
    <xf numFmtId="10" fontId="44" fillId="3" borderId="15" xfId="0" applyNumberFormat="1" applyFont="1" applyFill="1" applyBorder="1" applyAlignment="1">
      <alignment horizontal="right"/>
    </xf>
    <xf numFmtId="4" fontId="45" fillId="0" borderId="34" xfId="0" applyNumberFormat="1" applyFont="1" applyBorder="1" applyAlignment="1">
      <alignment vertical="center"/>
    </xf>
    <xf numFmtId="4" fontId="45" fillId="0" borderId="34" xfId="0" applyNumberFormat="1" applyFont="1" applyBorder="1" applyAlignment="1">
      <alignment horizontal="right" vertical="center"/>
    </xf>
    <xf numFmtId="176" fontId="45" fillId="0" borderId="33" xfId="0" applyNumberFormat="1" applyFont="1" applyBorder="1" applyAlignment="1">
      <alignment vertical="center"/>
    </xf>
    <xf numFmtId="176" fontId="45" fillId="0" borderId="33" xfId="0" applyNumberFormat="1" applyFont="1" applyBorder="1" applyAlignment="1">
      <alignment horizontal="right" vertical="center"/>
    </xf>
    <xf numFmtId="4" fontId="45" fillId="0" borderId="33" xfId="0" applyNumberFormat="1" applyFont="1" applyBorder="1" applyAlignment="1">
      <alignment horizontal="right" vertical="center"/>
    </xf>
    <xf numFmtId="0" fontId="44" fillId="0" borderId="34" xfId="0" applyFont="1" applyBorder="1" applyAlignment="1">
      <alignment horizontal="right" wrapText="1"/>
    </xf>
    <xf numFmtId="2" fontId="42" fillId="0" borderId="0" xfId="0" applyNumberFormat="1" applyFont="1" applyAlignment="1">
      <alignment horizontal="right" vertical="center"/>
    </xf>
    <xf numFmtId="2" fontId="42" fillId="0" borderId="34" xfId="0" applyNumberFormat="1" applyFont="1" applyBorder="1" applyAlignment="1">
      <alignment horizontal="right" vertical="center"/>
    </xf>
    <xf numFmtId="1" fontId="42" fillId="0" borderId="36" xfId="0" applyNumberFormat="1" applyFont="1" applyBorder="1" applyAlignment="1">
      <alignment horizontal="right" vertical="center"/>
    </xf>
    <xf numFmtId="2" fontId="42" fillId="0" borderId="34" xfId="0" applyNumberFormat="1" applyFont="1" applyBorder="1"/>
    <xf numFmtId="0" fontId="39" fillId="4" borderId="0" xfId="0" quotePrefix="1" applyFont="1" applyFill="1" applyAlignment="1">
      <alignment horizontal="left" indent="3"/>
    </xf>
    <xf numFmtId="182" fontId="49" fillId="4" borderId="17" xfId="0" applyNumberFormat="1" applyFont="1" applyFill="1" applyBorder="1" applyAlignment="1">
      <alignment horizontal="right" vertical="center"/>
    </xf>
    <xf numFmtId="182" fontId="49" fillId="4" borderId="16" xfId="0" applyNumberFormat="1" applyFont="1" applyFill="1" applyBorder="1" applyAlignment="1">
      <alignment horizontal="right" vertical="center"/>
    </xf>
    <xf numFmtId="0" fontId="98" fillId="0" borderId="0" xfId="0" applyFont="1"/>
    <xf numFmtId="0" fontId="99" fillId="0" borderId="0" xfId="0" applyFont="1" applyAlignment="1">
      <alignment horizontal="left"/>
    </xf>
    <xf numFmtId="0" fontId="100" fillId="0" borderId="15" xfId="0" applyFont="1" applyBorder="1" applyAlignment="1">
      <alignment horizontal="right" vertical="center"/>
    </xf>
    <xf numFmtId="0" fontId="100" fillId="0" borderId="0" xfId="0" applyFont="1" applyAlignment="1">
      <alignment horizontal="right" vertical="center"/>
    </xf>
    <xf numFmtId="167" fontId="63" fillId="2" borderId="22" xfId="6" applyNumberFormat="1" applyFont="1" applyFill="1" applyBorder="1"/>
    <xf numFmtId="167" fontId="63" fillId="2" borderId="21" xfId="6" applyNumberFormat="1" applyFont="1" applyFill="1" applyBorder="1"/>
    <xf numFmtId="167" fontId="63" fillId="0" borderId="0" xfId="6" applyNumberFormat="1" applyFont="1"/>
    <xf numFmtId="166" fontId="46" fillId="0" borderId="0" xfId="0" applyNumberFormat="1" applyFont="1"/>
    <xf numFmtId="0" fontId="46" fillId="30" borderId="0" xfId="0" applyFont="1" applyFill="1" applyAlignment="1">
      <alignment horizontal="right" vertical="center"/>
    </xf>
    <xf numFmtId="0" fontId="46" fillId="30" borderId="15" xfId="0" applyFont="1" applyFill="1" applyBorder="1" applyAlignment="1">
      <alignment horizontal="right" vertical="center"/>
    </xf>
    <xf numFmtId="3" fontId="46" fillId="0" borderId="0" xfId="0" applyNumberFormat="1" applyFont="1" applyAlignment="1">
      <alignment horizontal="right" vertical="center"/>
    </xf>
    <xf numFmtId="3" fontId="46" fillId="0" borderId="15" xfId="0" applyNumberFormat="1" applyFont="1" applyBorder="1" applyAlignment="1">
      <alignment horizontal="right" vertical="center"/>
    </xf>
    <xf numFmtId="0" fontId="46" fillId="0" borderId="16" xfId="0" applyFont="1" applyBorder="1"/>
    <xf numFmtId="0" fontId="46" fillId="0" borderId="16" xfId="0" applyFont="1" applyBorder="1" applyAlignment="1">
      <alignment horizontal="right" vertical="center"/>
    </xf>
    <xf numFmtId="0" fontId="46" fillId="0" borderId="17" xfId="0" applyFont="1" applyBorder="1" applyAlignment="1">
      <alignment horizontal="right" vertical="center"/>
    </xf>
    <xf numFmtId="3" fontId="46" fillId="0" borderId="16" xfId="0" applyNumberFormat="1" applyFont="1" applyBorder="1" applyAlignment="1">
      <alignment vertical="center"/>
    </xf>
    <xf numFmtId="3" fontId="46" fillId="0" borderId="0" xfId="0" applyNumberFormat="1" applyFont="1" applyAlignment="1">
      <alignment vertical="center"/>
    </xf>
    <xf numFmtId="0" fontId="46" fillId="0" borderId="0" xfId="0" applyFont="1" applyAlignment="1">
      <alignment vertical="center"/>
    </xf>
    <xf numFmtId="166" fontId="48" fillId="0" borderId="0" xfId="0" applyNumberFormat="1" applyFont="1" applyAlignment="1">
      <alignment horizontal="right"/>
    </xf>
    <xf numFmtId="166" fontId="7" fillId="0" borderId="0" xfId="0" applyNumberFormat="1" applyFont="1" applyAlignment="1">
      <alignment horizontal="right"/>
    </xf>
    <xf numFmtId="166" fontId="48" fillId="2" borderId="21" xfId="1" applyNumberFormat="1" applyFont="1" applyFill="1" applyBorder="1" applyAlignment="1">
      <alignment horizontal="right" vertical="center"/>
    </xf>
    <xf numFmtId="14" fontId="101" fillId="0" borderId="0" xfId="0" applyNumberFormat="1" applyFont="1" applyAlignment="1">
      <alignment horizontal="right" vertical="center"/>
    </xf>
    <xf numFmtId="166" fontId="51" fillId="4" borderId="15" xfId="0" applyNumberFormat="1" applyFont="1" applyFill="1" applyBorder="1" applyAlignment="1">
      <alignment horizontal="right" vertical="center"/>
    </xf>
    <xf numFmtId="166" fontId="51" fillId="4" borderId="0" xfId="0" applyNumberFormat="1" applyFont="1" applyFill="1" applyAlignment="1">
      <alignment horizontal="right" vertical="center"/>
    </xf>
    <xf numFmtId="166" fontId="51" fillId="4" borderId="0" xfId="0" applyNumberFormat="1" applyFont="1" applyFill="1" applyAlignment="1">
      <alignment vertical="center"/>
    </xf>
    <xf numFmtId="166" fontId="48" fillId="0" borderId="21" xfId="1" applyNumberFormat="1" applyFont="1" applyFill="1" applyBorder="1" applyAlignment="1">
      <alignment horizontal="right" vertical="center"/>
    </xf>
    <xf numFmtId="166" fontId="48" fillId="0" borderId="0" xfId="1" applyNumberFormat="1" applyFont="1" applyFill="1" applyBorder="1" applyAlignment="1">
      <alignment horizontal="right" vertical="center"/>
    </xf>
    <xf numFmtId="166" fontId="48" fillId="4" borderId="0" xfId="0" applyNumberFormat="1" applyFont="1" applyFill="1" applyAlignment="1">
      <alignment horizontal="right" vertical="center"/>
    </xf>
    <xf numFmtId="166" fontId="51" fillId="0" borderId="0" xfId="0" applyNumberFormat="1" applyFont="1" applyAlignment="1">
      <alignment horizontal="right"/>
    </xf>
    <xf numFmtId="166" fontId="48" fillId="0" borderId="22" xfId="1" applyNumberFormat="1" applyFont="1" applyFill="1" applyBorder="1" applyAlignment="1">
      <alignment horizontal="right" vertical="center"/>
    </xf>
    <xf numFmtId="166" fontId="51" fillId="0" borderId="0" xfId="0" applyNumberFormat="1" applyFont="1" applyAlignment="1">
      <alignment vertical="center"/>
    </xf>
    <xf numFmtId="166" fontId="48" fillId="0" borderId="22" xfId="1" applyNumberFormat="1" applyFont="1" applyBorder="1" applyAlignment="1">
      <alignment horizontal="right" vertical="center"/>
    </xf>
    <xf numFmtId="166" fontId="48" fillId="0" borderId="21" xfId="1" applyNumberFormat="1" applyFont="1" applyBorder="1" applyAlignment="1">
      <alignment horizontal="right" vertical="center"/>
    </xf>
    <xf numFmtId="166" fontId="51" fillId="0" borderId="0" xfId="0" applyNumberFormat="1" applyFont="1"/>
    <xf numFmtId="166" fontId="51" fillId="0" borderId="0" xfId="1" applyNumberFormat="1" applyFont="1" applyFill="1" applyBorder="1" applyAlignment="1">
      <alignment horizontal="right" vertical="center"/>
    </xf>
    <xf numFmtId="175" fontId="51" fillId="0" borderId="0" xfId="1" applyNumberFormat="1" applyFont="1" applyBorder="1" applyAlignment="1">
      <alignment horizontal="right" vertical="center"/>
    </xf>
    <xf numFmtId="176" fontId="51" fillId="0" borderId="0" xfId="1" applyNumberFormat="1" applyFont="1" applyFill="1" applyAlignment="1">
      <alignment horizontal="center" vertical="center"/>
    </xf>
    <xf numFmtId="176" fontId="51" fillId="0" borderId="0" xfId="1" applyNumberFormat="1" applyFont="1" applyAlignment="1">
      <alignment horizontal="center" vertical="center"/>
    </xf>
    <xf numFmtId="164" fontId="48" fillId="2" borderId="22" xfId="1" applyNumberFormat="1" applyFont="1" applyFill="1" applyBorder="1" applyAlignment="1">
      <alignment horizontal="right" vertical="center"/>
    </xf>
    <xf numFmtId="164" fontId="48" fillId="2" borderId="21" xfId="1" applyNumberFormat="1" applyFont="1" applyFill="1" applyBorder="1" applyAlignment="1">
      <alignment horizontal="right" vertical="center"/>
    </xf>
    <xf numFmtId="10" fontId="46" fillId="0" borderId="0" xfId="0" applyNumberFormat="1" applyFont="1"/>
    <xf numFmtId="164" fontId="51" fillId="0" borderId="0" xfId="1" applyNumberFormat="1" applyFont="1" applyFill="1" applyBorder="1" applyAlignment="1">
      <alignment horizontal="right" vertical="center"/>
    </xf>
    <xf numFmtId="174" fontId="48" fillId="2" borderId="22" xfId="1" applyNumberFormat="1" applyFont="1" applyFill="1" applyBorder="1" applyAlignment="1">
      <alignment horizontal="right" vertical="center"/>
    </xf>
    <xf numFmtId="174" fontId="48" fillId="2" borderId="21" xfId="1" applyNumberFormat="1" applyFont="1" applyFill="1" applyBorder="1" applyAlignment="1">
      <alignment horizontal="right" vertical="center"/>
    </xf>
    <xf numFmtId="166" fontId="46" fillId="0" borderId="15" xfId="0" applyNumberFormat="1" applyFont="1" applyBorder="1" applyAlignment="1">
      <alignment horizontal="right" vertical="center"/>
    </xf>
    <xf numFmtId="166" fontId="46" fillId="0" borderId="0" xfId="0" applyNumberFormat="1" applyFont="1" applyAlignment="1">
      <alignment horizontal="right" vertical="center"/>
    </xf>
    <xf numFmtId="174" fontId="46" fillId="0" borderId="0" xfId="0" applyNumberFormat="1" applyFont="1" applyAlignment="1">
      <alignment horizontal="right" vertical="center"/>
    </xf>
    <xf numFmtId="174" fontId="46" fillId="0" borderId="15" xfId="0" applyNumberFormat="1" applyFont="1" applyBorder="1" applyAlignment="1">
      <alignment horizontal="right" vertical="center"/>
    </xf>
    <xf numFmtId="164" fontId="69" fillId="0" borderId="33" xfId="1" applyNumberFormat="1" applyFont="1" applyBorder="1" applyAlignment="1">
      <alignment horizontal="right" vertical="center"/>
    </xf>
    <xf numFmtId="164" fontId="69" fillId="0" borderId="33" xfId="1" applyNumberFormat="1" applyFont="1" applyFill="1" applyBorder="1" applyAlignment="1">
      <alignment horizontal="right" vertical="center"/>
    </xf>
    <xf numFmtId="164" fontId="69" fillId="0" borderId="34" xfId="1" applyNumberFormat="1" applyFont="1" applyBorder="1" applyAlignment="1">
      <alignment horizontal="right" vertical="center"/>
    </xf>
    <xf numFmtId="10" fontId="69" fillId="0" borderId="34" xfId="1" applyNumberFormat="1" applyFont="1" applyBorder="1" applyAlignment="1">
      <alignment horizontal="right" vertical="center"/>
    </xf>
    <xf numFmtId="10" fontId="69" fillId="0" borderId="34" xfId="1" applyNumberFormat="1" applyFont="1" applyFill="1" applyBorder="1" applyAlignment="1">
      <alignment horizontal="right" vertical="center"/>
    </xf>
    <xf numFmtId="178" fontId="69" fillId="0" borderId="34" xfId="1" applyNumberFormat="1" applyFont="1" applyBorder="1" applyAlignment="1">
      <alignment horizontal="right" vertical="center"/>
    </xf>
    <xf numFmtId="178" fontId="69" fillId="0" borderId="34" xfId="1" applyNumberFormat="1" applyFont="1" applyFill="1" applyBorder="1" applyAlignment="1">
      <alignment horizontal="right" vertical="center"/>
    </xf>
    <xf numFmtId="166" fontId="48" fillId="0" borderId="0" xfId="1" applyNumberFormat="1" applyFont="1" applyBorder="1" applyAlignment="1">
      <alignment horizontal="right" vertical="center"/>
    </xf>
    <xf numFmtId="166" fontId="48" fillId="0" borderId="21" xfId="0" applyNumberFormat="1" applyFont="1" applyBorder="1" applyAlignment="1">
      <alignment horizontal="right" vertical="center"/>
    </xf>
    <xf numFmtId="0" fontId="37" fillId="0" borderId="0" xfId="0" applyFont="1" applyAlignment="1">
      <alignment horizontal="center" vertical="center"/>
    </xf>
    <xf numFmtId="0" fontId="102" fillId="0" borderId="0" xfId="0" applyFont="1" applyAlignment="1">
      <alignment horizontal="center" vertical="center"/>
    </xf>
    <xf numFmtId="14" fontId="102" fillId="0" borderId="52" xfId="0" applyNumberFormat="1" applyFont="1" applyBorder="1" applyAlignment="1">
      <alignment horizontal="center" vertical="center"/>
    </xf>
    <xf numFmtId="4" fontId="103" fillId="0" borderId="52" xfId="0" applyNumberFormat="1" applyFont="1" applyBorder="1" applyAlignment="1">
      <alignment horizontal="center" vertical="center"/>
    </xf>
    <xf numFmtId="10" fontId="61" fillId="33" borderId="0" xfId="1" applyNumberFormat="1" applyFont="1" applyFill="1" applyAlignment="1">
      <alignment horizontal="center" vertical="center"/>
    </xf>
    <xf numFmtId="14" fontId="102" fillId="0" borderId="0" xfId="0" applyNumberFormat="1" applyFont="1" applyAlignment="1">
      <alignment horizontal="center" vertical="center"/>
    </xf>
    <xf numFmtId="3" fontId="48" fillId="2" borderId="47" xfId="0" applyNumberFormat="1" applyFont="1" applyFill="1" applyBorder="1" applyAlignment="1">
      <alignment horizontal="right" vertical="center"/>
    </xf>
    <xf numFmtId="167" fontId="48" fillId="2" borderId="53" xfId="0" applyNumberFormat="1" applyFont="1" applyFill="1" applyBorder="1" applyAlignment="1">
      <alignment horizontal="right" vertical="center"/>
    </xf>
    <xf numFmtId="3" fontId="48" fillId="2" borderId="53" xfId="0" applyNumberFormat="1" applyFont="1" applyFill="1" applyBorder="1" applyAlignment="1">
      <alignment horizontal="right" vertical="center"/>
    </xf>
    <xf numFmtId="3" fontId="43" fillId="0" borderId="53" xfId="0" applyNumberFormat="1" applyFont="1" applyBorder="1" applyAlignment="1">
      <alignment horizontal="right" vertical="center"/>
    </xf>
    <xf numFmtId="3" fontId="48" fillId="0" borderId="53" xfId="0" applyNumberFormat="1" applyFont="1" applyBorder="1" applyAlignment="1">
      <alignment horizontal="right" vertical="center"/>
    </xf>
    <xf numFmtId="0" fontId="44" fillId="0" borderId="47" xfId="0" applyFont="1" applyBorder="1"/>
    <xf numFmtId="0" fontId="43" fillId="0" borderId="47" xfId="0" applyFont="1" applyBorder="1"/>
    <xf numFmtId="4" fontId="35" fillId="0" borderId="25" xfId="0" applyNumberFormat="1" applyFont="1" applyBorder="1" applyAlignment="1">
      <alignment horizontal="center" vertical="center"/>
    </xf>
    <xf numFmtId="3" fontId="91" fillId="4" borderId="15" xfId="0" applyNumberFormat="1" applyFont="1" applyFill="1" applyBorder="1" applyAlignment="1">
      <alignment horizontal="right" vertical="center"/>
    </xf>
    <xf numFmtId="3" fontId="91" fillId="4" borderId="0" xfId="0" applyNumberFormat="1" applyFont="1" applyFill="1" applyAlignment="1">
      <alignment horizontal="right" vertical="center"/>
    </xf>
    <xf numFmtId="0" fontId="104" fillId="0" borderId="0" xfId="0" applyFont="1"/>
    <xf numFmtId="167" fontId="91" fillId="2" borderId="21" xfId="6" applyNumberFormat="1" applyFont="1" applyFill="1" applyBorder="1"/>
    <xf numFmtId="0" fontId="68" fillId="0" borderId="0" xfId="0" applyFont="1"/>
    <xf numFmtId="49" fontId="42" fillId="0" borderId="0" xfId="0" applyNumberFormat="1" applyFont="1" applyAlignment="1">
      <alignment horizontal="center" vertical="center"/>
    </xf>
    <xf numFmtId="2" fontId="39" fillId="28" borderId="57" xfId="0" applyNumberFormat="1" applyFont="1" applyFill="1" applyBorder="1" applyAlignment="1">
      <alignment horizontal="center" vertical="center"/>
    </xf>
    <xf numFmtId="0" fontId="42" fillId="0" borderId="0" xfId="0" applyFont="1" applyAlignment="1">
      <alignment horizontal="center" vertical="center"/>
    </xf>
    <xf numFmtId="14" fontId="44" fillId="0" borderId="15" xfId="0" applyNumberFormat="1" applyFont="1" applyBorder="1" applyAlignment="1">
      <alignment horizontal="right" vertical="center"/>
    </xf>
    <xf numFmtId="14" fontId="44" fillId="0" borderId="0" xfId="0" applyNumberFormat="1" applyFont="1" applyAlignment="1">
      <alignment horizontal="right" vertical="center"/>
    </xf>
    <xf numFmtId="0" fontId="77" fillId="0" borderId="0" xfId="0" applyFont="1" applyAlignment="1">
      <alignment horizontal="left"/>
    </xf>
    <xf numFmtId="0" fontId="39" fillId="28" borderId="21" xfId="0" applyFont="1" applyFill="1" applyBorder="1"/>
    <xf numFmtId="0" fontId="44" fillId="0" borderId="0" xfId="0" applyFont="1" applyAlignment="1">
      <alignment horizontal="center"/>
    </xf>
    <xf numFmtId="167" fontId="7" fillId="0" borderId="0" xfId="6" applyNumberFormat="1"/>
    <xf numFmtId="3" fontId="105" fillId="0" borderId="0" xfId="0" applyNumberFormat="1" applyFont="1" applyAlignment="1">
      <alignment horizontal="right" vertical="center"/>
    </xf>
    <xf numFmtId="167" fontId="105" fillId="2" borderId="21" xfId="6" applyNumberFormat="1" applyFont="1" applyFill="1" applyBorder="1"/>
    <xf numFmtId="167" fontId="105" fillId="0" borderId="0" xfId="6" applyNumberFormat="1" applyFont="1"/>
    <xf numFmtId="166" fontId="105" fillId="0" borderId="0" xfId="0" applyNumberFormat="1" applyFont="1" applyAlignment="1">
      <alignment horizontal="right"/>
    </xf>
    <xf numFmtId="166" fontId="105" fillId="2" borderId="21" xfId="1" applyNumberFormat="1" applyFont="1" applyFill="1" applyBorder="1" applyAlignment="1">
      <alignment horizontal="right" vertical="center"/>
    </xf>
    <xf numFmtId="3" fontId="7" fillId="0" borderId="0" xfId="0" applyNumberFormat="1" applyFont="1" applyAlignment="1">
      <alignment horizontal="right" vertical="center"/>
    </xf>
    <xf numFmtId="3" fontId="105" fillId="0" borderId="19" xfId="0" applyNumberFormat="1" applyFont="1" applyBorder="1" applyAlignment="1">
      <alignment horizontal="right" vertical="center"/>
    </xf>
    <xf numFmtId="3" fontId="48" fillId="2" borderId="58" xfId="0" applyNumberFormat="1" applyFont="1" applyFill="1" applyBorder="1" applyAlignment="1">
      <alignment horizontal="right" vertical="center"/>
    </xf>
    <xf numFmtId="0" fontId="55" fillId="0" borderId="0" xfId="0" applyFont="1"/>
    <xf numFmtId="0" fontId="41" fillId="0" borderId="0" xfId="0" applyFont="1" applyAlignment="1">
      <alignment horizontal="right" vertical="center"/>
    </xf>
    <xf numFmtId="0" fontId="41" fillId="0" borderId="0" xfId="0" applyFont="1" applyAlignment="1">
      <alignment horizontal="center"/>
    </xf>
    <xf numFmtId="3" fontId="44" fillId="0" borderId="0" xfId="0" applyNumberFormat="1" applyFont="1" applyAlignment="1">
      <alignment horizontal="center" vertical="center"/>
    </xf>
    <xf numFmtId="3" fontId="48" fillId="2" borderId="59" xfId="0" applyNumberFormat="1" applyFont="1" applyFill="1" applyBorder="1" applyAlignment="1">
      <alignment horizontal="right" vertical="center"/>
    </xf>
    <xf numFmtId="3" fontId="81" fillId="0" borderId="61" xfId="0" applyNumberFormat="1" applyFont="1" applyBorder="1" applyAlignment="1">
      <alignment horizontal="left" vertical="center"/>
    </xf>
    <xf numFmtId="0" fontId="81" fillId="0" borderId="49" xfId="0" applyFont="1" applyBorder="1" applyAlignment="1">
      <alignment horizontal="left" vertical="center"/>
    </xf>
    <xf numFmtId="0" fontId="39" fillId="4" borderId="49" xfId="0" applyFont="1" applyFill="1" applyBorder="1" applyAlignment="1">
      <alignment horizontal="center" vertical="center"/>
    </xf>
    <xf numFmtId="0" fontId="39" fillId="4" borderId="45" xfId="0" applyFont="1" applyFill="1" applyBorder="1" applyAlignment="1">
      <alignment horizontal="center" vertical="center"/>
    </xf>
    <xf numFmtId="0" fontId="39" fillId="4" borderId="63" xfId="0" quotePrefix="1" applyFont="1" applyFill="1" applyBorder="1" applyAlignment="1">
      <alignment horizontal="center" vertical="center"/>
    </xf>
    <xf numFmtId="0" fontId="39" fillId="4" borderId="0" xfId="0" applyFont="1" applyFill="1" applyAlignment="1">
      <alignment horizontal="center" vertical="center"/>
    </xf>
    <xf numFmtId="0" fontId="39" fillId="4" borderId="49" xfId="0" quotePrefix="1" applyFont="1" applyFill="1" applyBorder="1" applyAlignment="1">
      <alignment horizontal="center" vertical="center"/>
    </xf>
    <xf numFmtId="0" fontId="37" fillId="0" borderId="49" xfId="0" applyFont="1" applyBorder="1"/>
    <xf numFmtId="9" fontId="44" fillId="0" borderId="49" xfId="0" applyNumberFormat="1" applyFont="1" applyBorder="1" applyAlignment="1">
      <alignment horizontal="right"/>
    </xf>
    <xf numFmtId="9" fontId="44" fillId="0" borderId="50" xfId="0" applyNumberFormat="1" applyFont="1" applyBorder="1" applyAlignment="1">
      <alignment horizontal="right"/>
    </xf>
    <xf numFmtId="10" fontId="44" fillId="0" borderId="62" xfId="0" applyNumberFormat="1" applyFont="1" applyBorder="1"/>
    <xf numFmtId="0" fontId="106" fillId="0" borderId="0" xfId="0" applyFont="1" applyAlignment="1">
      <alignment horizontal="right" vertical="center"/>
    </xf>
    <xf numFmtId="0" fontId="107" fillId="0" borderId="0" xfId="0" applyFont="1" applyAlignment="1">
      <alignment horizontal="right" vertical="center"/>
    </xf>
    <xf numFmtId="10" fontId="107" fillId="34" borderId="0" xfId="0" applyNumberFormat="1" applyFont="1" applyFill="1" applyAlignment="1">
      <alignment horizontal="right" vertical="center"/>
    </xf>
    <xf numFmtId="0" fontId="107" fillId="0" borderId="0" xfId="0" applyFont="1" applyAlignment="1">
      <alignment horizontal="right"/>
    </xf>
    <xf numFmtId="0" fontId="86" fillId="0" borderId="0" xfId="0" applyFont="1" applyAlignment="1">
      <alignment vertical="center" wrapText="1"/>
    </xf>
    <xf numFmtId="0" fontId="107" fillId="34" borderId="0" xfId="0" applyFont="1" applyFill="1" applyAlignment="1">
      <alignment horizontal="right"/>
    </xf>
    <xf numFmtId="0" fontId="107" fillId="0" borderId="0" xfId="0" applyFont="1"/>
    <xf numFmtId="0" fontId="107" fillId="34" borderId="0" xfId="0" applyFont="1" applyFill="1"/>
    <xf numFmtId="3" fontId="108" fillId="0" borderId="64" xfId="0" applyNumberFormat="1" applyFont="1" applyBorder="1" applyAlignment="1">
      <alignment horizontal="right" vertical="center"/>
    </xf>
    <xf numFmtId="3" fontId="108" fillId="0" borderId="65" xfId="0" applyNumberFormat="1" applyFont="1" applyBorder="1" applyAlignment="1">
      <alignment horizontal="right" vertical="center"/>
    </xf>
    <xf numFmtId="0" fontId="108" fillId="0" borderId="65" xfId="0" applyFont="1" applyBorder="1" applyAlignment="1">
      <alignment horizontal="right" vertical="center"/>
    </xf>
    <xf numFmtId="0" fontId="108" fillId="0" borderId="64" xfId="0" applyFont="1" applyBorder="1" applyAlignment="1">
      <alignment horizontal="right" vertical="center"/>
    </xf>
    <xf numFmtId="10" fontId="108" fillId="0" borderId="65" xfId="0" applyNumberFormat="1" applyFont="1" applyBorder="1" applyAlignment="1">
      <alignment vertical="center"/>
    </xf>
    <xf numFmtId="0" fontId="87" fillId="0" borderId="0" xfId="0" applyFont="1" applyAlignment="1">
      <alignment vertical="center" wrapText="1"/>
    </xf>
    <xf numFmtId="0" fontId="87" fillId="0" borderId="0" xfId="0" applyFont="1" applyAlignment="1">
      <alignment vertical="top" wrapText="1"/>
    </xf>
    <xf numFmtId="3" fontId="45" fillId="0" borderId="0" xfId="0" applyNumberFormat="1" applyFont="1" applyAlignment="1">
      <alignment horizontal="right" vertical="center" wrapText="1"/>
    </xf>
    <xf numFmtId="176" fontId="45" fillId="0" borderId="0" xfId="0" applyNumberFormat="1" applyFont="1" applyAlignment="1">
      <alignment horizontal="right" vertical="center"/>
    </xf>
    <xf numFmtId="0" fontId="42" fillId="0" borderId="0" xfId="0" applyFont="1" applyAlignment="1">
      <alignment horizontal="right" vertical="center"/>
    </xf>
    <xf numFmtId="0" fontId="42" fillId="0" borderId="66" xfId="0" applyFont="1" applyBorder="1" applyAlignment="1">
      <alignment horizontal="right" vertical="center"/>
    </xf>
    <xf numFmtId="0" fontId="42" fillId="0" borderId="65" xfId="0" applyFont="1" applyBorder="1" applyAlignment="1">
      <alignment horizontal="right" vertical="center"/>
    </xf>
    <xf numFmtId="0" fontId="109" fillId="0" borderId="0" xfId="0" applyFont="1"/>
    <xf numFmtId="0" fontId="110" fillId="4" borderId="0" xfId="0" applyFont="1" applyFill="1"/>
    <xf numFmtId="0" fontId="111" fillId="0" borderId="0" xfId="0" applyFont="1"/>
    <xf numFmtId="3" fontId="48" fillId="2" borderId="67" xfId="0" applyNumberFormat="1" applyFont="1" applyFill="1" applyBorder="1" applyAlignment="1">
      <alignment horizontal="right" vertical="center"/>
    </xf>
    <xf numFmtId="166" fontId="105" fillId="0" borderId="28" xfId="0" applyNumberFormat="1" applyFont="1" applyBorder="1" applyAlignment="1">
      <alignment horizontal="right"/>
    </xf>
    <xf numFmtId="4" fontId="35" fillId="0" borderId="56" xfId="0" applyNumberFormat="1" applyFont="1" applyBorder="1" applyAlignment="1">
      <alignment horizontal="right" vertical="center"/>
    </xf>
    <xf numFmtId="4" fontId="35" fillId="4" borderId="68" xfId="0" applyNumberFormat="1" applyFont="1" applyFill="1" applyBorder="1" applyAlignment="1">
      <alignment horizontal="right" vertical="center"/>
    </xf>
    <xf numFmtId="0" fontId="68" fillId="0" borderId="0" xfId="0" applyFont="1" applyAlignment="1">
      <alignment horizontal="left" indent="3"/>
    </xf>
    <xf numFmtId="167" fontId="7" fillId="0" borderId="15" xfId="6" applyNumberFormat="1" applyBorder="1"/>
    <xf numFmtId="3" fontId="48" fillId="2" borderId="69" xfId="0" applyNumberFormat="1" applyFont="1" applyFill="1" applyBorder="1" applyAlignment="1">
      <alignment horizontal="right" vertical="center"/>
    </xf>
    <xf numFmtId="14" fontId="102" fillId="0" borderId="70" xfId="0" applyNumberFormat="1" applyFont="1" applyBorder="1" applyAlignment="1">
      <alignment horizontal="center" vertical="center"/>
    </xf>
    <xf numFmtId="0" fontId="32" fillId="0" borderId="0" xfId="0" applyFont="1" applyAlignment="1">
      <alignment horizontal="left" vertical="center"/>
    </xf>
    <xf numFmtId="0" fontId="37" fillId="0" borderId="0" xfId="0" applyFont="1" applyAlignment="1">
      <alignment horizontal="left" vertical="top" wrapText="1"/>
    </xf>
    <xf numFmtId="0" fontId="86" fillId="0" borderId="0" xfId="0" applyFont="1" applyAlignment="1">
      <alignment horizontal="center" vertical="center" wrapText="1"/>
    </xf>
    <xf numFmtId="4" fontId="44" fillId="0" borderId="71" xfId="1" applyNumberFormat="1" applyFont="1" applyBorder="1" applyAlignment="1">
      <alignment horizontal="right" vertical="center"/>
    </xf>
    <xf numFmtId="10" fontId="83" fillId="3" borderId="71" xfId="1" applyNumberFormat="1" applyFont="1" applyFill="1" applyBorder="1" applyAlignment="1">
      <alignment horizontal="right" vertical="center"/>
    </xf>
    <xf numFmtId="4" fontId="44" fillId="0" borderId="15" xfId="1" applyNumberFormat="1" applyFont="1" applyBorder="1" applyAlignment="1">
      <alignment horizontal="right" vertical="center"/>
    </xf>
    <xf numFmtId="10" fontId="83" fillId="3" borderId="15" xfId="1" applyNumberFormat="1" applyFont="1" applyFill="1" applyBorder="1" applyAlignment="1">
      <alignment horizontal="right" vertical="center"/>
    </xf>
    <xf numFmtId="4" fontId="44" fillId="0" borderId="0" xfId="1" applyNumberFormat="1" applyFont="1" applyBorder="1" applyAlignment="1">
      <alignment horizontal="right" vertical="center"/>
    </xf>
    <xf numFmtId="10" fontId="83" fillId="3" borderId="0" xfId="1" applyNumberFormat="1" applyFont="1" applyFill="1" applyBorder="1" applyAlignment="1">
      <alignment horizontal="right" vertical="center"/>
    </xf>
    <xf numFmtId="3" fontId="42" fillId="0" borderId="0" xfId="0" applyNumberFormat="1" applyFont="1" applyAlignment="1">
      <alignment horizontal="right" vertical="center"/>
    </xf>
    <xf numFmtId="4" fontId="42" fillId="0" borderId="0" xfId="0" applyNumberFormat="1" applyFont="1" applyAlignment="1">
      <alignment horizontal="right" vertical="center"/>
    </xf>
    <xf numFmtId="9" fontId="107" fillId="0" borderId="0" xfId="0" applyNumberFormat="1" applyFont="1" applyAlignment="1">
      <alignment horizontal="right" vertical="center"/>
    </xf>
    <xf numFmtId="10" fontId="107" fillId="0" borderId="0" xfId="0" applyNumberFormat="1" applyFont="1" applyAlignment="1">
      <alignment horizontal="right" vertical="center"/>
    </xf>
    <xf numFmtId="10" fontId="81" fillId="0" borderId="18" xfId="1" applyNumberFormat="1" applyFont="1" applyFill="1" applyBorder="1" applyAlignment="1">
      <alignment horizontal="right" vertical="center"/>
    </xf>
    <xf numFmtId="2" fontId="44" fillId="3" borderId="0" xfId="0" applyNumberFormat="1" applyFont="1" applyFill="1"/>
    <xf numFmtId="1" fontId="44" fillId="0" borderId="0" xfId="0" applyNumberFormat="1" applyFont="1" applyAlignment="1">
      <alignment horizontal="right" vertical="center"/>
    </xf>
    <xf numFmtId="10" fontId="44" fillId="0" borderId="0" xfId="1" applyNumberFormat="1" applyFont="1"/>
    <xf numFmtId="3" fontId="44" fillId="0" borderId="34" xfId="0" applyNumberFormat="1" applyFont="1" applyBorder="1" applyAlignment="1">
      <alignment vertical="center"/>
    </xf>
    <xf numFmtId="3" fontId="44" fillId="0" borderId="72" xfId="0" applyNumberFormat="1" applyFont="1" applyBorder="1" applyAlignment="1">
      <alignment vertical="center"/>
    </xf>
    <xf numFmtId="10" fontId="45" fillId="0" borderId="34" xfId="1" applyNumberFormat="1" applyFont="1" applyFill="1" applyBorder="1" applyAlignment="1">
      <alignment horizontal="right" vertical="center"/>
    </xf>
    <xf numFmtId="2" fontId="44" fillId="0" borderId="34" xfId="0" applyNumberFormat="1" applyFont="1" applyBorder="1" applyAlignment="1">
      <alignment wrapText="1"/>
    </xf>
    <xf numFmtId="9" fontId="44" fillId="35" borderId="73" xfId="0" applyNumberFormat="1" applyFont="1" applyFill="1" applyBorder="1"/>
    <xf numFmtId="10" fontId="44" fillId="35" borderId="49" xfId="0" applyNumberFormat="1" applyFont="1" applyFill="1" applyBorder="1"/>
    <xf numFmtId="10" fontId="44" fillId="35" borderId="73" xfId="0" applyNumberFormat="1" applyFont="1" applyFill="1" applyBorder="1"/>
    <xf numFmtId="10" fontId="44" fillId="35" borderId="61" xfId="0" applyNumberFormat="1" applyFont="1" applyFill="1" applyBorder="1"/>
    <xf numFmtId="10" fontId="44" fillId="35" borderId="50" xfId="0" applyNumberFormat="1" applyFont="1" applyFill="1" applyBorder="1"/>
    <xf numFmtId="0" fontId="39" fillId="35" borderId="49" xfId="0" applyFont="1" applyFill="1" applyBorder="1" applyAlignment="1">
      <alignment horizontal="center" vertical="center"/>
    </xf>
    <xf numFmtId="0" fontId="39" fillId="35" borderId="0" xfId="0" applyFont="1" applyFill="1" applyAlignment="1">
      <alignment horizontal="center" vertical="center"/>
    </xf>
    <xf numFmtId="0" fontId="39" fillId="35" borderId="49" xfId="0" quotePrefix="1" applyFont="1" applyFill="1" applyBorder="1" applyAlignment="1">
      <alignment horizontal="center" vertical="center"/>
    </xf>
    <xf numFmtId="4" fontId="45" fillId="0" borderId="0" xfId="0" applyNumberFormat="1" applyFont="1" applyAlignment="1">
      <alignment horizontal="right" vertical="center"/>
    </xf>
    <xf numFmtId="1" fontId="46" fillId="0" borderId="0" xfId="0" applyNumberFormat="1" applyFont="1"/>
    <xf numFmtId="167" fontId="112" fillId="0" borderId="0" xfId="90" applyNumberFormat="1" applyFont="1" applyFill="1" applyBorder="1" applyAlignment="1">
      <alignment horizontal="right" vertical="center"/>
    </xf>
    <xf numFmtId="167" fontId="113" fillId="0" borderId="62" xfId="90" applyNumberFormat="1" applyFont="1" applyFill="1" applyBorder="1" applyAlignment="1">
      <alignment horizontal="right" vertical="top"/>
    </xf>
    <xf numFmtId="167" fontId="113" fillId="0" borderId="0" xfId="90" applyNumberFormat="1" applyFont="1" applyFill="1" applyAlignment="1">
      <alignment horizontal="center" wrapText="1"/>
    </xf>
    <xf numFmtId="167" fontId="113" fillId="0" borderId="0" xfId="90" applyNumberFormat="1" applyFont="1" applyFill="1" applyBorder="1" applyAlignment="1">
      <alignment horizontal="right" vertical="top"/>
    </xf>
    <xf numFmtId="167" fontId="51" fillId="0" borderId="0" xfId="0" applyNumberFormat="1" applyFont="1"/>
    <xf numFmtId="167" fontId="46" fillId="0" borderId="0" xfId="0" applyNumberFormat="1" applyFont="1"/>
    <xf numFmtId="167" fontId="48" fillId="0" borderId="0" xfId="0" applyNumberFormat="1" applyFont="1"/>
    <xf numFmtId="167" fontId="50" fillId="0" borderId="0" xfId="0" applyNumberFormat="1" applyFont="1" applyAlignment="1">
      <alignment vertical="center"/>
    </xf>
    <xf numFmtId="166" fontId="44" fillId="0" borderId="0" xfId="0" applyNumberFormat="1" applyFont="1"/>
    <xf numFmtId="166" fontId="37" fillId="0" borderId="0" xfId="0" applyNumberFormat="1" applyFont="1"/>
    <xf numFmtId="166" fontId="62" fillId="2" borderId="22" xfId="6" applyNumberFormat="1" applyFont="1" applyFill="1" applyBorder="1"/>
    <xf numFmtId="167" fontId="42" fillId="4" borderId="0" xfId="0" applyNumberFormat="1" applyFont="1" applyFill="1" applyAlignment="1">
      <alignment horizontal="right" vertical="center"/>
    </xf>
    <xf numFmtId="167" fontId="44" fillId="4" borderId="0" xfId="0" applyNumberFormat="1" applyFont="1" applyFill="1" applyAlignment="1">
      <alignment horizontal="right" vertical="center"/>
    </xf>
    <xf numFmtId="167" fontId="44" fillId="0" borderId="0" xfId="0" applyNumberFormat="1" applyFont="1" applyAlignment="1">
      <alignment horizontal="right" vertical="center"/>
    </xf>
    <xf numFmtId="2" fontId="81" fillId="4" borderId="0" xfId="0" applyNumberFormat="1" applyFont="1" applyFill="1" applyAlignment="1">
      <alignment horizontal="right" vertical="center"/>
    </xf>
    <xf numFmtId="4" fontId="42" fillId="4" borderId="0" xfId="0" applyNumberFormat="1" applyFont="1" applyFill="1" applyAlignment="1">
      <alignment horizontal="right" vertical="center"/>
    </xf>
    <xf numFmtId="1" fontId="44" fillId="0" borderId="0" xfId="0" applyNumberFormat="1" applyFont="1"/>
    <xf numFmtId="177" fontId="68" fillId="0" borderId="36" xfId="0" applyNumberFormat="1" applyFont="1" applyBorder="1" applyAlignment="1">
      <alignment horizontal="right" vertical="center"/>
    </xf>
    <xf numFmtId="177" fontId="68" fillId="0" borderId="34" xfId="0" applyNumberFormat="1" applyFont="1" applyBorder="1" applyAlignment="1">
      <alignment horizontal="right" vertical="center"/>
    </xf>
    <xf numFmtId="0" fontId="44" fillId="35" borderId="5" xfId="0" applyFont="1" applyFill="1" applyBorder="1" applyAlignment="1">
      <alignment horizontal="center" vertical="center" wrapText="1"/>
    </xf>
    <xf numFmtId="0" fontId="39" fillId="0" borderId="46" xfId="0" applyFont="1" applyBorder="1" applyAlignment="1">
      <alignment horizontal="center" vertical="center"/>
    </xf>
    <xf numFmtId="0" fontId="39" fillId="0" borderId="60" xfId="0" applyFont="1" applyBorder="1" applyAlignment="1">
      <alignment horizontal="center" vertical="center"/>
    </xf>
    <xf numFmtId="0" fontId="39" fillId="0" borderId="48" xfId="0" applyFont="1" applyBorder="1" applyAlignment="1">
      <alignment horizontal="center" vertical="center"/>
    </xf>
    <xf numFmtId="0" fontId="39" fillId="0" borderId="61" xfId="0" applyFont="1" applyBorder="1" applyAlignment="1">
      <alignment horizontal="center" vertical="center"/>
    </xf>
    <xf numFmtId="0" fontId="39" fillId="0" borderId="62" xfId="0" applyFont="1" applyBorder="1" applyAlignment="1">
      <alignment horizontal="center" vertical="center"/>
    </xf>
    <xf numFmtId="0" fontId="39" fillId="0" borderId="51" xfId="0" applyFont="1" applyBorder="1" applyAlignment="1">
      <alignment horizontal="center" vertical="center"/>
    </xf>
    <xf numFmtId="3" fontId="44" fillId="0" borderId="45" xfId="0" applyNumberFormat="1" applyFont="1" applyBorder="1" applyAlignment="1">
      <alignment horizontal="center" vertical="center"/>
    </xf>
    <xf numFmtId="3" fontId="44" fillId="0" borderId="0" xfId="0" applyNumberFormat="1" applyFont="1" applyAlignment="1">
      <alignment horizontal="center" vertical="center"/>
    </xf>
    <xf numFmtId="0" fontId="0" fillId="0" borderId="0" xfId="0" applyAlignment="1">
      <alignment horizontal="left" vertical="center" wrapText="1"/>
    </xf>
    <xf numFmtId="0" fontId="39" fillId="35" borderId="46" xfId="0" applyFont="1" applyFill="1" applyBorder="1" applyAlignment="1">
      <alignment horizontal="center" vertical="center"/>
    </xf>
    <xf numFmtId="0" fontId="39" fillId="35" borderId="69" xfId="0" applyFont="1" applyFill="1" applyBorder="1" applyAlignment="1">
      <alignment horizontal="center" vertical="center"/>
    </xf>
    <xf numFmtId="0" fontId="39" fillId="35" borderId="48" xfId="0" applyFont="1" applyFill="1" applyBorder="1" applyAlignment="1">
      <alignment horizontal="center" vertical="center"/>
    </xf>
    <xf numFmtId="0" fontId="39" fillId="35" borderId="61" xfId="0" applyFont="1" applyFill="1" applyBorder="1" applyAlignment="1">
      <alignment horizontal="center" vertical="center"/>
    </xf>
    <xf numFmtId="0" fontId="39" fillId="35" borderId="62" xfId="0" applyFont="1" applyFill="1" applyBorder="1" applyAlignment="1">
      <alignment horizontal="center" vertical="center"/>
    </xf>
    <xf numFmtId="0" fontId="39" fillId="35" borderId="51" xfId="0" applyFont="1" applyFill="1" applyBorder="1" applyAlignment="1">
      <alignment horizontal="center" vertical="center"/>
    </xf>
    <xf numFmtId="0" fontId="81" fillId="0" borderId="19" xfId="0" applyFont="1" applyBorder="1" applyAlignment="1">
      <alignment horizontal="left" vertical="center" wrapText="1"/>
    </xf>
    <xf numFmtId="0" fontId="114" fillId="28" borderId="0" xfId="0" applyFont="1" applyFill="1" applyAlignment="1">
      <alignment horizontal="left" vertical="top" wrapText="1"/>
    </xf>
    <xf numFmtId="0" fontId="107" fillId="28" borderId="0" xfId="0" applyFont="1" applyFill="1" applyAlignment="1">
      <alignment horizontal="left" vertical="top" wrapText="1"/>
    </xf>
    <xf numFmtId="0" fontId="44" fillId="35" borderId="5" xfId="0" applyFont="1" applyFill="1" applyBorder="1" applyAlignment="1">
      <alignment horizontal="left" vertical="center" wrapText="1"/>
    </xf>
    <xf numFmtId="0" fontId="44" fillId="35" borderId="74" xfId="0" applyFont="1" applyFill="1" applyBorder="1" applyAlignment="1">
      <alignment horizontal="center" vertical="center" wrapText="1"/>
    </xf>
    <xf numFmtId="0" fontId="44" fillId="35" borderId="75" xfId="0" applyFont="1" applyFill="1" applyBorder="1" applyAlignment="1">
      <alignment horizontal="center" vertical="center" wrapText="1"/>
    </xf>
    <xf numFmtId="0" fontId="44" fillId="35" borderId="76" xfId="0" applyFont="1" applyFill="1" applyBorder="1" applyAlignment="1">
      <alignment horizontal="center" vertical="center" wrapText="1"/>
    </xf>
    <xf numFmtId="0" fontId="41" fillId="35" borderId="63" xfId="0" applyFont="1" applyFill="1" applyBorder="1" applyAlignment="1">
      <alignment horizontal="center" vertical="center" wrapText="1"/>
    </xf>
    <xf numFmtId="0" fontId="41" fillId="35" borderId="50" xfId="0" applyFont="1" applyFill="1" applyBorder="1" applyAlignment="1">
      <alignment horizontal="center" vertical="center" wrapText="1"/>
    </xf>
    <xf numFmtId="0" fontId="41" fillId="35" borderId="5" xfId="0" applyFont="1" applyFill="1" applyBorder="1" applyAlignment="1">
      <alignment horizontal="center" vertical="center" wrapText="1"/>
    </xf>
    <xf numFmtId="0" fontId="41" fillId="35" borderId="5" xfId="0" applyFont="1" applyFill="1" applyBorder="1" applyAlignment="1">
      <alignment horizontal="center" vertical="center"/>
    </xf>
    <xf numFmtId="0" fontId="41" fillId="35" borderId="46" xfId="0" applyFont="1" applyFill="1" applyBorder="1" applyAlignment="1">
      <alignment horizontal="center" vertical="center"/>
    </xf>
    <xf numFmtId="0" fontId="41" fillId="35" borderId="69" xfId="0" applyFont="1" applyFill="1" applyBorder="1" applyAlignment="1">
      <alignment horizontal="center" vertical="center"/>
    </xf>
    <xf numFmtId="0" fontId="41" fillId="35" borderId="48" xfId="0" applyFont="1" applyFill="1" applyBorder="1" applyAlignment="1">
      <alignment horizontal="center" vertical="center"/>
    </xf>
    <xf numFmtId="0" fontId="41" fillId="35" borderId="61" xfId="0" applyFont="1" applyFill="1" applyBorder="1" applyAlignment="1">
      <alignment horizontal="center" vertical="center"/>
    </xf>
    <xf numFmtId="0" fontId="41" fillId="35" borderId="62" xfId="0" applyFont="1" applyFill="1" applyBorder="1" applyAlignment="1">
      <alignment horizontal="center" vertical="center"/>
    </xf>
    <xf numFmtId="0" fontId="41" fillId="35" borderId="51" xfId="0" applyFont="1" applyFill="1" applyBorder="1" applyAlignment="1">
      <alignment horizontal="center" vertical="center"/>
    </xf>
    <xf numFmtId="0" fontId="41" fillId="0" borderId="60" xfId="0" applyFont="1" applyBorder="1" applyAlignment="1">
      <alignment horizontal="center"/>
    </xf>
    <xf numFmtId="0" fontId="41" fillId="0" borderId="48" xfId="0" applyFont="1" applyBorder="1" applyAlignment="1">
      <alignment horizontal="center"/>
    </xf>
    <xf numFmtId="0" fontId="41" fillId="0" borderId="62" xfId="0" applyFont="1" applyBorder="1" applyAlignment="1">
      <alignment horizontal="center"/>
    </xf>
    <xf numFmtId="0" fontId="41" fillId="0" borderId="51" xfId="0" applyFont="1" applyBorder="1" applyAlignment="1">
      <alignment horizontal="center"/>
    </xf>
    <xf numFmtId="4" fontId="36" fillId="32" borderId="26" xfId="0" applyNumberFormat="1" applyFont="1" applyFill="1" applyBorder="1" applyAlignment="1">
      <alignment horizontal="center" vertical="center"/>
    </xf>
    <xf numFmtId="4" fontId="35" fillId="0" borderId="0" xfId="0" applyNumberFormat="1" applyFont="1" applyAlignment="1">
      <alignment horizontal="center" vertical="center"/>
    </xf>
    <xf numFmtId="4" fontId="35" fillId="0" borderId="25" xfId="0" applyNumberFormat="1" applyFont="1" applyBorder="1" applyAlignment="1">
      <alignment horizontal="center" vertical="center"/>
    </xf>
    <xf numFmtId="4" fontId="35" fillId="0" borderId="26" xfId="0" applyNumberFormat="1" applyFont="1" applyBorder="1" applyAlignment="1">
      <alignment horizontal="center" vertical="center"/>
    </xf>
    <xf numFmtId="4" fontId="35" fillId="0" borderId="55" xfId="0" applyNumberFormat="1" applyFont="1" applyBorder="1" applyAlignment="1">
      <alignment horizontal="center" vertical="center"/>
    </xf>
    <xf numFmtId="4" fontId="35" fillId="0" borderId="56" xfId="0" applyNumberFormat="1" applyFont="1" applyBorder="1" applyAlignment="1">
      <alignment horizontal="center" vertical="center"/>
    </xf>
    <xf numFmtId="0" fontId="39" fillId="29" borderId="0" xfId="0" applyFont="1" applyFill="1" applyAlignment="1">
      <alignment horizontal="center" vertical="center"/>
    </xf>
    <xf numFmtId="0" fontId="46" fillId="29" borderId="37" xfId="0" applyFont="1" applyFill="1" applyBorder="1" applyAlignment="1">
      <alignment horizontal="justify" vertical="center" wrapText="1"/>
    </xf>
    <xf numFmtId="0" fontId="46" fillId="29" borderId="38" xfId="0" applyFont="1" applyFill="1" applyBorder="1" applyAlignment="1">
      <alignment horizontal="justify" vertical="center" wrapText="1"/>
    </xf>
    <xf numFmtId="0" fontId="46" fillId="29" borderId="39" xfId="0" applyFont="1" applyFill="1" applyBorder="1" applyAlignment="1">
      <alignment horizontal="justify" vertical="center" wrapText="1"/>
    </xf>
    <xf numFmtId="0" fontId="46" fillId="29" borderId="40" xfId="0" applyFont="1" applyFill="1" applyBorder="1" applyAlignment="1">
      <alignment horizontal="justify" vertical="center" wrapText="1"/>
    </xf>
    <xf numFmtId="0" fontId="46" fillId="29" borderId="0" xfId="0" applyFont="1" applyFill="1" applyAlignment="1">
      <alignment horizontal="justify" vertical="center" wrapText="1"/>
    </xf>
    <xf numFmtId="0" fontId="46" fillId="29" borderId="41" xfId="0" applyFont="1" applyFill="1" applyBorder="1" applyAlignment="1">
      <alignment horizontal="justify" vertical="center" wrapText="1"/>
    </xf>
    <xf numFmtId="0" fontId="46" fillId="29" borderId="42" xfId="0" applyFont="1" applyFill="1" applyBorder="1" applyAlignment="1">
      <alignment horizontal="justify" vertical="center" wrapText="1"/>
    </xf>
    <xf numFmtId="0" fontId="46" fillId="29" borderId="43" xfId="0" applyFont="1" applyFill="1" applyBorder="1" applyAlignment="1">
      <alignment horizontal="justify" vertical="center" wrapText="1"/>
    </xf>
    <xf numFmtId="0" fontId="46" fillId="29" borderId="44" xfId="0" applyFont="1" applyFill="1" applyBorder="1" applyAlignment="1">
      <alignment horizontal="justify" vertical="center" wrapText="1"/>
    </xf>
    <xf numFmtId="3" fontId="91" fillId="29" borderId="15" xfId="0" applyNumberFormat="1" applyFont="1" applyFill="1" applyBorder="1" applyAlignment="1">
      <alignment horizontal="center" vertical="center"/>
    </xf>
    <xf numFmtId="3" fontId="91" fillId="29" borderId="0" xfId="0" applyNumberFormat="1" applyFont="1" applyFill="1" applyAlignment="1">
      <alignment horizontal="center" vertical="center"/>
    </xf>
    <xf numFmtId="3" fontId="115" fillId="0" borderId="0" xfId="0" applyNumberFormat="1" applyFont="1" applyAlignment="1">
      <alignment horizontal="center"/>
    </xf>
    <xf numFmtId="3" fontId="91" fillId="0" borderId="15" xfId="0" applyNumberFormat="1" applyFont="1" applyBorder="1" applyAlignment="1">
      <alignment horizontal="right" vertical="center"/>
    </xf>
    <xf numFmtId="3" fontId="91" fillId="0" borderId="0" xfId="0" applyNumberFormat="1" applyFont="1" applyAlignment="1">
      <alignment horizontal="right" vertical="center"/>
    </xf>
    <xf numFmtId="0" fontId="115" fillId="0" borderId="0" xfId="0" applyFont="1"/>
    <xf numFmtId="0" fontId="41" fillId="4" borderId="0" xfId="0" applyFont="1" applyFill="1"/>
    <xf numFmtId="0" fontId="115" fillId="4" borderId="0" xfId="0" applyFont="1" applyFill="1"/>
    <xf numFmtId="0" fontId="91" fillId="29" borderId="15" xfId="0" applyFont="1" applyFill="1" applyBorder="1" applyAlignment="1">
      <alignment horizontal="center" vertical="center"/>
    </xf>
    <xf numFmtId="1" fontId="91" fillId="29" borderId="0" xfId="0" applyNumberFormat="1" applyFont="1" applyFill="1" applyAlignment="1">
      <alignment horizontal="center" vertical="center"/>
    </xf>
    <xf numFmtId="0" fontId="91" fillId="0" borderId="15" xfId="0" applyFont="1" applyBorder="1"/>
    <xf numFmtId="0" fontId="91" fillId="0" borderId="0" xfId="0" applyFont="1" applyAlignment="1">
      <alignment horizontal="right" vertical="center"/>
    </xf>
    <xf numFmtId="0" fontId="115" fillId="0" borderId="0" xfId="0" applyFont="1" applyAlignment="1">
      <alignment horizontal="center"/>
    </xf>
    <xf numFmtId="0" fontId="41" fillId="0" borderId="15" xfId="0" applyFont="1" applyBorder="1"/>
    <xf numFmtId="4" fontId="102" fillId="36" borderId="52" xfId="0" applyNumberFormat="1" applyFont="1" applyFill="1" applyBorder="1" applyAlignment="1">
      <alignment horizontal="center" vertical="center"/>
    </xf>
    <xf numFmtId="185" fontId="61" fillId="36" borderId="0" xfId="0" applyNumberFormat="1" applyFont="1" applyFill="1" applyAlignment="1">
      <alignment horizontal="center" vertical="center"/>
    </xf>
    <xf numFmtId="14" fontId="102" fillId="0" borderId="81" xfId="0" applyNumberFormat="1" applyFont="1" applyBorder="1" applyAlignment="1">
      <alignment horizontal="center" vertical="center"/>
    </xf>
    <xf numFmtId="0" fontId="103" fillId="0" borderId="81" xfId="0" applyFont="1" applyBorder="1" applyAlignment="1">
      <alignment horizontal="center" vertical="center"/>
    </xf>
    <xf numFmtId="0" fontId="86" fillId="0" borderId="0" xfId="0" applyFont="1" applyAlignment="1">
      <alignment horizontal="center"/>
    </xf>
    <xf numFmtId="14" fontId="37" fillId="0" borderId="0" xfId="0" applyNumberFormat="1" applyFont="1"/>
    <xf numFmtId="0" fontId="116" fillId="31" borderId="0" xfId="0" applyFont="1" applyFill="1" applyAlignment="1">
      <alignment horizontal="center" vertical="center"/>
    </xf>
    <xf numFmtId="0" fontId="116" fillId="31" borderId="0" xfId="0" applyFont="1" applyFill="1" applyAlignment="1">
      <alignment horizontal="center" vertical="center" wrapText="1"/>
    </xf>
    <xf numFmtId="14" fontId="35" fillId="0" borderId="25" xfId="0" applyNumberFormat="1" applyFont="1" applyBorder="1" applyAlignment="1">
      <alignment horizontal="center" vertical="center" wrapText="1"/>
    </xf>
    <xf numFmtId="172" fontId="35" fillId="0" borderId="25" xfId="0" applyNumberFormat="1" applyFont="1" applyBorder="1" applyAlignment="1">
      <alignment horizontal="center" vertical="center"/>
    </xf>
    <xf numFmtId="0" fontId="88" fillId="0" borderId="0" xfId="0" applyFont="1"/>
    <xf numFmtId="0" fontId="117" fillId="0" borderId="0" xfId="0" applyFont="1" applyAlignment="1">
      <alignment horizontal="center" vertical="center"/>
    </xf>
    <xf numFmtId="0" fontId="118" fillId="0" borderId="0" xfId="0" applyFont="1" applyAlignment="1">
      <alignment horizontal="center" vertical="center"/>
    </xf>
    <xf numFmtId="4" fontId="118" fillId="0" borderId="0" xfId="0" applyNumberFormat="1" applyFont="1" applyAlignment="1">
      <alignment horizontal="center" vertical="center"/>
    </xf>
    <xf numFmtId="0" fontId="117" fillId="0" borderId="0" xfId="0" applyFont="1"/>
    <xf numFmtId="4" fontId="117" fillId="0" borderId="0" xfId="0" applyNumberFormat="1" applyFont="1" applyAlignment="1">
      <alignment horizontal="center" vertical="center"/>
    </xf>
    <xf numFmtId="0" fontId="35" fillId="0" borderId="25" xfId="0" applyFont="1" applyBorder="1" applyAlignment="1">
      <alignment horizontal="center" vertical="center"/>
    </xf>
    <xf numFmtId="4" fontId="88" fillId="0" borderId="0" xfId="0" applyNumberFormat="1" applyFont="1"/>
    <xf numFmtId="0" fontId="35" fillId="4" borderId="26" xfId="0" applyFont="1" applyFill="1" applyBorder="1" applyAlignment="1">
      <alignment horizontal="center" vertical="center" wrapText="1"/>
    </xf>
    <xf numFmtId="0" fontId="35" fillId="4" borderId="26" xfId="0" quotePrefix="1" applyFont="1" applyFill="1" applyBorder="1" applyAlignment="1">
      <alignment horizontal="center" vertical="center"/>
    </xf>
    <xf numFmtId="4" fontId="35" fillId="4" borderId="26" xfId="0" applyNumberFormat="1" applyFont="1" applyFill="1" applyBorder="1" applyAlignment="1">
      <alignment horizontal="right" vertical="center"/>
    </xf>
    <xf numFmtId="0" fontId="35" fillId="0" borderId="56" xfId="0" applyFont="1" applyBorder="1" applyAlignment="1">
      <alignment horizontal="center" vertical="center" wrapText="1"/>
    </xf>
    <xf numFmtId="0" fontId="35" fillId="0" borderId="54" xfId="0" applyFont="1" applyBorder="1" applyAlignment="1">
      <alignment horizontal="center" vertical="center"/>
    </xf>
    <xf numFmtId="0" fontId="35" fillId="4" borderId="68" xfId="0" applyFont="1" applyFill="1" applyBorder="1" applyAlignment="1">
      <alignment horizontal="center" vertical="center" wrapText="1"/>
    </xf>
    <xf numFmtId="0" fontId="36" fillId="0" borderId="0" xfId="0" applyFont="1" applyAlignment="1">
      <alignment vertical="center"/>
    </xf>
    <xf numFmtId="4" fontId="36" fillId="32" borderId="26" xfId="0" applyNumberFormat="1" applyFont="1" applyFill="1" applyBorder="1" applyAlignment="1">
      <alignment horizontal="left" vertical="center"/>
    </xf>
    <xf numFmtId="186" fontId="36" fillId="32" borderId="26" xfId="0" applyNumberFormat="1" applyFont="1" applyFill="1" applyBorder="1" applyAlignment="1">
      <alignment horizontal="center" vertical="center"/>
    </xf>
    <xf numFmtId="180" fontId="35" fillId="0" borderId="25" xfId="0" applyNumberFormat="1" applyFont="1" applyBorder="1" applyAlignment="1">
      <alignment horizontal="center" vertical="center"/>
    </xf>
    <xf numFmtId="181" fontId="35" fillId="0" borderId="25" xfId="0" applyNumberFormat="1" applyFont="1" applyBorder="1" applyAlignment="1">
      <alignment horizontal="center" vertical="center"/>
    </xf>
  </cellXfs>
  <cellStyles count="175">
    <cellStyle name="20% - Ênfase1 2" xfId="13" xr:uid="{63C72DD8-4967-42FE-B74E-8A3824ED936B}"/>
    <cellStyle name="20% - Ênfase2 2" xfId="14" xr:uid="{6B54699C-3698-4A07-B7D9-654EF4709387}"/>
    <cellStyle name="20% - Ênfase3 2" xfId="15" xr:uid="{DBC3E1F4-D0B6-4234-AB0B-A0D8BEF77B11}"/>
    <cellStyle name="20% - Ênfase4 2" xfId="16" xr:uid="{3BF44F2D-9F55-4E18-B0DD-B38EAE19B7C4}"/>
    <cellStyle name="20% - Ênfase5 2" xfId="17" xr:uid="{CC2A2B1E-01E1-4167-A323-88FC1550E0E9}"/>
    <cellStyle name="20% - Ênfase6 2" xfId="18" xr:uid="{FB29D219-691C-48D3-A3E4-E5AABF393F98}"/>
    <cellStyle name="40% - Ênfase1 2" xfId="19" xr:uid="{3217DC4E-747D-438E-BB43-383BB25FB9AB}"/>
    <cellStyle name="40% - Ênfase2 2" xfId="20" xr:uid="{806C13AB-2884-4CFE-A80B-8D9A8655BD9F}"/>
    <cellStyle name="40% - Ênfase3 2" xfId="21" xr:uid="{F1BFBF21-E378-4D14-9689-A97A8C43E3F1}"/>
    <cellStyle name="40% - Ênfase4 2" xfId="22" xr:uid="{3ED64AF4-2BBA-424F-BED5-044959534BC5}"/>
    <cellStyle name="40% - Ênfase5 2" xfId="23" xr:uid="{3041C205-8565-4BB8-9F91-F3626492EA89}"/>
    <cellStyle name="40% - Ênfase6 2" xfId="24" xr:uid="{C1CA9D66-AFDF-43B9-A597-21506219010A}"/>
    <cellStyle name="60% - Ênfase1 2" xfId="25" xr:uid="{8BA48F69-0B1C-4FD9-85B4-B8B35DDA315D}"/>
    <cellStyle name="60% - Ênfase2 2" xfId="26" xr:uid="{D58F98FE-79DC-4F4F-A31F-8BC9B17C81C1}"/>
    <cellStyle name="60% - Ênfase3 2" xfId="27" xr:uid="{C227F54C-9FD3-47A5-B323-FAAC079E5E27}"/>
    <cellStyle name="60% - Ênfase4 2" xfId="28" xr:uid="{85A33E80-C677-478C-BE48-AFB462998F3F}"/>
    <cellStyle name="60% - Ênfase5 2" xfId="29" xr:uid="{7E36235C-461A-4C80-8D5E-1F4B8E79FD65}"/>
    <cellStyle name="60% - Ênfase6 2" xfId="30" xr:uid="{CCB6A99C-7C32-4224-B9E1-988697CC5DA4}"/>
    <cellStyle name="Bom 2" xfId="31" xr:uid="{2A28B2A7-0F99-44EF-8B73-1493D41B9C2F}"/>
    <cellStyle name="Cálculo 2" xfId="32" xr:uid="{610E4F4E-D85A-49B9-B21B-FEE741299D54}"/>
    <cellStyle name="Cálculo 2 2" xfId="76" xr:uid="{F813B7AA-E0B2-44AB-B021-1606B67C5143}"/>
    <cellStyle name="Cálculo 2 2 2" xfId="110" xr:uid="{A2944751-5156-4EA3-B4B0-F128213D6007}"/>
    <cellStyle name="Cálculo 2 3" xfId="98" xr:uid="{E6FBAF26-4A1C-43DE-9313-1D13EBDF7B6E}"/>
    <cellStyle name="Cancel 2" xfId="75" xr:uid="{8F8A6E35-2AFE-4E30-8E1A-C380F40996BE}"/>
    <cellStyle name="Célula de Verificação 2" xfId="33" xr:uid="{B739034C-4436-4604-B046-2F543FEC67BC}"/>
    <cellStyle name="Célula Vinculada 2" xfId="34" xr:uid="{D0943F11-21EA-4702-8F25-58C312537699}"/>
    <cellStyle name="Comma" xfId="91" xr:uid="{74B62BB4-0FED-49CA-A548-D8179B51C5B8}"/>
    <cellStyle name="Comma 10 2" xfId="74" xr:uid="{ACF2FDBC-8261-48ED-98DD-13F8D1B57A53}"/>
    <cellStyle name="Comma 10 2 2" xfId="131" xr:uid="{045188DA-FBC0-4169-9D73-FAD541726C18}"/>
    <cellStyle name="Comma 10 2 2 2" xfId="167" xr:uid="{E6F59D9D-7204-4777-BA30-82CBA734F519}"/>
    <cellStyle name="Comma 10 2 3" xfId="151" xr:uid="{9CC74608-C8B9-43E1-892E-2A5D957DAAF7}"/>
    <cellStyle name="Comma 10 2 4" xfId="109" xr:uid="{6EEA2F8E-72CD-468B-BF7B-40A0E6359C67}"/>
    <cellStyle name="Comma0" xfId="35" xr:uid="{0E870555-64BA-4AD2-A67D-C873394FFB97}"/>
    <cellStyle name="Corpo" xfId="36" xr:uid="{B323ADE7-274D-42D5-80D0-E4DE3B8529C3}"/>
    <cellStyle name="Ênfase1 2" xfId="37" xr:uid="{F3AF8E15-2686-4C6A-B0EF-0776A2A5B788}"/>
    <cellStyle name="Ênfase2 2" xfId="38" xr:uid="{0CECC67D-1082-4EA7-9AAC-02152C352F59}"/>
    <cellStyle name="Ênfase3 2" xfId="39" xr:uid="{90410A2D-A693-4A6C-97F0-2E325A5FDCB3}"/>
    <cellStyle name="Ênfase4 2" xfId="40" xr:uid="{26135D01-8A36-4717-9C31-F2987A293D3C}"/>
    <cellStyle name="Ênfase5 2" xfId="41" xr:uid="{CD627A94-0CDA-4552-A74C-5A798224008A}"/>
    <cellStyle name="Ênfase6 2" xfId="42" xr:uid="{0EE09146-0E07-48A4-A307-88B09CD0F793}"/>
    <cellStyle name="Entrada 2" xfId="43" xr:uid="{6E689EBE-AB0F-4AE2-95C9-72D6D82E7080}"/>
    <cellStyle name="Entrada 2 2" xfId="77" xr:uid="{4F960F41-0AA4-4B99-8573-674669F5564B}"/>
    <cellStyle name="Entrada 2 2 2" xfId="111" xr:uid="{34DAF31F-2A6A-4A31-B308-03757E01500A}"/>
    <cellStyle name="Entrada 2 3" xfId="99" xr:uid="{4FF3DB3E-0D89-4938-A5FA-E40E39E8D419}"/>
    <cellStyle name="Euro" xfId="44" xr:uid="{3B1259E2-9AAC-4AD0-A9F7-561259EF87D6}"/>
    <cellStyle name="Hiperlink" xfId="2" builtinId="8"/>
    <cellStyle name="Incorreto 2" xfId="45" xr:uid="{2498C11E-4E32-422A-A4E6-41FBD67FEB7A}"/>
    <cellStyle name="Moeda 2" xfId="82" xr:uid="{3E0C0067-64B8-4EAA-BD6A-1D66D4B519A1}"/>
    <cellStyle name="Neutra 2" xfId="46" xr:uid="{0FA76A86-E13E-4501-9F7A-F426B2563DFB}"/>
    <cellStyle name="Normal" xfId="0" builtinId="0"/>
    <cellStyle name="Normal 11" xfId="6" xr:uid="{4ABFD2E3-5084-40C1-B38D-114D4AFC9EAC}"/>
    <cellStyle name="Normal 16" xfId="88" xr:uid="{20BEB929-A110-4992-A9DC-48682E728D48}"/>
    <cellStyle name="Normal 19" xfId="12" xr:uid="{4C8567C8-7BA4-4DDA-B870-375B176C926C}"/>
    <cellStyle name="Normal 2" xfId="47" xr:uid="{111C5DA4-E2E8-4BE3-AC7B-B9C77835CE71}"/>
    <cellStyle name="Normal 2 2" xfId="70" xr:uid="{14C7B613-AA29-43CB-96B5-79B14DBA94A8}"/>
    <cellStyle name="Normal 2 2 2" xfId="87" xr:uid="{8D03D251-7CF6-4C09-A2FB-92F096D1C97F}"/>
    <cellStyle name="Normal 2 3" xfId="84" xr:uid="{063150FF-C8D3-4745-88C6-033D4F6B524E}"/>
    <cellStyle name="Normal 3" xfId="48" xr:uid="{4A0AF553-63AB-4D67-A331-510B291B34D6}"/>
    <cellStyle name="Normal 383" xfId="72" xr:uid="{75504529-639C-4205-B28C-4288DB6E22E0}"/>
    <cellStyle name="Normal 4" xfId="3" xr:uid="{37EC755F-6C53-4794-85CB-30945B93DC75}"/>
    <cellStyle name="Normal 57" xfId="136" xr:uid="{44BF463A-A854-4EB8-9D36-9A3B84971CBD}"/>
    <cellStyle name="Nota 2" xfId="49" xr:uid="{DDDCA6A8-4FCA-41FE-A8BC-8F7F419456A5}"/>
    <cellStyle name="Nota 2 2" xfId="78" xr:uid="{B13BB1B1-9C6E-48F2-BF2A-BAB0879F6AA2}"/>
    <cellStyle name="Nota 2 2 2" xfId="112" xr:uid="{63C13CF7-116D-4961-ABA5-50EEC6DD0697}"/>
    <cellStyle name="Nota 2 3" xfId="100" xr:uid="{7DD65998-C9C7-44DA-9DB4-E257A8CCB02B}"/>
    <cellStyle name="Nota 3" xfId="50" xr:uid="{F0346577-8BE3-4B72-9B7A-71B995A9548C}"/>
    <cellStyle name="Nota 3 2" xfId="79" xr:uid="{F44708C8-0A8A-4B8B-A05F-9450F50290C0}"/>
    <cellStyle name="Nota 3 2 2" xfId="113" xr:uid="{4F763EE4-1CFD-4BE1-AD54-E8756563F12E}"/>
    <cellStyle name="Nota 3 3" xfId="101" xr:uid="{EFAFE0F7-812A-4F6A-AC95-85DC8AC85E28}"/>
    <cellStyle name="Porcentagem" xfId="1" builtinId="5"/>
    <cellStyle name="Porcentagem 2" xfId="51" xr:uid="{51444517-C7A2-4509-AF60-8126C291D843}"/>
    <cellStyle name="Porcentagem 3" xfId="52" xr:uid="{8A890730-1C63-43B2-BA3D-738A471EF1C0}"/>
    <cellStyle name="Porcentagem 4" xfId="73" xr:uid="{8CF2038F-CCA3-4D15-BDE4-7D713561DA6E}"/>
    <cellStyle name="Quadro" xfId="53" xr:uid="{CBAD5F5B-5689-48BF-9B78-075BF2208D55}"/>
    <cellStyle name="Saída 2" xfId="54" xr:uid="{32AABF0F-AB73-477C-8AF5-FE4C7348122A}"/>
    <cellStyle name="Saída 2 2" xfId="80" xr:uid="{D481EE0D-000C-469A-92EE-E9162D010D8C}"/>
    <cellStyle name="Saída 2 2 2" xfId="114" xr:uid="{33D59B59-8744-470D-9331-24A46C3A656D}"/>
    <cellStyle name="Saída 2 3" xfId="102" xr:uid="{AD924D17-58D2-4A95-8839-639EF35A6082}"/>
    <cellStyle name="Separador de milhares 10 3" xfId="86" xr:uid="{2FFCCA26-92F3-477E-8206-34DBEA96DC6D}"/>
    <cellStyle name="Separador de milhares 10 3 2" xfId="133" xr:uid="{9608C3D1-96E3-4EFC-85A7-7E20FB4E3B5D}"/>
    <cellStyle name="Separador de milhares 10 3 2 2" xfId="169" xr:uid="{58646E92-4385-4ACA-8BE9-5E149BAAD8CC}"/>
    <cellStyle name="Separador de milhares 10 3 3" xfId="153" xr:uid="{20195D4D-46E9-460A-8510-308C0E1C83A2}"/>
    <cellStyle name="Separador de milhares 10 3 4" xfId="117" xr:uid="{8D23B437-3789-436D-B380-0AB8149FFB17}"/>
    <cellStyle name="Separador de milhares 2" xfId="56" xr:uid="{225BBE88-C541-4ECC-A45A-EC0881D7EC99}"/>
    <cellStyle name="Separador de milhares 2 19" xfId="7" xr:uid="{9DB1E6BF-61CD-4880-9E17-35B306605631}"/>
    <cellStyle name="Separador de milhares 2 19 14" xfId="8" xr:uid="{18E09BB0-45A4-4B96-9247-9A9923E776E6}"/>
    <cellStyle name="Separador de milhares 2 19 14 2" xfId="122" xr:uid="{332BC686-76D8-4810-8831-26DF57286E8B}"/>
    <cellStyle name="Separador de milhares 2 19 14 2 2" xfId="158" xr:uid="{6BE000B6-39F1-4DB8-A486-627CADE092A5}"/>
    <cellStyle name="Separador de milhares 2 19 14 3" xfId="142" xr:uid="{1C8D3BA0-707F-4503-B801-FFB272038B3D}"/>
    <cellStyle name="Separador de milhares 2 19 14 4" xfId="94" xr:uid="{3815104E-CC70-4F9E-AD54-528B4967412B}"/>
    <cellStyle name="Separador de milhares 2 19 16" xfId="9" xr:uid="{BF0111E9-83A0-4F1F-AEF3-B1DC7C6AC3B5}"/>
    <cellStyle name="Separador de milhares 2 19 16 2" xfId="123" xr:uid="{C1CE336B-C8D6-4134-BC6A-17160C97AC27}"/>
    <cellStyle name="Separador de milhares 2 19 16 2 2" xfId="159" xr:uid="{E5C8664B-0C0A-415A-B9D9-6364A0345AEF}"/>
    <cellStyle name="Separador de milhares 2 19 16 3" xfId="143" xr:uid="{C57778FF-65E0-4C6F-9147-F7F0E308AF77}"/>
    <cellStyle name="Separador de milhares 2 19 16 4" xfId="95" xr:uid="{EB67D5EF-19C9-4490-80BD-A26F08EC23E5}"/>
    <cellStyle name="Separador de milhares 2 19 18" xfId="89" xr:uid="{8BA6A763-7C81-44AD-B3A2-18121C342BF3}"/>
    <cellStyle name="Separador de milhares 2 19 18 2" xfId="134" xr:uid="{8B853018-0451-4914-A4E6-D08FADC7EBF8}"/>
    <cellStyle name="Separador de milhares 2 19 18 2 2" xfId="170" xr:uid="{5EA77AF3-391E-4F55-BA8F-4BD6B62D44BF}"/>
    <cellStyle name="Separador de milhares 2 19 18 3" xfId="154" xr:uid="{7B3D4E98-406A-4AFE-931F-4D0EA119C086}"/>
    <cellStyle name="Separador de milhares 2 19 18 4" xfId="118" xr:uid="{94195B95-34A5-413A-BBEE-732173BD9A75}"/>
    <cellStyle name="Separador de milhares 2 19 2" xfId="85" xr:uid="{413F5F32-5D5F-429D-8226-1747A89E671F}"/>
    <cellStyle name="Separador de milhares 2 19 2 2" xfId="132" xr:uid="{AF0F08E0-4F94-4471-9F62-AB6DA9BFF912}"/>
    <cellStyle name="Separador de milhares 2 19 2 2 2" xfId="168" xr:uid="{44C30093-364F-4BF7-B076-859F6A95F61D}"/>
    <cellStyle name="Separador de milhares 2 19 2 3" xfId="152" xr:uid="{F238ED6F-BD75-46C7-B883-E2BAD13FA072}"/>
    <cellStyle name="Separador de milhares 2 19 2 4" xfId="116" xr:uid="{75004E98-FB11-44D9-B039-7DE8D077CC23}"/>
    <cellStyle name="Separador de milhares 2 19 3" xfId="121" xr:uid="{F4351295-5921-4B36-A864-CC549FC52BDB}"/>
    <cellStyle name="Separador de milhares 2 19 3 2" xfId="157" xr:uid="{2786CD8F-C9FD-4414-BFB5-301E7A2DFF03}"/>
    <cellStyle name="Separador de milhares 2 19 4" xfId="137" xr:uid="{35EA900C-C809-4690-8052-67317ABAAA19}"/>
    <cellStyle name="Separador de milhares 2 19 4 2" xfId="172" xr:uid="{FDB084E7-83FD-42E3-9B75-63184265F596}"/>
    <cellStyle name="Separador de milhares 2 19 5" xfId="141" xr:uid="{BBFA018C-9965-487B-9730-7DD4B467D9A5}"/>
    <cellStyle name="Separador de milhares 2 19 6" xfId="93" xr:uid="{2240DDC1-8623-4ADD-951B-A95681CEB396}"/>
    <cellStyle name="Separador de milhares 2 2" xfId="71" xr:uid="{5A89D2BC-FD07-4393-8126-8FF6F3AF9E93}"/>
    <cellStyle name="Separador de milhares 2 2 2" xfId="130" xr:uid="{663667B9-BBB2-46E8-A687-ED65EEA4579E}"/>
    <cellStyle name="Separador de milhares 2 2 2 2" xfId="166" xr:uid="{E4EB43A7-F00D-48EE-8833-19DE9FD8DA79}"/>
    <cellStyle name="Separador de milhares 2 2 3" xfId="150" xr:uid="{A19CE39A-47BE-4837-851F-087CAF1BFBEC}"/>
    <cellStyle name="Separador de milhares 2 2 4" xfId="108" xr:uid="{10DF39F4-4877-41BD-9D9B-FE528409B57A}"/>
    <cellStyle name="Separador de milhares 2 3" xfId="127" xr:uid="{5C5EEFE0-9109-4F63-ADC2-5352448387F9}"/>
    <cellStyle name="Separador de milhares 2 3 2" xfId="163" xr:uid="{50563932-3E55-4622-8323-07F76C64160B}"/>
    <cellStyle name="Separador de milhares 2 4" xfId="147" xr:uid="{08F092C4-9624-4C55-ACE5-FB461B6A0EC1}"/>
    <cellStyle name="Separador de milhares 2 5" xfId="104" xr:uid="{3BD8BAF8-AFDA-4508-9686-7994DEF92B21}"/>
    <cellStyle name="Separador de milhares 3" xfId="57" xr:uid="{353D6DB0-49EC-4822-BB82-1AC8BF8567CA}"/>
    <cellStyle name="Separador de milhares 3 2" xfId="128" xr:uid="{319AB718-2F71-4422-A2D3-04DAD8BFC03D}"/>
    <cellStyle name="Separador de milhares 3 2 2" xfId="164" xr:uid="{16CC46B3-7D3B-473A-889C-CDB6BA1E3372}"/>
    <cellStyle name="Separador de milhares 3 3" xfId="148" xr:uid="{C8F213EC-87FC-4C2A-A990-51A1D3A3EB35}"/>
    <cellStyle name="Separador de milhares 3 4" xfId="105" xr:uid="{60D63DBD-3E57-4DD5-9EBA-E9467D499A06}"/>
    <cellStyle name="Separador de milhares 4" xfId="58" xr:uid="{6DC6BE45-6DFD-41CE-A3E9-FECDA891600F}"/>
    <cellStyle name="Separador de milhares 4 2" xfId="129" xr:uid="{648905BD-78D7-48BA-9769-BD59259A7B1A}"/>
    <cellStyle name="Separador de milhares 4 2 2" xfId="165" xr:uid="{FF83366A-2643-4846-9505-CE32BB977844}"/>
    <cellStyle name="Separador de milhares 4 3" xfId="149" xr:uid="{8CA27737-625B-44DD-9053-096174DAFD36}"/>
    <cellStyle name="Separador de milhares 4 4" xfId="106" xr:uid="{0BDCBF31-5998-4F3F-9C88-9E9EE9D72AB4}"/>
    <cellStyle name="Separador de milhares 5" xfId="83" xr:uid="{6FAB3576-AC65-4914-A358-01DF4E71F5E9}"/>
    <cellStyle name="Style 23" xfId="59" xr:uid="{AFA2F4C0-FB81-4D59-AE34-1BC33FE614FE}"/>
    <cellStyle name="Style 24" xfId="60" xr:uid="{FDD5CAB4-D98C-4E3B-AF0B-C76D91812252}"/>
    <cellStyle name="Style 26" xfId="61" xr:uid="{0689103C-1EB2-41A6-A283-AF91BE5D0E52}"/>
    <cellStyle name="Texto de Aviso 2" xfId="62" xr:uid="{94025CEB-16DD-4DD2-B118-A3015B7D46DD}"/>
    <cellStyle name="Texto Explicativo 2" xfId="63" xr:uid="{43B6C7D5-957A-44A2-80BB-29291BE2AC41}"/>
    <cellStyle name="Título 1 2" xfId="64" xr:uid="{0724B270-E4AC-4B65-853D-8BFDE17AF0F1}"/>
    <cellStyle name="Título 2 2" xfId="65" xr:uid="{417779F5-4A4B-47C1-9AC2-06E5E776BEDD}"/>
    <cellStyle name="Título 3 2" xfId="66" xr:uid="{50C6200E-362E-4947-83FD-A0810B02560D}"/>
    <cellStyle name="Título 4 2" xfId="67" xr:uid="{A63622E0-DE3B-45B3-A4EB-812571F18D6F}"/>
    <cellStyle name="Título 5" xfId="68" xr:uid="{8C432D6C-F2CC-465B-9636-6F65CCB6B83A}"/>
    <cellStyle name="Total 2" xfId="69" xr:uid="{30CAE7E8-B159-4903-9507-4E51D14F9154}"/>
    <cellStyle name="Total 2 2" xfId="81" xr:uid="{412A9C9B-E74F-4292-943A-E0D6FD803290}"/>
    <cellStyle name="Total 2 2 2" xfId="115" xr:uid="{EA25295E-D940-4E4F-AE61-C5C9712E47E1}"/>
    <cellStyle name="Total 2 3" xfId="107" xr:uid="{CFA69604-A5D6-47A0-9162-5E97C2502A95}"/>
    <cellStyle name="Vírgula 11" xfId="90" xr:uid="{07AB563E-177B-4CD9-862B-29AB99D6F43F}"/>
    <cellStyle name="Vírgula 11 2" xfId="135" xr:uid="{BB71DC71-7C1C-4E50-9000-BA53DD788AFE}"/>
    <cellStyle name="Vírgula 11 2 2" xfId="171" xr:uid="{FAC15DE9-4A7C-4D50-A3A8-BD26726504F7}"/>
    <cellStyle name="Vírgula 11 3" xfId="155" xr:uid="{F9C05B2B-60D7-42CD-A230-26776D7865E9}"/>
    <cellStyle name="Vírgula 11 4" xfId="119" xr:uid="{DC2FBC41-9E43-4362-9AE7-7F34E250AC8E}"/>
    <cellStyle name="Vírgula 2" xfId="55" xr:uid="{BE0A1D58-59EA-4EE0-8E88-FDA50AE4AFBB}"/>
    <cellStyle name="Vírgula 2 2" xfId="4" xr:uid="{707D8E37-676E-4479-AEFD-1090A57E03E4}"/>
    <cellStyle name="Vírgula 2 2 2" xfId="5" xr:uid="{64927614-70D2-43E7-A950-B82DC455222B}"/>
    <cellStyle name="Vírgula 2 2 2 10" xfId="11" xr:uid="{10261758-B59E-4C7E-BA60-5161DE52259A}"/>
    <cellStyle name="Vírgula 2 2 2 10 2" xfId="125" xr:uid="{612A0D0A-FFC1-4986-919C-2FC386A16986}"/>
    <cellStyle name="Vírgula 2 2 2 10 2 2" xfId="161" xr:uid="{78BB2096-8648-4ACD-82D9-BE7B9027D7A6}"/>
    <cellStyle name="Vírgula 2 2 2 10 3" xfId="145" xr:uid="{6DFF8896-3683-437F-BDDC-D698F5489467}"/>
    <cellStyle name="Vírgula 2 2 2 10 4" xfId="97" xr:uid="{42E74E37-EE4A-49FA-8233-C6E747256E02}"/>
    <cellStyle name="Vírgula 2 2 2 11" xfId="10" xr:uid="{CE882C12-4477-4372-A69D-54F32B1E3B7E}"/>
    <cellStyle name="Vírgula 2 2 2 11 2" xfId="124" xr:uid="{DA06E988-D303-4547-8779-7C3F380BD901}"/>
    <cellStyle name="Vírgula 2 2 2 11 2 2" xfId="160" xr:uid="{151FD7B1-BFFE-4AF7-9424-4050823D51AB}"/>
    <cellStyle name="Vírgula 2 2 2 11 3" xfId="144" xr:uid="{BBFFAE20-AE45-4CF3-9D64-6F9A6CB548A7}"/>
    <cellStyle name="Vírgula 2 2 2 11 4" xfId="96" xr:uid="{CA4043A0-821C-4E90-A32F-F4530931E309}"/>
    <cellStyle name="Vírgula 2 2 2 2" xfId="120" xr:uid="{4B761309-2639-4886-8CFE-E63DB62A28AC}"/>
    <cellStyle name="Vírgula 2 2 2 2 2" xfId="156" xr:uid="{D7CE0CD0-4EDB-4DFC-9CE0-E3D863CF8BF5}"/>
    <cellStyle name="Vírgula 2 2 2 3" xfId="140" xr:uid="{D22E4788-24E8-40A4-A839-AEC85A6938AC}"/>
    <cellStyle name="Vírgula 2 2 2 4" xfId="92" xr:uid="{2AD5092D-FD67-457E-B789-641E90604D5A}"/>
    <cellStyle name="Vírgula 2 3" xfId="126" xr:uid="{E84E3399-0C85-43AA-BDC3-E30F4E69C5A7}"/>
    <cellStyle name="Vírgula 2 3 2" xfId="162" xr:uid="{C4F80859-0D54-4D5F-A740-336B0A4A01C5}"/>
    <cellStyle name="Vírgula 2 4" xfId="146" xr:uid="{D1D1E7E3-45C2-4265-9AB1-8C53C7F65E50}"/>
    <cellStyle name="Vírgula 2 5" xfId="103" xr:uid="{B3B124EE-BB92-4F3F-8A32-DD996BB5EF52}"/>
    <cellStyle name="Vírgula 3" xfId="138" xr:uid="{B74556F9-1041-4AFE-8007-74AAFAB2CE2D}"/>
    <cellStyle name="Vírgula 3 2" xfId="173" xr:uid="{52CD3B4E-70BF-4C15-9C2C-EDCE0CEB06C9}"/>
    <cellStyle name="Vírgula 4" xfId="174" xr:uid="{C0628F40-6B75-44A6-A3D9-3CC69A5E85F4}"/>
    <cellStyle name="Vírgula 5" xfId="139" xr:uid="{C3678FD6-0121-447D-A726-EC7C6E9DA3AA}"/>
  </cellStyles>
  <dxfs count="0"/>
  <tableStyles count="0" defaultTableStyle="TableStyleMedium2" defaultPivotStyle="PivotStyleLight16"/>
  <colors>
    <mruColors>
      <color rgb="FF0C6412"/>
      <color rgb="FF004415"/>
      <color rgb="FF05663A"/>
      <color rgb="FF0E7716"/>
      <color rgb="FFFFFFCC"/>
      <color rgb="FF0000FF"/>
      <color rgb="FF28333C"/>
      <color rgb="FFFEDC00"/>
      <color rgb="FFCDCDFF"/>
      <color rgb="FFADF5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externalLink" Target="externalLinks/externalLink22.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42" Type="http://schemas.openxmlformats.org/officeDocument/2006/relationships/externalLink" Target="externalLinks/externalLink25.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2.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externalLink" Target="externalLinks/externalLink20.xml"/><Relationship Id="rId40" Type="http://schemas.openxmlformats.org/officeDocument/2006/relationships/externalLink" Target="externalLinks/externalLink23.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externalLink" Target="externalLinks/externalLink19.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43" Type="http://schemas.openxmlformats.org/officeDocument/2006/relationships/theme" Target="theme/theme1.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externalLink" Target="externalLinks/externalLink21.xml"/><Relationship Id="rId46" Type="http://schemas.microsoft.com/office/2017/10/relationships/person" Target="persons/person.xml"/><Relationship Id="rId20" Type="http://schemas.openxmlformats.org/officeDocument/2006/relationships/externalLink" Target="externalLinks/externalLink3.xml"/><Relationship Id="rId41"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422713417556505E-2"/>
          <c:y val="0"/>
          <c:w val="0.9847696764772621"/>
          <c:h val="0.70483791816298047"/>
        </c:manualLayout>
      </c:layout>
      <c:barChart>
        <c:barDir val="col"/>
        <c:grouping val="stacked"/>
        <c:varyColors val="0"/>
        <c:ser>
          <c:idx val="1"/>
          <c:order val="0"/>
          <c:spPr>
            <a:solidFill>
              <a:srgbClr val="05663A"/>
            </a:solidFill>
            <a:ln>
              <a:noFill/>
            </a:ln>
            <a:effectLst/>
          </c:spPr>
          <c:invertIfNegative val="0"/>
          <c:dLbls>
            <c:dLbl>
              <c:idx val="0"/>
              <c:layout>
                <c:manualLayout>
                  <c:x val="0"/>
                  <c:y val="-0.16808413206383496"/>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C6412"/>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4F-46D1-8DBC-22A5D770E1DA}"/>
                </c:ext>
              </c:extLst>
            </c:dLbl>
            <c:dLbl>
              <c:idx val="2"/>
              <c:layout>
                <c:manualLayout>
                  <c:x val="-4.1426603455618185E-17"/>
                  <c:y val="-0.1904953496723463"/>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C6412"/>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4F-46D1-8DBC-22A5D770E1DA}"/>
                </c:ext>
              </c:extLst>
            </c:dLbl>
            <c:dLbl>
              <c:idx val="4"/>
              <c:layout>
                <c:manualLayout>
                  <c:x val="0"/>
                  <c:y val="-0.15070346261971593"/>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4415"/>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94F-46D1-8DBC-22A5D770E1DA}"/>
                </c:ext>
              </c:extLst>
            </c:dLbl>
            <c:dLbl>
              <c:idx val="5"/>
              <c:layout>
                <c:manualLayout>
                  <c:x val="0"/>
                  <c:y val="-0.12326169684681226"/>
                </c:manualLayout>
              </c:layout>
              <c:numFmt formatCode="#,##0" sourceLinked="0"/>
              <c:spPr>
                <a:noFill/>
                <a:ln>
                  <a:noFill/>
                </a:ln>
                <a:effectLst/>
              </c:spPr>
              <c:txPr>
                <a:bodyPr rot="0" spcFirstLastPara="1" vertOverflow="ellipsis" vert="horz" wrap="square" lIns="38100" tIns="19050" rIns="38100" bIns="19050" anchor="ctr" anchorCtr="0">
                  <a:spAutoFit/>
                </a:bodyPr>
                <a:lstStyle/>
                <a:p>
                  <a:pPr algn="ctr" rtl="0">
                    <a:defRPr lang="en-US" sz="1000" b="1" i="0" u="none" strike="noStrike" kern="1200" baseline="0">
                      <a:solidFill>
                        <a:srgbClr val="004415"/>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94F-46D1-8DBC-22A5D770E1DA}"/>
                </c:ext>
              </c:extLst>
            </c:dLbl>
            <c:dLbl>
              <c:idx val="6"/>
              <c:layout>
                <c:manualLayout>
                  <c:x val="-1.6570641382247274E-16"/>
                  <c:y val="-0.23531778488936894"/>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C6412"/>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94F-46D1-8DBC-22A5D770E1D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Trebuchet MS" panose="020B0603020202020204" pitchFamily="34" charset="0"/>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'13.Dividends'!$L$7:$R$7</c:f>
              <c:numCache>
                <c:formatCode>m/d/yyyy</c:formatCode>
                <c:ptCount val="7"/>
                <c:pt idx="0">
                  <c:v>43101</c:v>
                </c:pt>
                <c:pt idx="1">
                  <c:v>43466</c:v>
                </c:pt>
                <c:pt idx="2">
                  <c:v>43831</c:v>
                </c:pt>
                <c:pt idx="3">
                  <c:v>44197</c:v>
                </c:pt>
                <c:pt idx="4">
                  <c:v>44562</c:v>
                </c:pt>
                <c:pt idx="5">
                  <c:v>44927</c:v>
                </c:pt>
                <c:pt idx="6">
                  <c:v>45292</c:v>
                </c:pt>
              </c:numCache>
            </c:numRef>
          </c:cat>
          <c:val>
            <c:numRef>
              <c:f>'13.Dividends'!$L$9:$R$9</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5-494F-46D1-8DBC-22A5D770E1DA}"/>
            </c:ext>
          </c:extLst>
        </c:ser>
        <c:ser>
          <c:idx val="0"/>
          <c:order val="1"/>
          <c:tx>
            <c:strRef>
              <c:f>'13.Dividends'!$Q$7</c:f>
              <c:strCache>
                <c:ptCount val="1"/>
                <c:pt idx="0">
                  <c:v>02/01/2027</c:v>
                </c:pt>
              </c:strCache>
            </c:strRef>
          </c:tx>
          <c:spPr>
            <a:solidFill>
              <a:schemeClr val="accent1"/>
            </a:solidFill>
            <a:ln>
              <a:noFill/>
            </a:ln>
            <a:effectLst/>
          </c:spPr>
          <c:invertIfNegative val="0"/>
          <c:dPt>
            <c:idx val="4"/>
            <c:invertIfNegative val="0"/>
            <c:bubble3D val="0"/>
            <c:spPr>
              <a:solidFill>
                <a:srgbClr val="FFC000"/>
              </a:solidFill>
              <a:ln>
                <a:noFill/>
              </a:ln>
              <a:effectLst/>
            </c:spPr>
            <c:extLst>
              <c:ext xmlns:c16="http://schemas.microsoft.com/office/drawing/2014/chart" uri="{C3380CC4-5D6E-409C-BE32-E72D297353CC}">
                <c16:uniqueId val="{00000007-494F-46D1-8DBC-22A5D770E1DA}"/>
              </c:ext>
            </c:extLst>
          </c:dPt>
          <c:dLbls>
            <c:dLbl>
              <c:idx val="4"/>
              <c:layout>
                <c:manualLayout>
                  <c:x val="-2.3648651794087152E-3"/>
                  <c:y val="-0.15070346261971593"/>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94F-46D1-8DBC-22A5D770E1D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'13.Dividends'!$L$7:$R$7</c:f>
              <c:numCache>
                <c:formatCode>m/d/yyyy</c:formatCode>
                <c:ptCount val="7"/>
                <c:pt idx="0">
                  <c:v>43101</c:v>
                </c:pt>
                <c:pt idx="1">
                  <c:v>43466</c:v>
                </c:pt>
                <c:pt idx="2">
                  <c:v>43831</c:v>
                </c:pt>
                <c:pt idx="3">
                  <c:v>44197</c:v>
                </c:pt>
                <c:pt idx="4">
                  <c:v>44562</c:v>
                </c:pt>
                <c:pt idx="5">
                  <c:v>44927</c:v>
                </c:pt>
                <c:pt idx="6">
                  <c:v>45292</c:v>
                </c:pt>
              </c:numCache>
            </c:numRef>
          </c:cat>
          <c:val>
            <c:numRef>
              <c:f>'13.Dividends'!$L$8:$P$8</c:f>
              <c:numCache>
                <c:formatCode>m/d/yyyy</c:formatCode>
                <c:ptCount val="5"/>
              </c:numCache>
            </c:numRef>
          </c:val>
          <c:extLst>
            <c:ext xmlns:c16="http://schemas.microsoft.com/office/drawing/2014/chart" uri="{C3380CC4-5D6E-409C-BE32-E72D297353CC}">
              <c16:uniqueId val="{00000008-494F-46D1-8DBC-22A5D770E1DA}"/>
            </c:ext>
          </c:extLst>
        </c:ser>
        <c:dLbls>
          <c:showLegendKey val="0"/>
          <c:showVal val="0"/>
          <c:showCatName val="0"/>
          <c:showSerName val="0"/>
          <c:showPercent val="0"/>
          <c:showBubbleSize val="0"/>
        </c:dLbls>
        <c:gapWidth val="100"/>
        <c:overlap val="100"/>
        <c:axId val="483131152"/>
        <c:axId val="483124912"/>
      </c:barChart>
      <c:dateAx>
        <c:axId val="483131152"/>
        <c:scaling>
          <c:orientation val="minMax"/>
        </c:scaling>
        <c:delete val="0"/>
        <c:axPos val="b"/>
        <c:numFmt formatCode="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Trebuchet MS" panose="020B0603020202020204" pitchFamily="34" charset="0"/>
                <a:ea typeface="+mn-ea"/>
                <a:cs typeface="+mn-cs"/>
              </a:defRPr>
            </a:pPr>
            <a:endParaRPr lang="pt-BR"/>
          </a:p>
        </c:txPr>
        <c:crossAx val="483124912"/>
        <c:crosses val="autoZero"/>
        <c:auto val="1"/>
        <c:lblOffset val="100"/>
        <c:baseTimeUnit val="years"/>
      </c:dateAx>
      <c:valAx>
        <c:axId val="483124912"/>
        <c:scaling>
          <c:orientation val="minMax"/>
        </c:scaling>
        <c:delete val="1"/>
        <c:axPos val="l"/>
        <c:numFmt formatCode="#,##0" sourceLinked="0"/>
        <c:majorTickMark val="out"/>
        <c:minorTickMark val="none"/>
        <c:tickLblPos val="nextTo"/>
        <c:crossAx val="483131152"/>
        <c:crosses val="autoZero"/>
        <c:crossBetween val="between"/>
        <c:dispUnits>
          <c:builtInUnit val="m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pt-BR"/>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4179329149025352E-2"/>
          <c:y val="5.5943932726319638E-2"/>
          <c:w val="0.9847696764772621"/>
          <c:h val="0.70483791816298047"/>
        </c:manualLayout>
      </c:layout>
      <c:barChart>
        <c:barDir val="col"/>
        <c:grouping val="stacked"/>
        <c:varyColors val="0"/>
        <c:ser>
          <c:idx val="1"/>
          <c:order val="0"/>
          <c:spPr>
            <a:solidFill>
              <a:srgbClr val="05663A"/>
            </a:solidFill>
            <a:ln>
              <a:noFill/>
            </a:ln>
            <a:effectLst/>
          </c:spPr>
          <c:invertIfNegative val="0"/>
          <c:dLbls>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6="http://schemas.microsoft.com/office/drawing/2014/chart" uri="{C3380CC4-5D6E-409C-BE32-E72D297353CC}">
                  <c16:uniqueId val="{00000000-A59D-43A7-ABE5-81D57DD21BEA}"/>
                </c:ext>
              </c:extLst>
            </c:dLbl>
            <c:dLbl>
              <c:idx val="1"/>
              <c:layout>
                <c:manualLayout>
                  <c:x val="3.9888481764406362E-17"/>
                  <c:y val="4.0506361412428117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9D-43A7-ABE5-81D57DD21BEA}"/>
                </c:ext>
              </c:extLst>
            </c:dLbl>
            <c:dLbl>
              <c:idx val="2"/>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6="http://schemas.microsoft.com/office/drawing/2014/chart" uri="{C3380CC4-5D6E-409C-BE32-E72D297353CC}">
                  <c16:uniqueId val="{00000002-A59D-43A7-ABE5-81D57DD21BEA}"/>
                </c:ext>
              </c:extLst>
            </c:dLbl>
            <c:dLbl>
              <c:idx val="3"/>
              <c:layout>
                <c:manualLayout>
                  <c:x val="0"/>
                  <c:y val="0"/>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59D-43A7-ABE5-81D57DD21BEA}"/>
                </c:ext>
              </c:extLst>
            </c:dLbl>
            <c:dLbl>
              <c:idx val="4"/>
              <c:layout>
                <c:manualLayout>
                  <c:x val="2.5871713103557572E-3"/>
                  <c:y val="-0.163064101045558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59D-43A7-ABE5-81D57DD21BEA}"/>
                </c:ext>
              </c:extLst>
            </c:dLbl>
            <c:dLbl>
              <c:idx val="5"/>
              <c:layout>
                <c:manualLayout>
                  <c:x val="2.5506725239748153E-3"/>
                  <c:y val="-0.1644854971359271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59D-43A7-ABE5-81D57DD21BEA}"/>
                </c:ext>
              </c:extLst>
            </c:dLbl>
            <c:dLbl>
              <c:idx val="6"/>
              <c:layout>
                <c:manualLayout>
                  <c:x val="5.1012446277715218E-3"/>
                  <c:y val="-0.2237752904018713"/>
                </c:manualLayout>
              </c:layout>
              <c:numFmt formatCode="#,##0" sourceLinked="0"/>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rgbClr val="05663A"/>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15:layout>
                    <c:manualLayout>
                      <c:w val="8.5651583355074293E-2"/>
                      <c:h val="0.20822331760736168"/>
                    </c:manualLayout>
                  </c15:layout>
                </c:ext>
                <c:ext xmlns:c16="http://schemas.microsoft.com/office/drawing/2014/chart" uri="{C3380CC4-5D6E-409C-BE32-E72D297353CC}">
                  <c16:uniqueId val="{00000006-A59D-43A7-ABE5-81D57DD21BE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5663A"/>
                    </a:solidFill>
                    <a:latin typeface="Trebuchet MS" panose="020B0603020202020204" pitchFamily="34" charset="0"/>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'13.Dividends'!$L$12:$L$18</c:f>
              <c:numCache>
                <c:formatCode>General</c:formatCode>
                <c:ptCount val="7"/>
                <c:pt idx="0">
                  <c:v>2017</c:v>
                </c:pt>
                <c:pt idx="1">
                  <c:v>2018</c:v>
                </c:pt>
                <c:pt idx="2">
                  <c:v>2019</c:v>
                </c:pt>
                <c:pt idx="3">
                  <c:v>2020</c:v>
                </c:pt>
                <c:pt idx="4">
                  <c:v>2021</c:v>
                </c:pt>
                <c:pt idx="5">
                  <c:v>2022</c:v>
                </c:pt>
                <c:pt idx="6">
                  <c:v>2023</c:v>
                </c:pt>
              </c:numCache>
            </c:numRef>
          </c:cat>
          <c:val>
            <c:numRef>
              <c:f>'13.Dividends'!$M$12:$M$18</c:f>
              <c:numCache>
                <c:formatCode>#,##0.00</c:formatCode>
                <c:ptCount val="7"/>
                <c:pt idx="0">
                  <c:v>1092160222.76</c:v>
                </c:pt>
                <c:pt idx="1">
                  <c:v>3145747899.0500002</c:v>
                </c:pt>
                <c:pt idx="2">
                  <c:v>1148849830.8499999</c:v>
                </c:pt>
                <c:pt idx="3">
                  <c:v>2327304908.9700003</c:v>
                </c:pt>
                <c:pt idx="4">
                  <c:v>663674975.38999999</c:v>
                </c:pt>
                <c:pt idx="5">
                  <c:v>823993081.64400005</c:v>
                </c:pt>
                <c:pt idx="6">
                  <c:v>1604581530.0600002</c:v>
                </c:pt>
              </c:numCache>
            </c:numRef>
          </c:val>
          <c:extLst>
            <c:ext xmlns:c16="http://schemas.microsoft.com/office/drawing/2014/chart" uri="{C3380CC4-5D6E-409C-BE32-E72D297353CC}">
              <c16:uniqueId val="{00000007-A59D-43A7-ABE5-81D57DD21BEA}"/>
            </c:ext>
          </c:extLst>
        </c:ser>
        <c:ser>
          <c:idx val="0"/>
          <c:order val="1"/>
          <c:tx>
            <c:strRef>
              <c:f>'13.Dividends'!$R$10</c:f>
              <c:strCache>
                <c:ptCount val="1"/>
              </c:strCache>
            </c:strRef>
          </c:tx>
          <c:spPr>
            <a:solidFill>
              <a:schemeClr val="accent1"/>
            </a:solidFill>
            <a:ln>
              <a:noFill/>
            </a:ln>
            <a:effectLst/>
          </c:spPr>
          <c:invertIfNegative val="0"/>
          <c:dPt>
            <c:idx val="4"/>
            <c:invertIfNegative val="0"/>
            <c:bubble3D val="0"/>
            <c:spPr>
              <a:solidFill>
                <a:srgbClr val="FFC000"/>
              </a:solidFill>
              <a:ln>
                <a:noFill/>
              </a:ln>
              <a:effectLst/>
            </c:spPr>
            <c:extLst>
              <c:ext xmlns:c16="http://schemas.microsoft.com/office/drawing/2014/chart" uri="{C3380CC4-5D6E-409C-BE32-E72D297353CC}">
                <c16:uniqueId val="{00000009-A59D-43A7-ABE5-81D57DD21BEA}"/>
              </c:ext>
            </c:extLst>
          </c:dPt>
          <c:dLbls>
            <c:dLbl>
              <c:idx val="4"/>
              <c:layout>
                <c:manualLayout>
                  <c:x val="4.3515210064965296E-3"/>
                  <c:y val="-0.16202544564971247"/>
                </c:manualLayout>
              </c:layout>
              <c:numFmt formatCode="#,##0" sourceLinked="0"/>
              <c:spPr>
                <a:solidFill>
                  <a:srgbClr val="FFC000"/>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85000"/>
                          <a:lumOff val="15000"/>
                        </a:schemeClr>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59D-43A7-ABE5-81D57DD21BE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Trebuchet MS" panose="020B0603020202020204" pitchFamily="34" charset="0"/>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'13.Dividends'!$L$12:$L$18</c:f>
              <c:numCache>
                <c:formatCode>General</c:formatCode>
                <c:ptCount val="7"/>
                <c:pt idx="0">
                  <c:v>2017</c:v>
                </c:pt>
                <c:pt idx="1">
                  <c:v>2018</c:v>
                </c:pt>
                <c:pt idx="2">
                  <c:v>2019</c:v>
                </c:pt>
                <c:pt idx="3">
                  <c:v>2020</c:v>
                </c:pt>
                <c:pt idx="4">
                  <c:v>2021</c:v>
                </c:pt>
                <c:pt idx="5">
                  <c:v>2022</c:v>
                </c:pt>
                <c:pt idx="6">
                  <c:v>2023</c:v>
                </c:pt>
              </c:numCache>
            </c:numRef>
          </c:cat>
          <c:val>
            <c:numRef>
              <c:f>'13.Dividends'!$R$10:$R$14</c:f>
              <c:numCache>
                <c:formatCode>General</c:formatCode>
                <c:ptCount val="5"/>
              </c:numCache>
            </c:numRef>
          </c:val>
          <c:extLst>
            <c:ext xmlns:c16="http://schemas.microsoft.com/office/drawing/2014/chart" uri="{C3380CC4-5D6E-409C-BE32-E72D297353CC}">
              <c16:uniqueId val="{0000000A-A59D-43A7-ABE5-81D57DD21BEA}"/>
            </c:ext>
          </c:extLst>
        </c:ser>
        <c:dLbls>
          <c:showLegendKey val="0"/>
          <c:showVal val="0"/>
          <c:showCatName val="0"/>
          <c:showSerName val="0"/>
          <c:showPercent val="0"/>
          <c:showBubbleSize val="0"/>
        </c:dLbls>
        <c:gapWidth val="100"/>
        <c:overlap val="100"/>
        <c:axId val="483131152"/>
        <c:axId val="483124912"/>
      </c:barChart>
      <c:catAx>
        <c:axId val="48313115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Trebuchet MS" panose="020B0603020202020204" pitchFamily="34" charset="0"/>
                <a:ea typeface="+mn-ea"/>
                <a:cs typeface="+mn-cs"/>
              </a:defRPr>
            </a:pPr>
            <a:endParaRPr lang="pt-BR"/>
          </a:p>
        </c:txPr>
        <c:crossAx val="483124912"/>
        <c:crosses val="autoZero"/>
        <c:auto val="1"/>
        <c:lblAlgn val="ctr"/>
        <c:lblOffset val="100"/>
        <c:noMultiLvlLbl val="0"/>
      </c:catAx>
      <c:valAx>
        <c:axId val="483124912"/>
        <c:scaling>
          <c:orientation val="minMax"/>
        </c:scaling>
        <c:delete val="1"/>
        <c:axPos val="l"/>
        <c:numFmt formatCode="#,##0" sourceLinked="0"/>
        <c:majorTickMark val="out"/>
        <c:minorTickMark val="none"/>
        <c:tickLblPos val="nextTo"/>
        <c:crossAx val="483131152"/>
        <c:crosses val="autoZero"/>
        <c:crossBetween val="between"/>
        <c:dispUnits>
          <c:builtInUnit val="m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pt-BR"/>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4. CFR'!A1"/><Relationship Id="rId13" Type="http://schemas.openxmlformats.org/officeDocument/2006/relationships/hyperlink" Target="#'9. Expenses by nature'!A1"/><Relationship Id="rId18" Type="http://schemas.openxmlformats.org/officeDocument/2006/relationships/hyperlink" Target="#'14. Dividends'!A1"/><Relationship Id="rId3" Type="http://schemas.openxmlformats.org/officeDocument/2006/relationships/hyperlink" Target="#'1. Volume'!A1"/><Relationship Id="rId21" Type="http://schemas.openxmlformats.org/officeDocument/2006/relationships/hyperlink" Target="#'14. Consensus'!A1"/><Relationship Id="rId7" Type="http://schemas.openxmlformats.org/officeDocument/2006/relationships/hyperlink" Target="#'3. Balance Sheet'!A1"/><Relationship Id="rId12" Type="http://schemas.openxmlformats.org/officeDocument/2006/relationships/hyperlink" Target="#'8. Investments (CAPEX)'!A1"/><Relationship Id="rId17" Type="http://schemas.openxmlformats.org/officeDocument/2006/relationships/hyperlink" Target="#'12. ESG'!A1"/><Relationship Id="rId25" Type="http://schemas.microsoft.com/office/2007/relationships/hdphoto" Target="../media/hdphoto2.wdp"/><Relationship Id="rId2" Type="http://schemas.microsoft.com/office/2007/relationships/hdphoto" Target="../media/hdphoto1.wdp"/><Relationship Id="rId16" Type="http://schemas.openxmlformats.org/officeDocument/2006/relationships/hyperlink" Target="#'13. ESG'!A1"/><Relationship Id="rId20" Type="http://schemas.openxmlformats.org/officeDocument/2006/relationships/hyperlink" Target="#'15. Consensus'!A1"/><Relationship Id="rId1" Type="http://schemas.openxmlformats.org/officeDocument/2006/relationships/image" Target="../media/image1.png"/><Relationship Id="rId6" Type="http://schemas.openxmlformats.org/officeDocument/2006/relationships/hyperlink" Target="#'2. Income Statement'!A1"/><Relationship Id="rId11" Type="http://schemas.openxmlformats.org/officeDocument/2006/relationships/hyperlink" Target="#'7. EBITDA Reconciliation'!A1"/><Relationship Id="rId24" Type="http://schemas.openxmlformats.org/officeDocument/2006/relationships/image" Target="../media/image4.png"/><Relationship Id="rId5" Type="http://schemas.openxmlformats.org/officeDocument/2006/relationships/image" Target="../media/image3.svg"/><Relationship Id="rId15" Type="http://schemas.openxmlformats.org/officeDocument/2006/relationships/hyperlink" Target="#'11. Debt'!A1"/><Relationship Id="rId23" Type="http://schemas.openxmlformats.org/officeDocument/2006/relationships/hyperlink" Target="#'15. Disclaimer'!A1"/><Relationship Id="rId10" Type="http://schemas.openxmlformats.org/officeDocument/2006/relationships/hyperlink" Target="#'6. Reconciliation'!A1"/><Relationship Id="rId19" Type="http://schemas.openxmlformats.org/officeDocument/2006/relationships/hyperlink" Target="#'13.Dividends'!A1"/><Relationship Id="rId4" Type="http://schemas.openxmlformats.org/officeDocument/2006/relationships/image" Target="../media/image2.png"/><Relationship Id="rId9" Type="http://schemas.openxmlformats.org/officeDocument/2006/relationships/hyperlink" Target="#'5. Segment Reporting'!A1"/><Relationship Id="rId14" Type="http://schemas.openxmlformats.org/officeDocument/2006/relationships/hyperlink" Target="#'10. Hedge'!A1"/><Relationship Id="rId22" Type="http://schemas.openxmlformats.org/officeDocument/2006/relationships/hyperlink" Target="#'16. Disclaimer'!A1"/></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hyperlink" Target="#Index!A1"/><Relationship Id="rId6" Type="http://schemas.openxmlformats.org/officeDocument/2006/relationships/hyperlink" Target="https://api.mziq.com/mzfilemanager/v2/d/d243bdaa-0468-4f64-8c09-ba0bcee9789b/5f32e8ec-4d06-f6a9-cb0e-65ccd921da60?origin=1" TargetMode="External"/><Relationship Id="rId5" Type="http://schemas.openxmlformats.org/officeDocument/2006/relationships/image" Target="../media/image8.svg"/><Relationship Id="rId4" Type="http://schemas.openxmlformats.org/officeDocument/2006/relationships/image" Target="../media/image7.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0.svg"/><Relationship Id="rId7" Type="http://schemas.openxmlformats.org/officeDocument/2006/relationships/image" Target="../media/image11.png"/><Relationship Id="rId2" Type="http://schemas.openxmlformats.org/officeDocument/2006/relationships/image" Target="../media/image9.png"/><Relationship Id="rId1" Type="http://schemas.openxmlformats.org/officeDocument/2006/relationships/chart" Target="../charts/chart1.xml"/><Relationship Id="rId6" Type="http://schemas.openxmlformats.org/officeDocument/2006/relationships/hyperlink" Target="#Index!A1"/><Relationship Id="rId5" Type="http://schemas.openxmlformats.org/officeDocument/2006/relationships/chart" Target="../charts/chart2.xml"/><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0</xdr:colOff>
      <xdr:row>28</xdr:row>
      <xdr:rowOff>0</xdr:rowOff>
    </xdr:to>
    <xdr:pic>
      <xdr:nvPicPr>
        <xdr:cNvPr id="88" name="Imagem 87">
          <a:extLst>
            <a:ext uri="{FF2B5EF4-FFF2-40B4-BE49-F238E27FC236}">
              <a16:creationId xmlns:a16="http://schemas.microsoft.com/office/drawing/2014/main" id="{DD6C60F9-BA0D-4E12-AA1D-508EE368684D}"/>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300000"/>
                  </a14:imgEffect>
                </a14:imgLayer>
              </a14:imgProps>
            </a:ext>
            <a:ext uri="{28A0092B-C50C-407E-A947-70E740481C1C}">
              <a14:useLocalDpi xmlns:a14="http://schemas.microsoft.com/office/drawing/2010/main" val="0"/>
            </a:ext>
          </a:extLst>
        </a:blip>
        <a:stretch>
          <a:fillRect/>
        </a:stretch>
      </xdr:blipFill>
      <xdr:spPr>
        <a:xfrm>
          <a:off x="0" y="0"/>
          <a:ext cx="10613571" cy="6041571"/>
        </a:xfrm>
        <a:prstGeom prst="rect">
          <a:avLst/>
        </a:prstGeom>
      </xdr:spPr>
    </xdr:pic>
    <xdr:clientData/>
  </xdr:twoCellAnchor>
  <xdr:twoCellAnchor>
    <xdr:from>
      <xdr:col>0</xdr:col>
      <xdr:colOff>0</xdr:colOff>
      <xdr:row>0</xdr:row>
      <xdr:rowOff>0</xdr:rowOff>
    </xdr:from>
    <xdr:to>
      <xdr:col>16</xdr:col>
      <xdr:colOff>0</xdr:colOff>
      <xdr:row>28</xdr:row>
      <xdr:rowOff>0</xdr:rowOff>
    </xdr:to>
    <xdr:sp macro="" textlink="">
      <xdr:nvSpPr>
        <xdr:cNvPr id="87" name="Retângulo 86">
          <a:extLst>
            <a:ext uri="{FF2B5EF4-FFF2-40B4-BE49-F238E27FC236}">
              <a16:creationId xmlns:a16="http://schemas.microsoft.com/office/drawing/2014/main" id="{B2A8E466-70DE-4BBD-9DCB-EEB8F6F920CB}"/>
            </a:ext>
          </a:extLst>
        </xdr:cNvPr>
        <xdr:cNvSpPr/>
      </xdr:nvSpPr>
      <xdr:spPr>
        <a:xfrm>
          <a:off x="0" y="0"/>
          <a:ext cx="10613571" cy="6041571"/>
        </a:xfrm>
        <a:prstGeom prst="rect">
          <a:avLst/>
        </a:prstGeom>
        <a:solidFill>
          <a:srgbClr val="000000">
            <a:alpha val="27059"/>
          </a:srgb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pt-BR" sz="1100"/>
        </a:p>
      </xdr:txBody>
    </xdr:sp>
    <xdr:clientData/>
  </xdr:twoCellAnchor>
  <xdr:oneCellAnchor>
    <xdr:from>
      <xdr:col>4</xdr:col>
      <xdr:colOff>482600</xdr:colOff>
      <xdr:row>0</xdr:row>
      <xdr:rowOff>89354</xdr:rowOff>
    </xdr:from>
    <xdr:ext cx="5164364" cy="468539"/>
    <xdr:sp macro="" textlink="">
      <xdr:nvSpPr>
        <xdr:cNvPr id="9" name="CaixaDeTexto 3">
          <a:extLst>
            <a:ext uri="{FF2B5EF4-FFF2-40B4-BE49-F238E27FC236}">
              <a16:creationId xmlns:a16="http://schemas.microsoft.com/office/drawing/2014/main" id="{1E62E635-AD80-4A91-9E78-9C6B9B9A5E6B}"/>
            </a:ext>
          </a:extLst>
        </xdr:cNvPr>
        <xdr:cNvSpPr txBox="1"/>
      </xdr:nvSpPr>
      <xdr:spPr>
        <a:xfrm>
          <a:off x="2931886" y="89354"/>
          <a:ext cx="5164364" cy="4685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pt-BR" sz="1800" b="1" u="none">
              <a:solidFill>
                <a:schemeClr val="bg1"/>
              </a:solidFill>
              <a:latin typeface="Trebuchet MS" panose="020B0603020202020204" pitchFamily="34" charset="0"/>
            </a:rPr>
            <a:t>VALUATION GUIDE - 2Q24</a:t>
          </a:r>
        </a:p>
      </xdr:txBody>
    </xdr:sp>
    <xdr:clientData/>
  </xdr:oneCellAnchor>
  <xdr:twoCellAnchor>
    <xdr:from>
      <xdr:col>1</xdr:col>
      <xdr:colOff>348340</xdr:colOff>
      <xdr:row>6</xdr:row>
      <xdr:rowOff>40822</xdr:rowOff>
    </xdr:from>
    <xdr:to>
      <xdr:col>5</xdr:col>
      <xdr:colOff>218526</xdr:colOff>
      <xdr:row>22</xdr:row>
      <xdr:rowOff>19049</xdr:rowOff>
    </xdr:to>
    <xdr:grpSp>
      <xdr:nvGrpSpPr>
        <xdr:cNvPr id="8" name="Agrupar 7">
          <a:extLst>
            <a:ext uri="{FF2B5EF4-FFF2-40B4-BE49-F238E27FC236}">
              <a16:creationId xmlns:a16="http://schemas.microsoft.com/office/drawing/2014/main" id="{EAE5CE81-065F-454C-B3FF-CE7A352CB313}"/>
            </a:ext>
          </a:extLst>
        </xdr:cNvPr>
        <xdr:cNvGrpSpPr/>
      </xdr:nvGrpSpPr>
      <xdr:grpSpPr>
        <a:xfrm>
          <a:off x="992411" y="1392465"/>
          <a:ext cx="2446472" cy="2962727"/>
          <a:chOff x="416381" y="1374322"/>
          <a:chExt cx="2319472" cy="3039834"/>
        </a:xfrm>
      </xdr:grpSpPr>
      <xdr:grpSp>
        <xdr:nvGrpSpPr>
          <xdr:cNvPr id="3" name="Agrupar 2">
            <a:hlinkClick xmlns:r="http://schemas.openxmlformats.org/officeDocument/2006/relationships" r:id="rId3"/>
            <a:extLst>
              <a:ext uri="{FF2B5EF4-FFF2-40B4-BE49-F238E27FC236}">
                <a16:creationId xmlns:a16="http://schemas.microsoft.com/office/drawing/2014/main" id="{8D245B65-5E6A-4938-825E-48A5D4431868}"/>
              </a:ext>
            </a:extLst>
          </xdr:cNvPr>
          <xdr:cNvGrpSpPr/>
        </xdr:nvGrpSpPr>
        <xdr:grpSpPr>
          <a:xfrm>
            <a:off x="449036" y="1374322"/>
            <a:ext cx="2286817" cy="462642"/>
            <a:chOff x="449036" y="1374322"/>
            <a:chExt cx="2286817" cy="462642"/>
          </a:xfrm>
        </xdr:grpSpPr>
        <xdr:sp macro="" textlink="">
          <xdr:nvSpPr>
            <xdr:cNvPr id="4" name="Elipse 6">
              <a:extLst>
                <a:ext uri="{FF2B5EF4-FFF2-40B4-BE49-F238E27FC236}">
                  <a16:creationId xmlns:a16="http://schemas.microsoft.com/office/drawing/2014/main" id="{310AB01D-DE94-49D5-8FD8-47F7DBD21511}"/>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5" name="Retângulo 2">
              <a:extLst>
                <a:ext uri="{FF2B5EF4-FFF2-40B4-BE49-F238E27FC236}">
                  <a16:creationId xmlns:a16="http://schemas.microsoft.com/office/drawing/2014/main" id="{9B9E4D38-43DB-4EF7-A3F8-C9CB357FEC5D}"/>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Gráfico 5" descr="Acento Circunflexo para Baixo estrutura de tópicos">
              <a:extLst>
                <a:ext uri="{FF2B5EF4-FFF2-40B4-BE49-F238E27FC236}">
                  <a16:creationId xmlns:a16="http://schemas.microsoft.com/office/drawing/2014/main" id="{FAF99AE7-7EC4-4F49-9A1A-C99A085AE04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7" name="CaixaDeTexto 6">
              <a:extLst>
                <a:ext uri="{FF2B5EF4-FFF2-40B4-BE49-F238E27FC236}">
                  <a16:creationId xmlns:a16="http://schemas.microsoft.com/office/drawing/2014/main" id="{1804829A-CD93-4E88-AE98-776CC871737F}"/>
                </a:ext>
              </a:extLst>
            </xdr:cNvPr>
            <xdr:cNvSpPr txBox="1"/>
          </xdr:nvSpPr>
          <xdr:spPr>
            <a:xfrm>
              <a:off x="500198" y="1473627"/>
              <a:ext cx="1651219" cy="358382"/>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 Volume</a:t>
              </a:r>
            </a:p>
          </xdr:txBody>
        </xdr:sp>
      </xdr:grpSp>
      <xdr:grpSp>
        <xdr:nvGrpSpPr>
          <xdr:cNvPr id="10" name="Agrupar 9">
            <a:hlinkClick xmlns:r="http://schemas.openxmlformats.org/officeDocument/2006/relationships" r:id="rId6"/>
            <a:extLst>
              <a:ext uri="{FF2B5EF4-FFF2-40B4-BE49-F238E27FC236}">
                <a16:creationId xmlns:a16="http://schemas.microsoft.com/office/drawing/2014/main" id="{50B2D1E4-BD75-426B-8792-C2A458521AE4}"/>
              </a:ext>
            </a:extLst>
          </xdr:cNvPr>
          <xdr:cNvGrpSpPr/>
        </xdr:nvGrpSpPr>
        <xdr:grpSpPr>
          <a:xfrm>
            <a:off x="438151" y="1975758"/>
            <a:ext cx="2286817" cy="462642"/>
            <a:chOff x="449036" y="1374322"/>
            <a:chExt cx="2286817" cy="462642"/>
          </a:xfrm>
        </xdr:grpSpPr>
        <xdr:sp macro="" textlink="">
          <xdr:nvSpPr>
            <xdr:cNvPr id="11" name="Elipse 6">
              <a:extLst>
                <a:ext uri="{FF2B5EF4-FFF2-40B4-BE49-F238E27FC236}">
                  <a16:creationId xmlns:a16="http://schemas.microsoft.com/office/drawing/2014/main" id="{CFEFD474-5C07-4EF6-AC5E-B0EBF3F91553}"/>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2" name="Retângulo 2">
              <a:extLst>
                <a:ext uri="{FF2B5EF4-FFF2-40B4-BE49-F238E27FC236}">
                  <a16:creationId xmlns:a16="http://schemas.microsoft.com/office/drawing/2014/main" id="{F2A9B099-33A1-49BB-87A2-68DE6831F360}"/>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13" name="Gráfico 12" descr="Acento Circunflexo para Baixo estrutura de tópicos">
              <a:extLst>
                <a:ext uri="{FF2B5EF4-FFF2-40B4-BE49-F238E27FC236}">
                  <a16:creationId xmlns:a16="http://schemas.microsoft.com/office/drawing/2014/main" id="{68C9DFFB-B1CA-4775-ADF1-5F320F0A536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14" name="CaixaDeTexto 13">
              <a:extLst>
                <a:ext uri="{FF2B5EF4-FFF2-40B4-BE49-F238E27FC236}">
                  <a16:creationId xmlns:a16="http://schemas.microsoft.com/office/drawing/2014/main" id="{83BA2ED5-DB7D-4023-A2AF-71DF96FC96B3}"/>
                </a:ext>
              </a:extLst>
            </xdr:cNvPr>
            <xdr:cNvSpPr txBox="1"/>
          </xdr:nvSpPr>
          <xdr:spPr>
            <a:xfrm>
              <a:off x="486591" y="1473627"/>
              <a:ext cx="1905544" cy="358382"/>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2.</a:t>
              </a:r>
              <a:r>
                <a:rPr lang="pt-BR" sz="1200" b="1" baseline="0">
                  <a:solidFill>
                    <a:srgbClr val="05663A"/>
                  </a:solidFill>
                  <a:latin typeface="Trebuchet MS" panose="020B0603020202020204" pitchFamily="34" charset="0"/>
                </a:rPr>
                <a:t> </a:t>
              </a:r>
              <a:r>
                <a:rPr lang="pt-BR" sz="1200" b="1">
                  <a:solidFill>
                    <a:srgbClr val="05663A"/>
                  </a:solidFill>
                  <a:latin typeface="Trebuchet MS" panose="020B0603020202020204" pitchFamily="34" charset="0"/>
                </a:rPr>
                <a:t>Income Statement</a:t>
              </a:r>
            </a:p>
          </xdr:txBody>
        </xdr:sp>
      </xdr:grpSp>
      <xdr:grpSp>
        <xdr:nvGrpSpPr>
          <xdr:cNvPr id="15" name="Agrupar 14">
            <a:hlinkClick xmlns:r="http://schemas.openxmlformats.org/officeDocument/2006/relationships" r:id="rId7"/>
            <a:extLst>
              <a:ext uri="{FF2B5EF4-FFF2-40B4-BE49-F238E27FC236}">
                <a16:creationId xmlns:a16="http://schemas.microsoft.com/office/drawing/2014/main" id="{05063CAB-A70C-4186-BC0A-F73F3C35A555}"/>
              </a:ext>
            </a:extLst>
          </xdr:cNvPr>
          <xdr:cNvGrpSpPr/>
        </xdr:nvGrpSpPr>
        <xdr:grpSpPr>
          <a:xfrm>
            <a:off x="427266" y="2604408"/>
            <a:ext cx="2286817" cy="566054"/>
            <a:chOff x="449036" y="1374322"/>
            <a:chExt cx="2286817" cy="566054"/>
          </a:xfrm>
        </xdr:grpSpPr>
        <xdr:sp macro="" textlink="">
          <xdr:nvSpPr>
            <xdr:cNvPr id="16" name="Elipse 6">
              <a:extLst>
                <a:ext uri="{FF2B5EF4-FFF2-40B4-BE49-F238E27FC236}">
                  <a16:creationId xmlns:a16="http://schemas.microsoft.com/office/drawing/2014/main" id="{9B470946-D3DB-4073-9D8A-1F4F786C01F9}"/>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7" name="Retângulo 2">
              <a:extLst>
                <a:ext uri="{FF2B5EF4-FFF2-40B4-BE49-F238E27FC236}">
                  <a16:creationId xmlns:a16="http://schemas.microsoft.com/office/drawing/2014/main" id="{A976037B-EA2D-400B-A80D-C7E37941A5BA}"/>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18" name="Gráfico 17" descr="Acento Circunflexo para Baixo estrutura de tópicos">
              <a:extLst>
                <a:ext uri="{FF2B5EF4-FFF2-40B4-BE49-F238E27FC236}">
                  <a16:creationId xmlns:a16="http://schemas.microsoft.com/office/drawing/2014/main" id="{476514B0-1ED5-4B25-B27E-17712437AB4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19" name="CaixaDeTexto 18">
              <a:extLst>
                <a:ext uri="{FF2B5EF4-FFF2-40B4-BE49-F238E27FC236}">
                  <a16:creationId xmlns:a16="http://schemas.microsoft.com/office/drawing/2014/main" id="{98BF48D5-D71B-4093-BD63-99BC33C837BC}"/>
                </a:ext>
              </a:extLst>
            </xdr:cNvPr>
            <xdr:cNvSpPr txBox="1"/>
          </xdr:nvSpPr>
          <xdr:spPr>
            <a:xfrm>
              <a:off x="472983" y="1473625"/>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3. Balance Sheet</a:t>
              </a:r>
            </a:p>
          </xdr:txBody>
        </xdr:sp>
      </xdr:grpSp>
      <xdr:grpSp>
        <xdr:nvGrpSpPr>
          <xdr:cNvPr id="20" name="Agrupar 19">
            <a:hlinkClick xmlns:r="http://schemas.openxmlformats.org/officeDocument/2006/relationships" r:id="rId8"/>
            <a:extLst>
              <a:ext uri="{FF2B5EF4-FFF2-40B4-BE49-F238E27FC236}">
                <a16:creationId xmlns:a16="http://schemas.microsoft.com/office/drawing/2014/main" id="{A7AC1A57-948F-484B-B66B-5AB3CA253B18}"/>
              </a:ext>
            </a:extLst>
          </xdr:cNvPr>
          <xdr:cNvGrpSpPr/>
        </xdr:nvGrpSpPr>
        <xdr:grpSpPr>
          <a:xfrm>
            <a:off x="416381" y="3279322"/>
            <a:ext cx="2286817" cy="560612"/>
            <a:chOff x="449036" y="1374322"/>
            <a:chExt cx="2286817" cy="566054"/>
          </a:xfrm>
        </xdr:grpSpPr>
        <xdr:sp macro="" textlink="">
          <xdr:nvSpPr>
            <xdr:cNvPr id="21" name="Elipse 6">
              <a:extLst>
                <a:ext uri="{FF2B5EF4-FFF2-40B4-BE49-F238E27FC236}">
                  <a16:creationId xmlns:a16="http://schemas.microsoft.com/office/drawing/2014/main" id="{1D468B04-3B8A-4043-8722-3C0F5BFE5D26}"/>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2" name="Retângulo 2">
              <a:extLst>
                <a:ext uri="{FF2B5EF4-FFF2-40B4-BE49-F238E27FC236}">
                  <a16:creationId xmlns:a16="http://schemas.microsoft.com/office/drawing/2014/main" id="{9D445216-2D78-4305-8E96-CD4B21697009}"/>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23" name="Gráfico 22" descr="Acento Circunflexo para Baixo estrutura de tópicos">
              <a:extLst>
                <a:ext uri="{FF2B5EF4-FFF2-40B4-BE49-F238E27FC236}">
                  <a16:creationId xmlns:a16="http://schemas.microsoft.com/office/drawing/2014/main" id="{0D23E635-18A0-4D1C-BE0B-39949B0604B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24" name="CaixaDeTexto 23">
              <a:extLst>
                <a:ext uri="{FF2B5EF4-FFF2-40B4-BE49-F238E27FC236}">
                  <a16:creationId xmlns:a16="http://schemas.microsoft.com/office/drawing/2014/main" id="{EA3881E6-74F9-4B3D-9D4F-B2FE30E6BC3E}"/>
                </a:ext>
              </a:extLst>
            </xdr:cNvPr>
            <xdr:cNvSpPr txBox="1"/>
          </xdr:nvSpPr>
          <xdr:spPr>
            <a:xfrm>
              <a:off x="472983" y="1473625"/>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4.</a:t>
              </a:r>
              <a:r>
                <a:rPr lang="pt-BR" sz="1200" b="1" baseline="0">
                  <a:solidFill>
                    <a:srgbClr val="05663A"/>
                  </a:solidFill>
                  <a:latin typeface="Trebuchet MS" panose="020B0603020202020204" pitchFamily="34" charset="0"/>
                </a:rPr>
                <a:t> CFR</a:t>
              </a:r>
              <a:endParaRPr lang="pt-BR" sz="1200" b="1">
                <a:solidFill>
                  <a:srgbClr val="05663A"/>
                </a:solidFill>
                <a:latin typeface="Trebuchet MS" panose="020B0603020202020204" pitchFamily="34" charset="0"/>
              </a:endParaRPr>
            </a:p>
          </xdr:txBody>
        </xdr:sp>
      </xdr:grpSp>
      <xdr:grpSp>
        <xdr:nvGrpSpPr>
          <xdr:cNvPr id="25" name="Agrupar 24">
            <a:hlinkClick xmlns:r="http://schemas.openxmlformats.org/officeDocument/2006/relationships" r:id="rId9"/>
            <a:extLst>
              <a:ext uri="{FF2B5EF4-FFF2-40B4-BE49-F238E27FC236}">
                <a16:creationId xmlns:a16="http://schemas.microsoft.com/office/drawing/2014/main" id="{5A5EA9BB-C648-4B0F-8DF9-B3D2C4762316}"/>
              </a:ext>
            </a:extLst>
          </xdr:cNvPr>
          <xdr:cNvGrpSpPr/>
        </xdr:nvGrpSpPr>
        <xdr:grpSpPr>
          <a:xfrm>
            <a:off x="432710" y="3907973"/>
            <a:ext cx="2286817" cy="506183"/>
            <a:chOff x="449036" y="1374322"/>
            <a:chExt cx="2286817" cy="511626"/>
          </a:xfrm>
        </xdr:grpSpPr>
        <xdr:sp macro="" textlink="">
          <xdr:nvSpPr>
            <xdr:cNvPr id="26" name="Elipse 6">
              <a:extLst>
                <a:ext uri="{FF2B5EF4-FFF2-40B4-BE49-F238E27FC236}">
                  <a16:creationId xmlns:a16="http://schemas.microsoft.com/office/drawing/2014/main" id="{E3761ED6-AF62-4595-9F95-561FDAC2291C}"/>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7" name="Retângulo 2">
              <a:extLst>
                <a:ext uri="{FF2B5EF4-FFF2-40B4-BE49-F238E27FC236}">
                  <a16:creationId xmlns:a16="http://schemas.microsoft.com/office/drawing/2014/main" id="{9DEB4542-B462-42A7-AE1F-775DDC8468CD}"/>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28" name="Gráfico 27" descr="Acento Circunflexo para Baixo estrutura de tópicos">
              <a:extLst>
                <a:ext uri="{FF2B5EF4-FFF2-40B4-BE49-F238E27FC236}">
                  <a16:creationId xmlns:a16="http://schemas.microsoft.com/office/drawing/2014/main" id="{AD3F504E-A2E1-4D46-B6A5-9434F5A40E1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29" name="CaixaDeTexto 28">
              <a:extLst>
                <a:ext uri="{FF2B5EF4-FFF2-40B4-BE49-F238E27FC236}">
                  <a16:creationId xmlns:a16="http://schemas.microsoft.com/office/drawing/2014/main" id="{4B7F2CD2-7467-4C4C-A38E-9121E61886FB}"/>
                </a:ext>
              </a:extLst>
            </xdr:cNvPr>
            <xdr:cNvSpPr txBox="1"/>
          </xdr:nvSpPr>
          <xdr:spPr>
            <a:xfrm>
              <a:off x="472983" y="1419197"/>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5.</a:t>
              </a:r>
              <a:r>
                <a:rPr lang="pt-BR" sz="1200" b="1" baseline="0">
                  <a:solidFill>
                    <a:srgbClr val="05663A"/>
                  </a:solidFill>
                  <a:latin typeface="Trebuchet MS" panose="020B0603020202020204" pitchFamily="34" charset="0"/>
                </a:rPr>
                <a:t> Segment Reporting</a:t>
              </a:r>
              <a:endParaRPr lang="pt-BR" sz="1200" b="1">
                <a:solidFill>
                  <a:srgbClr val="05663A"/>
                </a:solidFill>
                <a:latin typeface="Trebuchet MS" panose="020B0603020202020204" pitchFamily="34" charset="0"/>
              </a:endParaRPr>
            </a:p>
          </xdr:txBody>
        </xdr:sp>
      </xdr:grpSp>
    </xdr:grpSp>
    <xdr:clientData/>
  </xdr:twoCellAnchor>
  <xdr:twoCellAnchor>
    <xdr:from>
      <xdr:col>7</xdr:col>
      <xdr:colOff>27214</xdr:colOff>
      <xdr:row>6</xdr:row>
      <xdr:rowOff>40823</xdr:rowOff>
    </xdr:from>
    <xdr:to>
      <xdr:col>10</xdr:col>
      <xdr:colOff>477067</xdr:colOff>
      <xdr:row>8</xdr:row>
      <xdr:rowOff>130627</xdr:rowOff>
    </xdr:to>
    <xdr:grpSp>
      <xdr:nvGrpSpPr>
        <xdr:cNvPr id="30" name="Agrupar 29">
          <a:hlinkClick xmlns:r="http://schemas.openxmlformats.org/officeDocument/2006/relationships" r:id="rId10"/>
          <a:extLst>
            <a:ext uri="{FF2B5EF4-FFF2-40B4-BE49-F238E27FC236}">
              <a16:creationId xmlns:a16="http://schemas.microsoft.com/office/drawing/2014/main" id="{81427A87-914C-4E40-BB83-342CDDC9D35B}"/>
            </a:ext>
          </a:extLst>
        </xdr:cNvPr>
        <xdr:cNvGrpSpPr/>
      </xdr:nvGrpSpPr>
      <xdr:grpSpPr>
        <a:xfrm>
          <a:off x="4535714" y="1392466"/>
          <a:ext cx="2382067" cy="543375"/>
          <a:chOff x="449036" y="1374322"/>
          <a:chExt cx="2286817" cy="552447"/>
        </a:xfrm>
      </xdr:grpSpPr>
      <xdr:sp macro="" textlink="">
        <xdr:nvSpPr>
          <xdr:cNvPr id="31" name="Elipse 6">
            <a:extLst>
              <a:ext uri="{FF2B5EF4-FFF2-40B4-BE49-F238E27FC236}">
                <a16:creationId xmlns:a16="http://schemas.microsoft.com/office/drawing/2014/main" id="{8470A5B5-C6D5-42A3-8BC2-A102BD245FFB}"/>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2" name="Retângulo 2">
            <a:extLst>
              <a:ext uri="{FF2B5EF4-FFF2-40B4-BE49-F238E27FC236}">
                <a16:creationId xmlns:a16="http://schemas.microsoft.com/office/drawing/2014/main" id="{F19EA345-FE9C-4CBE-8025-EA234EB426F8}"/>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33" name="Gráfico 32" descr="Acento Circunflexo para Baixo estrutura de tópicos">
            <a:extLst>
              <a:ext uri="{FF2B5EF4-FFF2-40B4-BE49-F238E27FC236}">
                <a16:creationId xmlns:a16="http://schemas.microsoft.com/office/drawing/2014/main" id="{CE7C5CEB-A094-4940-89CA-07C8130D621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34" name="CaixaDeTexto 33">
            <a:extLst>
              <a:ext uri="{FF2B5EF4-FFF2-40B4-BE49-F238E27FC236}">
                <a16:creationId xmlns:a16="http://schemas.microsoft.com/office/drawing/2014/main" id="{37631624-134A-47DA-8DEE-E69B41F4328E}"/>
              </a:ext>
            </a:extLst>
          </xdr:cNvPr>
          <xdr:cNvSpPr txBox="1"/>
        </xdr:nvSpPr>
        <xdr:spPr>
          <a:xfrm>
            <a:off x="500197"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6. Reconciliation</a:t>
            </a:r>
          </a:p>
        </xdr:txBody>
      </xdr:sp>
    </xdr:grpSp>
    <xdr:clientData/>
  </xdr:twoCellAnchor>
  <xdr:twoCellAnchor>
    <xdr:from>
      <xdr:col>7</xdr:col>
      <xdr:colOff>29935</xdr:colOff>
      <xdr:row>8</xdr:row>
      <xdr:rowOff>206830</xdr:rowOff>
    </xdr:from>
    <xdr:to>
      <xdr:col>10</xdr:col>
      <xdr:colOff>479788</xdr:colOff>
      <xdr:row>11</xdr:row>
      <xdr:rowOff>92527</xdr:rowOff>
    </xdr:to>
    <xdr:grpSp>
      <xdr:nvGrpSpPr>
        <xdr:cNvPr id="35" name="Agrupar 34">
          <a:hlinkClick xmlns:r="http://schemas.openxmlformats.org/officeDocument/2006/relationships" r:id="rId11"/>
          <a:extLst>
            <a:ext uri="{FF2B5EF4-FFF2-40B4-BE49-F238E27FC236}">
              <a16:creationId xmlns:a16="http://schemas.microsoft.com/office/drawing/2014/main" id="{66BE016D-ABEE-4733-B547-F03EDF2064C3}"/>
            </a:ext>
          </a:extLst>
        </xdr:cNvPr>
        <xdr:cNvGrpSpPr/>
      </xdr:nvGrpSpPr>
      <xdr:grpSpPr>
        <a:xfrm>
          <a:off x="4538435" y="2012044"/>
          <a:ext cx="2382067" cy="538840"/>
          <a:chOff x="449036" y="1374322"/>
          <a:chExt cx="2286817" cy="552447"/>
        </a:xfrm>
      </xdr:grpSpPr>
      <xdr:sp macro="" textlink="">
        <xdr:nvSpPr>
          <xdr:cNvPr id="36" name="Elipse 6">
            <a:extLst>
              <a:ext uri="{FF2B5EF4-FFF2-40B4-BE49-F238E27FC236}">
                <a16:creationId xmlns:a16="http://schemas.microsoft.com/office/drawing/2014/main" id="{B01AF608-7A28-4EBC-A039-48EFE7FEE79A}"/>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7" name="Retângulo 2">
            <a:extLst>
              <a:ext uri="{FF2B5EF4-FFF2-40B4-BE49-F238E27FC236}">
                <a16:creationId xmlns:a16="http://schemas.microsoft.com/office/drawing/2014/main" id="{90703242-9912-46F3-8637-0F94B68F5CB9}"/>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38" name="Gráfico 37" descr="Acento Circunflexo para Baixo estrutura de tópicos">
            <a:extLst>
              <a:ext uri="{FF2B5EF4-FFF2-40B4-BE49-F238E27FC236}">
                <a16:creationId xmlns:a16="http://schemas.microsoft.com/office/drawing/2014/main" id="{08D24478-DA9A-4724-B0A4-F9E927E5439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39" name="CaixaDeTexto 38">
            <a:extLst>
              <a:ext uri="{FF2B5EF4-FFF2-40B4-BE49-F238E27FC236}">
                <a16:creationId xmlns:a16="http://schemas.microsoft.com/office/drawing/2014/main" id="{B865D1F6-4F74-401D-857D-ACF7648492E8}"/>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7. EBITDA Reconciliation</a:t>
            </a:r>
          </a:p>
        </xdr:txBody>
      </xdr:sp>
    </xdr:grpSp>
    <xdr:clientData/>
  </xdr:twoCellAnchor>
  <xdr:twoCellAnchor>
    <xdr:from>
      <xdr:col>7</xdr:col>
      <xdr:colOff>19050</xdr:colOff>
      <xdr:row>11</xdr:row>
      <xdr:rowOff>168730</xdr:rowOff>
    </xdr:from>
    <xdr:to>
      <xdr:col>10</xdr:col>
      <xdr:colOff>468903</xdr:colOff>
      <xdr:row>15</xdr:row>
      <xdr:rowOff>2720</xdr:rowOff>
    </xdr:to>
    <xdr:grpSp>
      <xdr:nvGrpSpPr>
        <xdr:cNvPr id="40" name="Agrupar 39">
          <a:hlinkClick xmlns:r="http://schemas.openxmlformats.org/officeDocument/2006/relationships" r:id="rId12"/>
          <a:extLst>
            <a:ext uri="{FF2B5EF4-FFF2-40B4-BE49-F238E27FC236}">
              <a16:creationId xmlns:a16="http://schemas.microsoft.com/office/drawing/2014/main" id="{5E32EA3D-A676-4AB7-8E5D-FF8444242592}"/>
            </a:ext>
          </a:extLst>
        </xdr:cNvPr>
        <xdr:cNvGrpSpPr/>
      </xdr:nvGrpSpPr>
      <xdr:grpSpPr>
        <a:xfrm>
          <a:off x="4527550" y="2627087"/>
          <a:ext cx="2382067" cy="532490"/>
          <a:chOff x="449036" y="1374322"/>
          <a:chExt cx="2286817" cy="552447"/>
        </a:xfrm>
      </xdr:grpSpPr>
      <xdr:sp macro="" textlink="">
        <xdr:nvSpPr>
          <xdr:cNvPr id="41" name="Elipse 6">
            <a:extLst>
              <a:ext uri="{FF2B5EF4-FFF2-40B4-BE49-F238E27FC236}">
                <a16:creationId xmlns:a16="http://schemas.microsoft.com/office/drawing/2014/main" id="{73CBA634-F183-439D-AD90-4432B252A7F4}"/>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2" name="Retângulo 2">
            <a:extLst>
              <a:ext uri="{FF2B5EF4-FFF2-40B4-BE49-F238E27FC236}">
                <a16:creationId xmlns:a16="http://schemas.microsoft.com/office/drawing/2014/main" id="{A3FC2D9A-1471-4E6A-B7F0-85BDB463B5ED}"/>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43" name="Gráfico 42" descr="Acento Circunflexo para Baixo estrutura de tópicos">
            <a:extLst>
              <a:ext uri="{FF2B5EF4-FFF2-40B4-BE49-F238E27FC236}">
                <a16:creationId xmlns:a16="http://schemas.microsoft.com/office/drawing/2014/main" id="{25BB2480-9756-432E-97BD-7454F143167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44" name="CaixaDeTexto 43">
            <a:extLst>
              <a:ext uri="{FF2B5EF4-FFF2-40B4-BE49-F238E27FC236}">
                <a16:creationId xmlns:a16="http://schemas.microsoft.com/office/drawing/2014/main" id="{EDECDDC8-6D84-438E-8B7C-AC7EAFA248F0}"/>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8. Investments (Capex)</a:t>
            </a:r>
          </a:p>
        </xdr:txBody>
      </xdr:sp>
    </xdr:grpSp>
    <xdr:clientData/>
  </xdr:twoCellAnchor>
  <xdr:twoCellAnchor>
    <xdr:from>
      <xdr:col>7</xdr:col>
      <xdr:colOff>35379</xdr:colOff>
      <xdr:row>16</xdr:row>
      <xdr:rowOff>21774</xdr:rowOff>
    </xdr:from>
    <xdr:to>
      <xdr:col>10</xdr:col>
      <xdr:colOff>485232</xdr:colOff>
      <xdr:row>19</xdr:row>
      <xdr:rowOff>29935</xdr:rowOff>
    </xdr:to>
    <xdr:grpSp>
      <xdr:nvGrpSpPr>
        <xdr:cNvPr id="45" name="Agrupar 44">
          <a:hlinkClick xmlns:r="http://schemas.openxmlformats.org/officeDocument/2006/relationships" r:id="rId13"/>
          <a:extLst>
            <a:ext uri="{FF2B5EF4-FFF2-40B4-BE49-F238E27FC236}">
              <a16:creationId xmlns:a16="http://schemas.microsoft.com/office/drawing/2014/main" id="{51ABF126-DB28-4604-B974-6037190D8C20}"/>
            </a:ext>
          </a:extLst>
        </xdr:cNvPr>
        <xdr:cNvGrpSpPr/>
      </xdr:nvGrpSpPr>
      <xdr:grpSpPr>
        <a:xfrm>
          <a:off x="4543879" y="3251203"/>
          <a:ext cx="2382067" cy="534303"/>
          <a:chOff x="449036" y="1374322"/>
          <a:chExt cx="2286817" cy="552447"/>
        </a:xfrm>
      </xdr:grpSpPr>
      <xdr:sp macro="" textlink="">
        <xdr:nvSpPr>
          <xdr:cNvPr id="46" name="Elipse 6">
            <a:extLst>
              <a:ext uri="{FF2B5EF4-FFF2-40B4-BE49-F238E27FC236}">
                <a16:creationId xmlns:a16="http://schemas.microsoft.com/office/drawing/2014/main" id="{D37422CB-F9B0-404D-8096-D7EE9AAB5D27}"/>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7" name="Retângulo 2">
            <a:extLst>
              <a:ext uri="{FF2B5EF4-FFF2-40B4-BE49-F238E27FC236}">
                <a16:creationId xmlns:a16="http://schemas.microsoft.com/office/drawing/2014/main" id="{5E077F4F-A4BA-4085-9F6C-99E988BB8C69}"/>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48" name="Gráfico 47" descr="Acento Circunflexo para Baixo estrutura de tópicos">
            <a:extLst>
              <a:ext uri="{FF2B5EF4-FFF2-40B4-BE49-F238E27FC236}">
                <a16:creationId xmlns:a16="http://schemas.microsoft.com/office/drawing/2014/main" id="{54B30E91-21D3-4209-A700-7300D394A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49" name="CaixaDeTexto 48">
            <a:extLst>
              <a:ext uri="{FF2B5EF4-FFF2-40B4-BE49-F238E27FC236}">
                <a16:creationId xmlns:a16="http://schemas.microsoft.com/office/drawing/2014/main" id="{1A01A7D2-FA72-4E76-8E23-9B00A9A192C5}"/>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9. Expenses by nature</a:t>
            </a:r>
          </a:p>
        </xdr:txBody>
      </xdr:sp>
    </xdr:grpSp>
    <xdr:clientData/>
  </xdr:twoCellAnchor>
  <xdr:twoCellAnchor>
    <xdr:from>
      <xdr:col>7</xdr:col>
      <xdr:colOff>29029</xdr:colOff>
      <xdr:row>20</xdr:row>
      <xdr:rowOff>87994</xdr:rowOff>
    </xdr:from>
    <xdr:to>
      <xdr:col>11</xdr:col>
      <xdr:colOff>2632</xdr:colOff>
      <xdr:row>22</xdr:row>
      <xdr:rowOff>136977</xdr:rowOff>
    </xdr:to>
    <xdr:grpSp>
      <xdr:nvGrpSpPr>
        <xdr:cNvPr id="50" name="Agrupar 49">
          <a:hlinkClick xmlns:r="http://schemas.openxmlformats.org/officeDocument/2006/relationships" r:id="rId14"/>
          <a:extLst>
            <a:ext uri="{FF2B5EF4-FFF2-40B4-BE49-F238E27FC236}">
              <a16:creationId xmlns:a16="http://schemas.microsoft.com/office/drawing/2014/main" id="{90145E03-F307-4290-B7E1-DF848D7D5C9F}"/>
            </a:ext>
          </a:extLst>
        </xdr:cNvPr>
        <xdr:cNvGrpSpPr/>
      </xdr:nvGrpSpPr>
      <xdr:grpSpPr>
        <a:xfrm>
          <a:off x="4537529" y="3916137"/>
          <a:ext cx="2413817" cy="556983"/>
          <a:chOff x="449036" y="1374322"/>
          <a:chExt cx="2286817" cy="552447"/>
        </a:xfrm>
      </xdr:grpSpPr>
      <xdr:sp macro="" textlink="">
        <xdr:nvSpPr>
          <xdr:cNvPr id="51" name="Elipse 6">
            <a:extLst>
              <a:ext uri="{FF2B5EF4-FFF2-40B4-BE49-F238E27FC236}">
                <a16:creationId xmlns:a16="http://schemas.microsoft.com/office/drawing/2014/main" id="{AE2E1E77-6E56-46AF-A8BA-3AE16556C682}"/>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52" name="Retângulo 2">
            <a:extLst>
              <a:ext uri="{FF2B5EF4-FFF2-40B4-BE49-F238E27FC236}">
                <a16:creationId xmlns:a16="http://schemas.microsoft.com/office/drawing/2014/main" id="{2946ADFE-51A0-4D0B-B3A4-8758E3A09AA3}"/>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53" name="Gráfico 52" descr="Acento Circunflexo para Baixo estrutura de tópicos">
            <a:extLst>
              <a:ext uri="{FF2B5EF4-FFF2-40B4-BE49-F238E27FC236}">
                <a16:creationId xmlns:a16="http://schemas.microsoft.com/office/drawing/2014/main" id="{2F7D989D-8BE2-4281-9D0E-5DE64FA5651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54" name="CaixaDeTexto 53">
            <a:extLst>
              <a:ext uri="{FF2B5EF4-FFF2-40B4-BE49-F238E27FC236}">
                <a16:creationId xmlns:a16="http://schemas.microsoft.com/office/drawing/2014/main" id="{3C4A6F39-E574-4ADA-8E0F-8E67C4895886}"/>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10. Hedge</a:t>
            </a:r>
          </a:p>
        </xdr:txBody>
      </xdr:sp>
    </xdr:grpSp>
    <xdr:clientData/>
  </xdr:twoCellAnchor>
  <xdr:twoCellAnchor>
    <xdr:from>
      <xdr:col>12</xdr:col>
      <xdr:colOff>421824</xdr:colOff>
      <xdr:row>6</xdr:row>
      <xdr:rowOff>54430</xdr:rowOff>
    </xdr:from>
    <xdr:to>
      <xdr:col>14</xdr:col>
      <xdr:colOff>381820</xdr:colOff>
      <xdr:row>8</xdr:row>
      <xdr:rowOff>144234</xdr:rowOff>
    </xdr:to>
    <xdr:grpSp>
      <xdr:nvGrpSpPr>
        <xdr:cNvPr id="55" name="Agrupar 54">
          <a:hlinkClick xmlns:r="http://schemas.openxmlformats.org/officeDocument/2006/relationships" r:id="rId15"/>
          <a:extLst>
            <a:ext uri="{FF2B5EF4-FFF2-40B4-BE49-F238E27FC236}">
              <a16:creationId xmlns:a16="http://schemas.microsoft.com/office/drawing/2014/main" id="{091B106A-65C9-4288-82EB-80CEADE7E98C}"/>
            </a:ext>
          </a:extLst>
        </xdr:cNvPr>
        <xdr:cNvGrpSpPr/>
      </xdr:nvGrpSpPr>
      <xdr:grpSpPr>
        <a:xfrm>
          <a:off x="7932967" y="1406073"/>
          <a:ext cx="2409282" cy="543375"/>
          <a:chOff x="449036" y="1374322"/>
          <a:chExt cx="2286817" cy="552447"/>
        </a:xfrm>
      </xdr:grpSpPr>
      <xdr:sp macro="" textlink="">
        <xdr:nvSpPr>
          <xdr:cNvPr id="56" name="Elipse 6">
            <a:extLst>
              <a:ext uri="{FF2B5EF4-FFF2-40B4-BE49-F238E27FC236}">
                <a16:creationId xmlns:a16="http://schemas.microsoft.com/office/drawing/2014/main" id="{B5D1B449-68C5-4B7B-A9CA-4AC199CD02B0}"/>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57" name="Retângulo 2">
            <a:extLst>
              <a:ext uri="{FF2B5EF4-FFF2-40B4-BE49-F238E27FC236}">
                <a16:creationId xmlns:a16="http://schemas.microsoft.com/office/drawing/2014/main" id="{B52351D8-0003-42CF-9545-D36205212B43}"/>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58" name="Gráfico 57" descr="Acento Circunflexo para Baixo estrutura de tópicos">
            <a:extLst>
              <a:ext uri="{FF2B5EF4-FFF2-40B4-BE49-F238E27FC236}">
                <a16:creationId xmlns:a16="http://schemas.microsoft.com/office/drawing/2014/main" id="{663A007E-4C3E-4B2B-A4FF-76BDAFAB931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59" name="CaixaDeTexto 58">
            <a:extLst>
              <a:ext uri="{FF2B5EF4-FFF2-40B4-BE49-F238E27FC236}">
                <a16:creationId xmlns:a16="http://schemas.microsoft.com/office/drawing/2014/main" id="{4A237426-A0B9-41D7-AD62-EAF1703D1D0E}"/>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11. Debt</a:t>
            </a:r>
          </a:p>
        </xdr:txBody>
      </xdr:sp>
    </xdr:grpSp>
    <xdr:clientData/>
  </xdr:twoCellAnchor>
  <xdr:twoCellAnchor>
    <xdr:from>
      <xdr:col>12</xdr:col>
      <xdr:colOff>454481</xdr:colOff>
      <xdr:row>9</xdr:row>
      <xdr:rowOff>19052</xdr:rowOff>
    </xdr:from>
    <xdr:to>
      <xdr:col>14</xdr:col>
      <xdr:colOff>414477</xdr:colOff>
      <xdr:row>11</xdr:row>
      <xdr:rowOff>126545</xdr:rowOff>
    </xdr:to>
    <xdr:grpSp>
      <xdr:nvGrpSpPr>
        <xdr:cNvPr id="65" name="Agrupar 64">
          <a:hlinkClick xmlns:r="http://schemas.openxmlformats.org/officeDocument/2006/relationships" r:id="rId16"/>
          <a:extLst>
            <a:ext uri="{FF2B5EF4-FFF2-40B4-BE49-F238E27FC236}">
              <a16:creationId xmlns:a16="http://schemas.microsoft.com/office/drawing/2014/main" id="{6E87EBB5-3F33-464E-9368-69F32F51B4C3}"/>
            </a:ext>
          </a:extLst>
        </xdr:cNvPr>
        <xdr:cNvGrpSpPr/>
      </xdr:nvGrpSpPr>
      <xdr:grpSpPr>
        <a:xfrm>
          <a:off x="7965624" y="2051052"/>
          <a:ext cx="2409282" cy="533850"/>
          <a:chOff x="449036" y="1374322"/>
          <a:chExt cx="2286817" cy="552447"/>
        </a:xfrm>
      </xdr:grpSpPr>
      <xdr:sp macro="" textlink="">
        <xdr:nvSpPr>
          <xdr:cNvPr id="66" name="Elipse 6">
            <a:extLst>
              <a:ext uri="{FF2B5EF4-FFF2-40B4-BE49-F238E27FC236}">
                <a16:creationId xmlns:a16="http://schemas.microsoft.com/office/drawing/2014/main" id="{34AC2A9C-9290-41D8-B1C2-EEFA17027C8E}"/>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67" name="Retângulo 2">
            <a:extLst>
              <a:ext uri="{FF2B5EF4-FFF2-40B4-BE49-F238E27FC236}">
                <a16:creationId xmlns:a16="http://schemas.microsoft.com/office/drawing/2014/main" id="{11D5DC20-B906-4921-BBFA-F9D7D5536D49}"/>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8" name="Gráfico 67" descr="Acento Circunflexo para Baixo estrutura de tópicos">
            <a:extLst>
              <a:ext uri="{FF2B5EF4-FFF2-40B4-BE49-F238E27FC236}">
                <a16:creationId xmlns:a16="http://schemas.microsoft.com/office/drawing/2014/main" id="{29F69A25-EF91-47B4-90B6-B35DBC6562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69" name="CaixaDeTexto 68">
            <a:hlinkClick xmlns:r="http://schemas.openxmlformats.org/officeDocument/2006/relationships" r:id="rId17"/>
            <a:extLst>
              <a:ext uri="{FF2B5EF4-FFF2-40B4-BE49-F238E27FC236}">
                <a16:creationId xmlns:a16="http://schemas.microsoft.com/office/drawing/2014/main" id="{6EAA80B6-A460-47F5-A936-DC261BC57AE9}"/>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12. ESG</a:t>
            </a:r>
          </a:p>
        </xdr:txBody>
      </xdr:sp>
    </xdr:grpSp>
    <xdr:clientData/>
  </xdr:twoCellAnchor>
  <xdr:twoCellAnchor>
    <xdr:from>
      <xdr:col>12</xdr:col>
      <xdr:colOff>457202</xdr:colOff>
      <xdr:row>12</xdr:row>
      <xdr:rowOff>8169</xdr:rowOff>
    </xdr:from>
    <xdr:to>
      <xdr:col>14</xdr:col>
      <xdr:colOff>417198</xdr:colOff>
      <xdr:row>15</xdr:row>
      <xdr:rowOff>16330</xdr:rowOff>
    </xdr:to>
    <xdr:grpSp>
      <xdr:nvGrpSpPr>
        <xdr:cNvPr id="70" name="Agrupar 69">
          <a:hlinkClick xmlns:r="http://schemas.openxmlformats.org/officeDocument/2006/relationships" r:id="rId18"/>
          <a:extLst>
            <a:ext uri="{FF2B5EF4-FFF2-40B4-BE49-F238E27FC236}">
              <a16:creationId xmlns:a16="http://schemas.microsoft.com/office/drawing/2014/main" id="{2EEA0F27-4C27-489A-A647-23FDADBF4BD3}"/>
            </a:ext>
          </a:extLst>
        </xdr:cNvPr>
        <xdr:cNvGrpSpPr/>
      </xdr:nvGrpSpPr>
      <xdr:grpSpPr>
        <a:xfrm>
          <a:off x="7968345" y="2638883"/>
          <a:ext cx="2409282" cy="534304"/>
          <a:chOff x="449036" y="1374322"/>
          <a:chExt cx="2286817" cy="552447"/>
        </a:xfrm>
      </xdr:grpSpPr>
      <xdr:sp macro="" textlink="">
        <xdr:nvSpPr>
          <xdr:cNvPr id="71" name="Elipse 6">
            <a:extLst>
              <a:ext uri="{FF2B5EF4-FFF2-40B4-BE49-F238E27FC236}">
                <a16:creationId xmlns:a16="http://schemas.microsoft.com/office/drawing/2014/main" id="{F83CB45D-6601-4E81-995E-3BABCE781298}"/>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2" name="Retângulo 2">
            <a:extLst>
              <a:ext uri="{FF2B5EF4-FFF2-40B4-BE49-F238E27FC236}">
                <a16:creationId xmlns:a16="http://schemas.microsoft.com/office/drawing/2014/main" id="{3C68B167-DD19-4130-9081-A395D92EA82E}"/>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73" name="Gráfico 72" descr="Acento Circunflexo para Baixo estrutura de tópicos">
            <a:extLst>
              <a:ext uri="{FF2B5EF4-FFF2-40B4-BE49-F238E27FC236}">
                <a16:creationId xmlns:a16="http://schemas.microsoft.com/office/drawing/2014/main" id="{037661D4-5E2C-49EA-A7C1-E11BA7F8D7C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74" name="CaixaDeTexto 73">
            <a:hlinkClick xmlns:r="http://schemas.openxmlformats.org/officeDocument/2006/relationships" r:id="rId19"/>
            <a:extLst>
              <a:ext uri="{FF2B5EF4-FFF2-40B4-BE49-F238E27FC236}">
                <a16:creationId xmlns:a16="http://schemas.microsoft.com/office/drawing/2014/main" id="{7F5FA41F-AAAD-4058-B833-FB474BAB14B7}"/>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13.</a:t>
            </a:r>
            <a:r>
              <a:rPr lang="pt-BR" sz="1200" b="1" baseline="0">
                <a:solidFill>
                  <a:srgbClr val="05663A"/>
                </a:solidFill>
                <a:latin typeface="Trebuchet MS" panose="020B0603020202020204" pitchFamily="34" charset="0"/>
              </a:rPr>
              <a:t> Dividends</a:t>
            </a:r>
            <a:endParaRPr lang="pt-BR" sz="1200" b="1">
              <a:solidFill>
                <a:srgbClr val="05663A"/>
              </a:solidFill>
              <a:latin typeface="Trebuchet MS" panose="020B0603020202020204" pitchFamily="34" charset="0"/>
            </a:endParaRPr>
          </a:p>
        </xdr:txBody>
      </xdr:sp>
    </xdr:grpSp>
    <xdr:clientData/>
  </xdr:twoCellAnchor>
  <xdr:twoCellAnchor>
    <xdr:from>
      <xdr:col>12</xdr:col>
      <xdr:colOff>459923</xdr:colOff>
      <xdr:row>16</xdr:row>
      <xdr:rowOff>51709</xdr:rowOff>
    </xdr:from>
    <xdr:to>
      <xdr:col>14</xdr:col>
      <xdr:colOff>419919</xdr:colOff>
      <xdr:row>19</xdr:row>
      <xdr:rowOff>59870</xdr:rowOff>
    </xdr:to>
    <xdr:grpSp>
      <xdr:nvGrpSpPr>
        <xdr:cNvPr id="75" name="Agrupar 74">
          <a:hlinkClick xmlns:r="http://schemas.openxmlformats.org/officeDocument/2006/relationships" r:id="rId20"/>
          <a:extLst>
            <a:ext uri="{FF2B5EF4-FFF2-40B4-BE49-F238E27FC236}">
              <a16:creationId xmlns:a16="http://schemas.microsoft.com/office/drawing/2014/main" id="{7DC028DF-011C-4ED8-8FDA-55A943DF0B8A}"/>
            </a:ext>
          </a:extLst>
        </xdr:cNvPr>
        <xdr:cNvGrpSpPr/>
      </xdr:nvGrpSpPr>
      <xdr:grpSpPr>
        <a:xfrm>
          <a:off x="7971066" y="3281138"/>
          <a:ext cx="2409282" cy="534303"/>
          <a:chOff x="449036" y="1374322"/>
          <a:chExt cx="2286817" cy="552447"/>
        </a:xfrm>
      </xdr:grpSpPr>
      <xdr:sp macro="" textlink="">
        <xdr:nvSpPr>
          <xdr:cNvPr id="76" name="Elipse 6">
            <a:extLst>
              <a:ext uri="{FF2B5EF4-FFF2-40B4-BE49-F238E27FC236}">
                <a16:creationId xmlns:a16="http://schemas.microsoft.com/office/drawing/2014/main" id="{EF1C7D5C-F074-4B7F-9437-E6BBBE2560A5}"/>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7" name="Retângulo 2">
            <a:extLst>
              <a:ext uri="{FF2B5EF4-FFF2-40B4-BE49-F238E27FC236}">
                <a16:creationId xmlns:a16="http://schemas.microsoft.com/office/drawing/2014/main" id="{3A528623-182C-4A40-B695-405F00E50396}"/>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78" name="Gráfico 77" descr="Acento Circunflexo para Baixo estrutura de tópicos">
            <a:extLst>
              <a:ext uri="{FF2B5EF4-FFF2-40B4-BE49-F238E27FC236}">
                <a16:creationId xmlns:a16="http://schemas.microsoft.com/office/drawing/2014/main" id="{748DD3E4-0A16-457C-8D76-8027132A6C8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79" name="CaixaDeTexto 78">
            <a:hlinkClick xmlns:r="http://schemas.openxmlformats.org/officeDocument/2006/relationships" r:id="rId21"/>
            <a:extLst>
              <a:ext uri="{FF2B5EF4-FFF2-40B4-BE49-F238E27FC236}">
                <a16:creationId xmlns:a16="http://schemas.microsoft.com/office/drawing/2014/main" id="{C2379559-889C-4979-BFF3-4D82D9BDFCFF}"/>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14. Consensus</a:t>
            </a:r>
          </a:p>
        </xdr:txBody>
      </xdr:sp>
    </xdr:grpSp>
    <xdr:clientData/>
  </xdr:twoCellAnchor>
  <xdr:twoCellAnchor>
    <xdr:from>
      <xdr:col>12</xdr:col>
      <xdr:colOff>462645</xdr:colOff>
      <xdr:row>20</xdr:row>
      <xdr:rowOff>40822</xdr:rowOff>
    </xdr:from>
    <xdr:to>
      <xdr:col>14</xdr:col>
      <xdr:colOff>384541</xdr:colOff>
      <xdr:row>22</xdr:row>
      <xdr:rowOff>89805</xdr:rowOff>
    </xdr:to>
    <xdr:grpSp>
      <xdr:nvGrpSpPr>
        <xdr:cNvPr id="80" name="Agrupar 79">
          <a:hlinkClick xmlns:r="http://schemas.openxmlformats.org/officeDocument/2006/relationships" r:id="rId22"/>
          <a:extLst>
            <a:ext uri="{FF2B5EF4-FFF2-40B4-BE49-F238E27FC236}">
              <a16:creationId xmlns:a16="http://schemas.microsoft.com/office/drawing/2014/main" id="{98D32271-B2AD-42E3-8830-2D076462321C}"/>
            </a:ext>
          </a:extLst>
        </xdr:cNvPr>
        <xdr:cNvGrpSpPr/>
      </xdr:nvGrpSpPr>
      <xdr:grpSpPr>
        <a:xfrm>
          <a:off x="7973788" y="3868965"/>
          <a:ext cx="2371182" cy="556983"/>
          <a:chOff x="449036" y="1374322"/>
          <a:chExt cx="2286817" cy="552447"/>
        </a:xfrm>
      </xdr:grpSpPr>
      <xdr:sp macro="" textlink="">
        <xdr:nvSpPr>
          <xdr:cNvPr id="81" name="Elipse 6">
            <a:extLst>
              <a:ext uri="{FF2B5EF4-FFF2-40B4-BE49-F238E27FC236}">
                <a16:creationId xmlns:a16="http://schemas.microsoft.com/office/drawing/2014/main" id="{530482E1-A53D-4F46-B77C-111700505E35}"/>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82" name="Retângulo 2">
            <a:extLst>
              <a:ext uri="{FF2B5EF4-FFF2-40B4-BE49-F238E27FC236}">
                <a16:creationId xmlns:a16="http://schemas.microsoft.com/office/drawing/2014/main" id="{65837BEA-4273-4869-BBE2-BF577A12596F}"/>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83" name="Gráfico 82" descr="Acento Circunflexo para Baixo estrutura de tópicos">
            <a:extLst>
              <a:ext uri="{FF2B5EF4-FFF2-40B4-BE49-F238E27FC236}">
                <a16:creationId xmlns:a16="http://schemas.microsoft.com/office/drawing/2014/main" id="{FEB1498D-99B4-4031-A7F2-90DB9500F3D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84" name="CaixaDeTexto 83">
            <a:hlinkClick xmlns:r="http://schemas.openxmlformats.org/officeDocument/2006/relationships" r:id="rId23"/>
            <a:extLst>
              <a:ext uri="{FF2B5EF4-FFF2-40B4-BE49-F238E27FC236}">
                <a16:creationId xmlns:a16="http://schemas.microsoft.com/office/drawing/2014/main" id="{9BDC4F45-DB7E-454A-BCBA-74D46BE9C01A}"/>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15. Disclaimer</a:t>
            </a:r>
          </a:p>
        </xdr:txBody>
      </xdr:sp>
    </xdr:grpSp>
    <xdr:clientData/>
  </xdr:twoCellAnchor>
  <xdr:twoCellAnchor editAs="oneCell">
    <xdr:from>
      <xdr:col>7</xdr:col>
      <xdr:colOff>381000</xdr:colOff>
      <xdr:row>2</xdr:row>
      <xdr:rowOff>149678</xdr:rowOff>
    </xdr:from>
    <xdr:to>
      <xdr:col>10</xdr:col>
      <xdr:colOff>76978</xdr:colOff>
      <xdr:row>4</xdr:row>
      <xdr:rowOff>195532</xdr:rowOff>
    </xdr:to>
    <xdr:pic>
      <xdr:nvPicPr>
        <xdr:cNvPr id="86" name="Imagem 2">
          <a:extLst>
            <a:ext uri="{FF2B5EF4-FFF2-40B4-BE49-F238E27FC236}">
              <a16:creationId xmlns:a16="http://schemas.microsoft.com/office/drawing/2014/main" id="{459A8687-F289-400E-87B9-58F35890CCEC}"/>
            </a:ext>
          </a:extLst>
        </xdr:cNvPr>
        <xdr:cNvPicPr>
          <a:picLocks noChangeAspect="1"/>
        </xdr:cNvPicPr>
      </xdr:nvPicPr>
      <xdr:blipFill>
        <a:blip xmlns:r="http://schemas.openxmlformats.org/officeDocument/2006/relationships" r:embed="rId24">
          <a:alphaModFix/>
          <a:biLevel thresh="25000"/>
          <a:extLst>
            <a:ext uri="{BEBA8EAE-BF5A-486C-A8C5-ECC9F3942E4B}">
              <a14:imgProps xmlns:a14="http://schemas.microsoft.com/office/drawing/2010/main">
                <a14:imgLayer r:embed="rId25">
                  <a14:imgEffect>
                    <a14:backgroundRemoval t="9434" b="89623" l="1014" r="98986">
                      <a14:foregroundMark x1="22973" y1="60377" x2="22973" y2="60377"/>
                      <a14:foregroundMark x1="10473" y1="23585" x2="10473" y2="23585"/>
                      <a14:foregroundMark x1="2365" y1="63208" x2="2365" y2="63208"/>
                      <a14:foregroundMark x1="1351" y1="65094" x2="1351" y2="65094"/>
                      <a14:foregroundMark x1="48986" y1="65094" x2="48986" y2="65094"/>
                      <a14:foregroundMark x1="58784" y1="56604" x2="58784" y2="56604"/>
                      <a14:foregroundMark x1="78716" y1="43396" x2="78716" y2="43396"/>
                      <a14:foregroundMark x1="91892" y1="48113" x2="91892" y2="48113"/>
                      <a14:foregroundMark x1="95270" y1="35849" x2="95270" y2="35849"/>
                      <a14:foregroundMark x1="98986" y1="45283" x2="98986" y2="45283"/>
                    </a14:backgroundRemoval>
                  </a14:imgEffect>
                  <a14:imgEffect>
                    <a14:brightnessContrast bright="40000" contrast="40000"/>
                  </a14:imgEffect>
                </a14:imgLayer>
              </a14:imgProps>
            </a:ext>
          </a:extLst>
        </a:blip>
        <a:stretch>
          <a:fillRect/>
        </a:stretch>
      </xdr:blipFill>
      <xdr:spPr>
        <a:xfrm>
          <a:off x="4667250" y="517071"/>
          <a:ext cx="1532942" cy="562925"/>
        </a:xfrm>
        <a:prstGeom prst="rect">
          <a:avLst/>
        </a:prstGeom>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3885812</xdr:colOff>
      <xdr:row>0</xdr:row>
      <xdr:rowOff>102050</xdr:rowOff>
    </xdr:from>
    <xdr:to>
      <xdr:col>1</xdr:col>
      <xdr:colOff>4798793</xdr:colOff>
      <xdr:row>0</xdr:row>
      <xdr:rowOff>469053</xdr:rowOff>
    </xdr:to>
    <xdr:pic>
      <xdr:nvPicPr>
        <xdr:cNvPr id="2" name="Imagem 1">
          <a:extLst>
            <a:ext uri="{FF2B5EF4-FFF2-40B4-BE49-F238E27FC236}">
              <a16:creationId xmlns:a16="http://schemas.microsoft.com/office/drawing/2014/main" id="{F2F47F58-5814-4762-BCE6-7968E6432387}"/>
            </a:ext>
          </a:extLst>
        </xdr:cNvPr>
        <xdr:cNvPicPr>
          <a:picLocks noChangeAspect="1"/>
        </xdr:cNvPicPr>
      </xdr:nvPicPr>
      <xdr:blipFill>
        <a:blip xmlns:r="http://schemas.openxmlformats.org/officeDocument/2006/relationships" r:embed="rId1"/>
        <a:stretch>
          <a:fillRect/>
        </a:stretch>
      </xdr:blipFill>
      <xdr:spPr>
        <a:xfrm>
          <a:off x="4021883" y="102050"/>
          <a:ext cx="912981" cy="367003"/>
        </a:xfrm>
        <a:prstGeom prst="rect">
          <a:avLst/>
        </a:prstGeom>
      </xdr:spPr>
    </xdr:pic>
    <xdr:clientData/>
  </xdr:twoCellAnchor>
  <xdr:twoCellAnchor editAs="oneCell">
    <xdr:from>
      <xdr:col>0</xdr:col>
      <xdr:colOff>108857</xdr:colOff>
      <xdr:row>0</xdr:row>
      <xdr:rowOff>40821</xdr:rowOff>
    </xdr:from>
    <xdr:to>
      <xdr:col>1</xdr:col>
      <xdr:colOff>1205435</xdr:colOff>
      <xdr:row>0</xdr:row>
      <xdr:rowOff>449036</xdr:rowOff>
    </xdr:to>
    <xdr:pic>
      <xdr:nvPicPr>
        <xdr:cNvPr id="4" name="Imagem 3">
          <a:hlinkClick xmlns:r="http://schemas.openxmlformats.org/officeDocument/2006/relationships" r:id="rId2"/>
          <a:extLst>
            <a:ext uri="{FF2B5EF4-FFF2-40B4-BE49-F238E27FC236}">
              <a16:creationId xmlns:a16="http://schemas.microsoft.com/office/drawing/2014/main" id="{A44BF6CC-7869-467A-B68E-247A004AF19A}"/>
            </a:ext>
          </a:extLst>
        </xdr:cNvPr>
        <xdr:cNvPicPr>
          <a:picLocks noChangeAspect="1"/>
        </xdr:cNvPicPr>
      </xdr:nvPicPr>
      <xdr:blipFill>
        <a:blip xmlns:r="http://schemas.openxmlformats.org/officeDocument/2006/relationships" r:embed="rId3"/>
        <a:stretch>
          <a:fillRect/>
        </a:stretch>
      </xdr:blipFill>
      <xdr:spPr>
        <a:xfrm>
          <a:off x="108857" y="40821"/>
          <a:ext cx="1232649" cy="40821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3911663</xdr:colOff>
      <xdr:row>0</xdr:row>
      <xdr:rowOff>88445</xdr:rowOff>
    </xdr:from>
    <xdr:to>
      <xdr:col>1</xdr:col>
      <xdr:colOff>4824644</xdr:colOff>
      <xdr:row>0</xdr:row>
      <xdr:rowOff>455448</xdr:rowOff>
    </xdr:to>
    <xdr:pic>
      <xdr:nvPicPr>
        <xdr:cNvPr id="2" name="Imagem 1">
          <a:extLst>
            <a:ext uri="{FF2B5EF4-FFF2-40B4-BE49-F238E27FC236}">
              <a16:creationId xmlns:a16="http://schemas.microsoft.com/office/drawing/2014/main" id="{EC435BEE-CFEE-4EBC-89BF-C29E96F4A2EE}"/>
            </a:ext>
          </a:extLst>
        </xdr:cNvPr>
        <xdr:cNvPicPr>
          <a:picLocks noChangeAspect="1"/>
        </xdr:cNvPicPr>
      </xdr:nvPicPr>
      <xdr:blipFill>
        <a:blip xmlns:r="http://schemas.openxmlformats.org/officeDocument/2006/relationships" r:embed="rId1"/>
        <a:stretch>
          <a:fillRect/>
        </a:stretch>
      </xdr:blipFill>
      <xdr:spPr>
        <a:xfrm>
          <a:off x="4011449" y="88445"/>
          <a:ext cx="912981" cy="367003"/>
        </a:xfrm>
        <a:prstGeom prst="rect">
          <a:avLst/>
        </a:prstGeom>
      </xdr:spPr>
    </xdr:pic>
    <xdr:clientData/>
  </xdr:twoCellAnchor>
  <xdr:twoCellAnchor editAs="oneCell">
    <xdr:from>
      <xdr:col>1</xdr:col>
      <xdr:colOff>27214</xdr:colOff>
      <xdr:row>0</xdr:row>
      <xdr:rowOff>54428</xdr:rowOff>
    </xdr:from>
    <xdr:to>
      <xdr:col>1</xdr:col>
      <xdr:colOff>1259863</xdr:colOff>
      <xdr:row>0</xdr:row>
      <xdr:rowOff>462643</xdr:rowOff>
    </xdr:to>
    <xdr:pic>
      <xdr:nvPicPr>
        <xdr:cNvPr id="4" name="Imagem 3">
          <a:hlinkClick xmlns:r="http://schemas.openxmlformats.org/officeDocument/2006/relationships" r:id="rId2"/>
          <a:extLst>
            <a:ext uri="{FF2B5EF4-FFF2-40B4-BE49-F238E27FC236}">
              <a16:creationId xmlns:a16="http://schemas.microsoft.com/office/drawing/2014/main" id="{435D4056-6CCD-4B03-9458-CA2F0E337B28}"/>
            </a:ext>
          </a:extLst>
        </xdr:cNvPr>
        <xdr:cNvPicPr>
          <a:picLocks noChangeAspect="1"/>
        </xdr:cNvPicPr>
      </xdr:nvPicPr>
      <xdr:blipFill>
        <a:blip xmlns:r="http://schemas.openxmlformats.org/officeDocument/2006/relationships" r:embed="rId3"/>
        <a:stretch>
          <a:fillRect/>
        </a:stretch>
      </xdr:blipFill>
      <xdr:spPr>
        <a:xfrm>
          <a:off x="122464" y="54428"/>
          <a:ext cx="1232649" cy="40821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2941020</xdr:colOff>
      <xdr:row>0</xdr:row>
      <xdr:rowOff>88446</xdr:rowOff>
    </xdr:from>
    <xdr:to>
      <xdr:col>1</xdr:col>
      <xdr:colOff>3854001</xdr:colOff>
      <xdr:row>0</xdr:row>
      <xdr:rowOff>455449</xdr:rowOff>
    </xdr:to>
    <xdr:pic>
      <xdr:nvPicPr>
        <xdr:cNvPr id="2" name="Imagem 1">
          <a:extLst>
            <a:ext uri="{FF2B5EF4-FFF2-40B4-BE49-F238E27FC236}">
              <a16:creationId xmlns:a16="http://schemas.microsoft.com/office/drawing/2014/main" id="{12100CE8-A6D6-4D6F-86DA-D53AA21FE0B7}"/>
            </a:ext>
          </a:extLst>
        </xdr:cNvPr>
        <xdr:cNvPicPr>
          <a:picLocks noChangeAspect="1"/>
        </xdr:cNvPicPr>
      </xdr:nvPicPr>
      <xdr:blipFill>
        <a:blip xmlns:r="http://schemas.openxmlformats.org/officeDocument/2006/relationships" r:embed="rId1"/>
        <a:stretch>
          <a:fillRect/>
        </a:stretch>
      </xdr:blipFill>
      <xdr:spPr>
        <a:xfrm>
          <a:off x="3040806" y="88446"/>
          <a:ext cx="912981" cy="367003"/>
        </a:xfrm>
        <a:prstGeom prst="rect">
          <a:avLst/>
        </a:prstGeom>
      </xdr:spPr>
    </xdr:pic>
    <xdr:clientData/>
  </xdr:twoCellAnchor>
  <xdr:twoCellAnchor editAs="oneCell">
    <xdr:from>
      <xdr:col>0</xdr:col>
      <xdr:colOff>54428</xdr:colOff>
      <xdr:row>0</xdr:row>
      <xdr:rowOff>54429</xdr:rowOff>
    </xdr:from>
    <xdr:to>
      <xdr:col>1</xdr:col>
      <xdr:colOff>1191827</xdr:colOff>
      <xdr:row>0</xdr:row>
      <xdr:rowOff>462644</xdr:rowOff>
    </xdr:to>
    <xdr:pic>
      <xdr:nvPicPr>
        <xdr:cNvPr id="4" name="Imagem 3">
          <a:hlinkClick xmlns:r="http://schemas.openxmlformats.org/officeDocument/2006/relationships" r:id="rId2"/>
          <a:extLst>
            <a:ext uri="{FF2B5EF4-FFF2-40B4-BE49-F238E27FC236}">
              <a16:creationId xmlns:a16="http://schemas.microsoft.com/office/drawing/2014/main" id="{C3B26264-7102-45FF-8F55-7B2C32EBC176}"/>
            </a:ext>
          </a:extLst>
        </xdr:cNvPr>
        <xdr:cNvPicPr>
          <a:picLocks noChangeAspect="1"/>
        </xdr:cNvPicPr>
      </xdr:nvPicPr>
      <xdr:blipFill>
        <a:blip xmlns:r="http://schemas.openxmlformats.org/officeDocument/2006/relationships" r:embed="rId3"/>
        <a:stretch>
          <a:fillRect/>
        </a:stretch>
      </xdr:blipFill>
      <xdr:spPr>
        <a:xfrm>
          <a:off x="54428" y="54429"/>
          <a:ext cx="1232649" cy="40821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2741448</xdr:colOff>
      <xdr:row>0</xdr:row>
      <xdr:rowOff>70303</xdr:rowOff>
    </xdr:from>
    <xdr:to>
      <xdr:col>1</xdr:col>
      <xdr:colOff>3654429</xdr:colOff>
      <xdr:row>0</xdr:row>
      <xdr:rowOff>437306</xdr:rowOff>
    </xdr:to>
    <xdr:pic>
      <xdr:nvPicPr>
        <xdr:cNvPr id="2" name="Imagem 1">
          <a:extLst>
            <a:ext uri="{FF2B5EF4-FFF2-40B4-BE49-F238E27FC236}">
              <a16:creationId xmlns:a16="http://schemas.microsoft.com/office/drawing/2014/main" id="{F7881358-0203-4C68-9741-18800D86B2D2}"/>
            </a:ext>
          </a:extLst>
        </xdr:cNvPr>
        <xdr:cNvPicPr>
          <a:picLocks noChangeAspect="1"/>
        </xdr:cNvPicPr>
      </xdr:nvPicPr>
      <xdr:blipFill>
        <a:blip xmlns:r="http://schemas.openxmlformats.org/officeDocument/2006/relationships" r:embed="rId1"/>
        <a:stretch>
          <a:fillRect/>
        </a:stretch>
      </xdr:blipFill>
      <xdr:spPr>
        <a:xfrm>
          <a:off x="2836698" y="70303"/>
          <a:ext cx="912981" cy="367003"/>
        </a:xfrm>
        <a:prstGeom prst="rect">
          <a:avLst/>
        </a:prstGeom>
      </xdr:spPr>
    </xdr:pic>
    <xdr:clientData/>
  </xdr:twoCellAnchor>
  <xdr:twoCellAnchor editAs="oneCell">
    <xdr:from>
      <xdr:col>0</xdr:col>
      <xdr:colOff>0</xdr:colOff>
      <xdr:row>0</xdr:row>
      <xdr:rowOff>81643</xdr:rowOff>
    </xdr:from>
    <xdr:to>
      <xdr:col>1</xdr:col>
      <xdr:colOff>1137399</xdr:colOff>
      <xdr:row>0</xdr:row>
      <xdr:rowOff>489858</xdr:rowOff>
    </xdr:to>
    <xdr:pic>
      <xdr:nvPicPr>
        <xdr:cNvPr id="4" name="Imagem 3">
          <a:hlinkClick xmlns:r="http://schemas.openxmlformats.org/officeDocument/2006/relationships" r:id="rId2"/>
          <a:extLst>
            <a:ext uri="{FF2B5EF4-FFF2-40B4-BE49-F238E27FC236}">
              <a16:creationId xmlns:a16="http://schemas.microsoft.com/office/drawing/2014/main" id="{8E8C60E8-FE9F-4D31-9D43-EB5916FAF685}"/>
            </a:ext>
          </a:extLst>
        </xdr:cNvPr>
        <xdr:cNvPicPr>
          <a:picLocks noChangeAspect="1"/>
        </xdr:cNvPicPr>
      </xdr:nvPicPr>
      <xdr:blipFill>
        <a:blip xmlns:r="http://schemas.openxmlformats.org/officeDocument/2006/relationships" r:embed="rId3"/>
        <a:stretch>
          <a:fillRect/>
        </a:stretch>
      </xdr:blipFill>
      <xdr:spPr>
        <a:xfrm>
          <a:off x="0" y="81643"/>
          <a:ext cx="1232649" cy="40821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xdr:colOff>
      <xdr:row>0</xdr:row>
      <xdr:rowOff>68036</xdr:rowOff>
    </xdr:from>
    <xdr:to>
      <xdr:col>1</xdr:col>
      <xdr:colOff>1232650</xdr:colOff>
      <xdr:row>0</xdr:row>
      <xdr:rowOff>476251</xdr:rowOff>
    </xdr:to>
    <xdr:pic>
      <xdr:nvPicPr>
        <xdr:cNvPr id="7" name="Imagem 6">
          <a:hlinkClick xmlns:r="http://schemas.openxmlformats.org/officeDocument/2006/relationships" r:id="rId1"/>
          <a:extLst>
            <a:ext uri="{FF2B5EF4-FFF2-40B4-BE49-F238E27FC236}">
              <a16:creationId xmlns:a16="http://schemas.microsoft.com/office/drawing/2014/main" id="{D118C01E-8DE6-4EF2-AE46-9BD6E2D9156B}"/>
            </a:ext>
          </a:extLst>
        </xdr:cNvPr>
        <xdr:cNvPicPr>
          <a:picLocks noChangeAspect="1"/>
        </xdr:cNvPicPr>
      </xdr:nvPicPr>
      <xdr:blipFill>
        <a:blip xmlns:r="http://schemas.openxmlformats.org/officeDocument/2006/relationships" r:embed="rId2"/>
        <a:stretch>
          <a:fillRect/>
        </a:stretch>
      </xdr:blipFill>
      <xdr:spPr>
        <a:xfrm>
          <a:off x="95251" y="68036"/>
          <a:ext cx="1232649" cy="408215"/>
        </a:xfrm>
        <a:prstGeom prst="rect">
          <a:avLst/>
        </a:prstGeom>
      </xdr:spPr>
    </xdr:pic>
    <xdr:clientData/>
  </xdr:twoCellAnchor>
  <xdr:twoCellAnchor editAs="oneCell">
    <xdr:from>
      <xdr:col>1</xdr:col>
      <xdr:colOff>4902263</xdr:colOff>
      <xdr:row>0</xdr:row>
      <xdr:rowOff>63500</xdr:rowOff>
    </xdr:from>
    <xdr:to>
      <xdr:col>1</xdr:col>
      <xdr:colOff>5815244</xdr:colOff>
      <xdr:row>0</xdr:row>
      <xdr:rowOff>430503</xdr:rowOff>
    </xdr:to>
    <xdr:pic>
      <xdr:nvPicPr>
        <xdr:cNvPr id="8" name="Imagem 7">
          <a:extLst>
            <a:ext uri="{FF2B5EF4-FFF2-40B4-BE49-F238E27FC236}">
              <a16:creationId xmlns:a16="http://schemas.microsoft.com/office/drawing/2014/main" id="{5E30E18F-FCD7-4C86-A33A-B66F14C2AA0C}"/>
            </a:ext>
          </a:extLst>
        </xdr:cNvPr>
        <xdr:cNvPicPr>
          <a:picLocks noChangeAspect="1"/>
        </xdr:cNvPicPr>
      </xdr:nvPicPr>
      <xdr:blipFill>
        <a:blip xmlns:r="http://schemas.openxmlformats.org/officeDocument/2006/relationships" r:embed="rId3"/>
        <a:stretch>
          <a:fillRect/>
        </a:stretch>
      </xdr:blipFill>
      <xdr:spPr>
        <a:xfrm>
          <a:off x="5002049" y="63500"/>
          <a:ext cx="912981" cy="367003"/>
        </a:xfrm>
        <a:prstGeom prst="rect">
          <a:avLst/>
        </a:prstGeom>
      </xdr:spPr>
    </xdr:pic>
    <xdr:clientData/>
  </xdr:twoCellAnchor>
  <xdr:twoCellAnchor editAs="oneCell">
    <xdr:from>
      <xdr:col>1</xdr:col>
      <xdr:colOff>5792104</xdr:colOff>
      <xdr:row>0</xdr:row>
      <xdr:rowOff>0</xdr:rowOff>
    </xdr:from>
    <xdr:to>
      <xdr:col>1</xdr:col>
      <xdr:colOff>6268355</xdr:colOff>
      <xdr:row>0</xdr:row>
      <xdr:rowOff>476251</xdr:rowOff>
    </xdr:to>
    <xdr:pic>
      <xdr:nvPicPr>
        <xdr:cNvPr id="9" name="Gráfico 8" descr="Clipe de papel com preenchimento sólido">
          <a:extLst>
            <a:ext uri="{FF2B5EF4-FFF2-40B4-BE49-F238E27FC236}">
              <a16:creationId xmlns:a16="http://schemas.microsoft.com/office/drawing/2014/main" id="{864BC169-B62C-409E-8769-635B952A98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891890" y="0"/>
          <a:ext cx="476251" cy="476251"/>
        </a:xfrm>
        <a:prstGeom prst="rect">
          <a:avLst/>
        </a:prstGeom>
      </xdr:spPr>
    </xdr:pic>
    <xdr:clientData/>
  </xdr:twoCellAnchor>
  <xdr:twoCellAnchor>
    <xdr:from>
      <xdr:col>1</xdr:col>
      <xdr:colOff>6123214</xdr:colOff>
      <xdr:row>0</xdr:row>
      <xdr:rowOff>104321</xdr:rowOff>
    </xdr:from>
    <xdr:to>
      <xdr:col>7</xdr:col>
      <xdr:colOff>181429</xdr:colOff>
      <xdr:row>0</xdr:row>
      <xdr:rowOff>417286</xdr:rowOff>
    </xdr:to>
    <xdr:sp macro="" textlink="">
      <xdr:nvSpPr>
        <xdr:cNvPr id="10" name="CaixaDeTexto 9">
          <a:hlinkClick xmlns:r="http://schemas.openxmlformats.org/officeDocument/2006/relationships" r:id="rId6"/>
          <a:extLst>
            <a:ext uri="{FF2B5EF4-FFF2-40B4-BE49-F238E27FC236}">
              <a16:creationId xmlns:a16="http://schemas.microsoft.com/office/drawing/2014/main" id="{571D4BCC-336D-43E1-9CA1-397A5C60168A}"/>
            </a:ext>
          </a:extLst>
        </xdr:cNvPr>
        <xdr:cNvSpPr txBox="1"/>
      </xdr:nvSpPr>
      <xdr:spPr>
        <a:xfrm>
          <a:off x="6223000" y="104321"/>
          <a:ext cx="2748643" cy="312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a:solidFill>
                <a:schemeClr val="tx1">
                  <a:lumMod val="75000"/>
                  <a:lumOff val="25000"/>
                </a:schemeClr>
              </a:solidFill>
              <a:latin typeface="Trebuchet MS" panose="020B0603020202020204" pitchFamily="34" charset="0"/>
            </a:rPr>
            <a:t>Sustainability Report </a:t>
          </a:r>
          <a:r>
            <a:rPr lang="pt-BR" sz="1100" baseline="0">
              <a:solidFill>
                <a:schemeClr val="tx1">
                  <a:lumMod val="75000"/>
                  <a:lumOff val="25000"/>
                </a:schemeClr>
              </a:solidFill>
              <a:latin typeface="Trebuchet MS" panose="020B0603020202020204" pitchFamily="34" charset="0"/>
            </a:rPr>
            <a:t>2023: </a:t>
          </a:r>
          <a:r>
            <a:rPr lang="pt-BR" sz="1100" u="sng" baseline="0">
              <a:solidFill>
                <a:srgbClr val="0000FF"/>
              </a:solidFill>
              <a:latin typeface="Trebuchet MS" panose="020B0603020202020204" pitchFamily="34" charset="0"/>
            </a:rPr>
            <a:t>Click here</a:t>
          </a:r>
          <a:endParaRPr lang="pt-BR" sz="1100" u="sng">
            <a:solidFill>
              <a:srgbClr val="0000FF"/>
            </a:solidFill>
            <a:latin typeface="Trebuchet MS" panose="020B0603020202020204" pitchFamily="34" charset="0"/>
          </a:endParaRPr>
        </a:p>
      </xdr:txBody>
    </xdr:sp>
    <xdr:clientData/>
  </xdr:twoCellAnchor>
  <xdr:twoCellAnchor editAs="oneCell">
    <xdr:from>
      <xdr:col>1</xdr:col>
      <xdr:colOff>1</xdr:colOff>
      <xdr:row>0</xdr:row>
      <xdr:rowOff>68036</xdr:rowOff>
    </xdr:from>
    <xdr:to>
      <xdr:col>1</xdr:col>
      <xdr:colOff>1232650</xdr:colOff>
      <xdr:row>0</xdr:row>
      <xdr:rowOff>476251</xdr:rowOff>
    </xdr:to>
    <xdr:pic>
      <xdr:nvPicPr>
        <xdr:cNvPr id="11" name="Imagem 10">
          <a:hlinkClick xmlns:r="http://schemas.openxmlformats.org/officeDocument/2006/relationships" r:id="rId1"/>
          <a:extLst>
            <a:ext uri="{FF2B5EF4-FFF2-40B4-BE49-F238E27FC236}">
              <a16:creationId xmlns:a16="http://schemas.microsoft.com/office/drawing/2014/main" id="{1B06FD55-D499-4446-95AF-DEDC389339DC}"/>
            </a:ext>
          </a:extLst>
        </xdr:cNvPr>
        <xdr:cNvPicPr>
          <a:picLocks noChangeAspect="1"/>
        </xdr:cNvPicPr>
      </xdr:nvPicPr>
      <xdr:blipFill>
        <a:blip xmlns:r="http://schemas.openxmlformats.org/officeDocument/2006/relationships" r:embed="rId2"/>
        <a:stretch>
          <a:fillRect/>
        </a:stretch>
      </xdr:blipFill>
      <xdr:spPr>
        <a:xfrm>
          <a:off x="101601" y="68036"/>
          <a:ext cx="1232649" cy="40821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1131099</xdr:colOff>
      <xdr:row>1</xdr:row>
      <xdr:rowOff>132669</xdr:rowOff>
    </xdr:from>
    <xdr:to>
      <xdr:col>8</xdr:col>
      <xdr:colOff>1496791</xdr:colOff>
      <xdr:row>6</xdr:row>
      <xdr:rowOff>107155</xdr:rowOff>
    </xdr:to>
    <xdr:graphicFrame macro="">
      <xdr:nvGraphicFramePr>
        <xdr:cNvPr id="2" name="Gráfico 1">
          <a:extLst>
            <a:ext uri="{FF2B5EF4-FFF2-40B4-BE49-F238E27FC236}">
              <a16:creationId xmlns:a16="http://schemas.microsoft.com/office/drawing/2014/main" id="{227986B3-0C30-4A5D-967A-6DCB3268DA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95250</xdr:colOff>
      <xdr:row>16</xdr:row>
      <xdr:rowOff>161925</xdr:rowOff>
    </xdr:from>
    <xdr:to>
      <xdr:col>1</xdr:col>
      <xdr:colOff>239250</xdr:colOff>
      <xdr:row>16</xdr:row>
      <xdr:rowOff>305925</xdr:rowOff>
    </xdr:to>
    <xdr:pic>
      <xdr:nvPicPr>
        <xdr:cNvPr id="3" name="Gráfico 2" descr="Marca de seleção com preenchimento sólido">
          <a:extLst>
            <a:ext uri="{FF2B5EF4-FFF2-40B4-BE49-F238E27FC236}">
              <a16:creationId xmlns:a16="http://schemas.microsoft.com/office/drawing/2014/main" id="{3C996C64-29FB-4867-A820-A455A0E9ED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23850" y="5514975"/>
          <a:ext cx="144000" cy="144000"/>
        </a:xfrm>
        <a:prstGeom prst="rect">
          <a:avLst/>
        </a:prstGeom>
      </xdr:spPr>
    </xdr:pic>
    <xdr:clientData/>
  </xdr:twoCellAnchor>
  <xdr:twoCellAnchor editAs="oneCell">
    <xdr:from>
      <xdr:col>1</xdr:col>
      <xdr:colOff>95250</xdr:colOff>
      <xdr:row>17</xdr:row>
      <xdr:rowOff>171450</xdr:rowOff>
    </xdr:from>
    <xdr:to>
      <xdr:col>1</xdr:col>
      <xdr:colOff>239250</xdr:colOff>
      <xdr:row>17</xdr:row>
      <xdr:rowOff>315450</xdr:rowOff>
    </xdr:to>
    <xdr:pic>
      <xdr:nvPicPr>
        <xdr:cNvPr id="4" name="Gráfico 3" descr="Marca de seleção com preenchimento sólido">
          <a:extLst>
            <a:ext uri="{FF2B5EF4-FFF2-40B4-BE49-F238E27FC236}">
              <a16:creationId xmlns:a16="http://schemas.microsoft.com/office/drawing/2014/main" id="{F7CA610A-6241-4692-AE08-C8956A8293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23850" y="5981700"/>
          <a:ext cx="144000" cy="144000"/>
        </a:xfrm>
        <a:prstGeom prst="rect">
          <a:avLst/>
        </a:prstGeom>
      </xdr:spPr>
    </xdr:pic>
    <xdr:clientData/>
  </xdr:twoCellAnchor>
  <xdr:twoCellAnchor editAs="oneCell">
    <xdr:from>
      <xdr:col>1</xdr:col>
      <xdr:colOff>85725</xdr:colOff>
      <xdr:row>18</xdr:row>
      <xdr:rowOff>180975</xdr:rowOff>
    </xdr:from>
    <xdr:to>
      <xdr:col>1</xdr:col>
      <xdr:colOff>229725</xdr:colOff>
      <xdr:row>18</xdr:row>
      <xdr:rowOff>324975</xdr:rowOff>
    </xdr:to>
    <xdr:pic>
      <xdr:nvPicPr>
        <xdr:cNvPr id="5" name="Gráfico 4" descr="Marca de seleção com preenchimento sólido">
          <a:extLst>
            <a:ext uri="{FF2B5EF4-FFF2-40B4-BE49-F238E27FC236}">
              <a16:creationId xmlns:a16="http://schemas.microsoft.com/office/drawing/2014/main" id="{156631DC-781E-413D-B329-ABCAA56B2A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14325" y="6448425"/>
          <a:ext cx="144000" cy="144000"/>
        </a:xfrm>
        <a:prstGeom prst="rect">
          <a:avLst/>
        </a:prstGeom>
      </xdr:spPr>
    </xdr:pic>
    <xdr:clientData/>
  </xdr:twoCellAnchor>
  <xdr:twoCellAnchor editAs="oneCell">
    <xdr:from>
      <xdr:col>1</xdr:col>
      <xdr:colOff>95250</xdr:colOff>
      <xdr:row>19</xdr:row>
      <xdr:rowOff>202406</xdr:rowOff>
    </xdr:from>
    <xdr:to>
      <xdr:col>1</xdr:col>
      <xdr:colOff>239250</xdr:colOff>
      <xdr:row>19</xdr:row>
      <xdr:rowOff>346406</xdr:rowOff>
    </xdr:to>
    <xdr:pic>
      <xdr:nvPicPr>
        <xdr:cNvPr id="6" name="Gráfico 5" descr="Marca de seleção com preenchimento sólido">
          <a:extLst>
            <a:ext uri="{FF2B5EF4-FFF2-40B4-BE49-F238E27FC236}">
              <a16:creationId xmlns:a16="http://schemas.microsoft.com/office/drawing/2014/main" id="{C247F848-47C6-46EF-A0AF-A63056E0B1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23850" y="6927056"/>
          <a:ext cx="144000" cy="144000"/>
        </a:xfrm>
        <a:prstGeom prst="rect">
          <a:avLst/>
        </a:prstGeom>
      </xdr:spPr>
    </xdr:pic>
    <xdr:clientData/>
  </xdr:twoCellAnchor>
  <xdr:twoCellAnchor editAs="oneCell">
    <xdr:from>
      <xdr:col>8</xdr:col>
      <xdr:colOff>997291</xdr:colOff>
      <xdr:row>0</xdr:row>
      <xdr:rowOff>90148</xdr:rowOff>
    </xdr:from>
    <xdr:to>
      <xdr:col>8</xdr:col>
      <xdr:colOff>1854110</xdr:colOff>
      <xdr:row>2</xdr:row>
      <xdr:rowOff>23813</xdr:rowOff>
    </xdr:to>
    <xdr:pic>
      <xdr:nvPicPr>
        <xdr:cNvPr id="8" name="Imagem 7">
          <a:extLst>
            <a:ext uri="{FF2B5EF4-FFF2-40B4-BE49-F238E27FC236}">
              <a16:creationId xmlns:a16="http://schemas.microsoft.com/office/drawing/2014/main" id="{CB3A60E2-BCEF-49CC-8DD9-84656CB31F82}"/>
            </a:ext>
          </a:extLst>
        </xdr:cNvPr>
        <xdr:cNvPicPr>
          <a:picLocks noChangeAspect="1"/>
        </xdr:cNvPicPr>
      </xdr:nvPicPr>
      <xdr:blipFill>
        <a:blip xmlns:r="http://schemas.openxmlformats.org/officeDocument/2006/relationships" r:embed="rId4"/>
        <a:stretch>
          <a:fillRect/>
        </a:stretch>
      </xdr:blipFill>
      <xdr:spPr>
        <a:xfrm>
          <a:off x="13633791" y="90148"/>
          <a:ext cx="856819" cy="282915"/>
        </a:xfrm>
        <a:prstGeom prst="rect">
          <a:avLst/>
        </a:prstGeom>
      </xdr:spPr>
    </xdr:pic>
    <xdr:clientData/>
  </xdr:twoCellAnchor>
  <xdr:twoCellAnchor editAs="oneCell">
    <xdr:from>
      <xdr:col>1</xdr:col>
      <xdr:colOff>178594</xdr:colOff>
      <xdr:row>8</xdr:row>
      <xdr:rowOff>185737</xdr:rowOff>
    </xdr:from>
    <xdr:to>
      <xdr:col>1</xdr:col>
      <xdr:colOff>322594</xdr:colOff>
      <xdr:row>8</xdr:row>
      <xdr:rowOff>329737</xdr:rowOff>
    </xdr:to>
    <xdr:pic>
      <xdr:nvPicPr>
        <xdr:cNvPr id="9" name="Gráfico 8" descr="Marca de seleção com preenchimento sólido">
          <a:extLst>
            <a:ext uri="{FF2B5EF4-FFF2-40B4-BE49-F238E27FC236}">
              <a16:creationId xmlns:a16="http://schemas.microsoft.com/office/drawing/2014/main" id="{C30FD196-2062-4BE6-A90B-5CF5DAFAF0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07194" y="1881187"/>
          <a:ext cx="144000" cy="144000"/>
        </a:xfrm>
        <a:prstGeom prst="rect">
          <a:avLst/>
        </a:prstGeom>
      </xdr:spPr>
    </xdr:pic>
    <xdr:clientData/>
  </xdr:twoCellAnchor>
  <xdr:twoCellAnchor editAs="oneCell">
    <xdr:from>
      <xdr:col>1</xdr:col>
      <xdr:colOff>164306</xdr:colOff>
      <xdr:row>9</xdr:row>
      <xdr:rowOff>195261</xdr:rowOff>
    </xdr:from>
    <xdr:to>
      <xdr:col>1</xdr:col>
      <xdr:colOff>308306</xdr:colOff>
      <xdr:row>9</xdr:row>
      <xdr:rowOff>339261</xdr:rowOff>
    </xdr:to>
    <xdr:pic>
      <xdr:nvPicPr>
        <xdr:cNvPr id="10" name="Gráfico 9" descr="Marca de seleção com preenchimento sólido">
          <a:extLst>
            <a:ext uri="{FF2B5EF4-FFF2-40B4-BE49-F238E27FC236}">
              <a16:creationId xmlns:a16="http://schemas.microsoft.com/office/drawing/2014/main" id="{DB555653-BF26-4C37-935A-516C2A62ADD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92906" y="2347911"/>
          <a:ext cx="144000" cy="144000"/>
        </a:xfrm>
        <a:prstGeom prst="rect">
          <a:avLst/>
        </a:prstGeom>
      </xdr:spPr>
    </xdr:pic>
    <xdr:clientData/>
  </xdr:twoCellAnchor>
  <xdr:twoCellAnchor editAs="oneCell">
    <xdr:from>
      <xdr:col>1</xdr:col>
      <xdr:colOff>161925</xdr:colOff>
      <xdr:row>10</xdr:row>
      <xdr:rowOff>204786</xdr:rowOff>
    </xdr:from>
    <xdr:to>
      <xdr:col>1</xdr:col>
      <xdr:colOff>305925</xdr:colOff>
      <xdr:row>10</xdr:row>
      <xdr:rowOff>348786</xdr:rowOff>
    </xdr:to>
    <xdr:pic>
      <xdr:nvPicPr>
        <xdr:cNvPr id="11" name="Gráfico 10" descr="Marca de seleção com preenchimento sólido">
          <a:extLst>
            <a:ext uri="{FF2B5EF4-FFF2-40B4-BE49-F238E27FC236}">
              <a16:creationId xmlns:a16="http://schemas.microsoft.com/office/drawing/2014/main" id="{79921979-0BFC-4F73-A419-D63871445A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90525" y="2814636"/>
          <a:ext cx="144000" cy="144000"/>
        </a:xfrm>
        <a:prstGeom prst="rect">
          <a:avLst/>
        </a:prstGeom>
      </xdr:spPr>
    </xdr:pic>
    <xdr:clientData/>
  </xdr:twoCellAnchor>
  <xdr:twoCellAnchor editAs="oneCell">
    <xdr:from>
      <xdr:col>1</xdr:col>
      <xdr:colOff>171450</xdr:colOff>
      <xdr:row>11</xdr:row>
      <xdr:rowOff>202404</xdr:rowOff>
    </xdr:from>
    <xdr:to>
      <xdr:col>1</xdr:col>
      <xdr:colOff>315450</xdr:colOff>
      <xdr:row>11</xdr:row>
      <xdr:rowOff>346404</xdr:rowOff>
    </xdr:to>
    <xdr:pic>
      <xdr:nvPicPr>
        <xdr:cNvPr id="12" name="Gráfico 11" descr="Marca de seleção com preenchimento sólido">
          <a:extLst>
            <a:ext uri="{FF2B5EF4-FFF2-40B4-BE49-F238E27FC236}">
              <a16:creationId xmlns:a16="http://schemas.microsoft.com/office/drawing/2014/main" id="{06B6F450-83DF-40F8-B3A9-D4A7EFB6AA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00050" y="3269454"/>
          <a:ext cx="144000" cy="144000"/>
        </a:xfrm>
        <a:prstGeom prst="rect">
          <a:avLst/>
        </a:prstGeom>
      </xdr:spPr>
    </xdr:pic>
    <xdr:clientData/>
  </xdr:twoCellAnchor>
  <xdr:twoCellAnchor editAs="oneCell">
    <xdr:from>
      <xdr:col>1</xdr:col>
      <xdr:colOff>169069</xdr:colOff>
      <xdr:row>12</xdr:row>
      <xdr:rowOff>200023</xdr:rowOff>
    </xdr:from>
    <xdr:to>
      <xdr:col>1</xdr:col>
      <xdr:colOff>313069</xdr:colOff>
      <xdr:row>12</xdr:row>
      <xdr:rowOff>344023</xdr:rowOff>
    </xdr:to>
    <xdr:pic>
      <xdr:nvPicPr>
        <xdr:cNvPr id="13" name="Gráfico 12" descr="Marca de seleção com preenchimento sólido">
          <a:extLst>
            <a:ext uri="{FF2B5EF4-FFF2-40B4-BE49-F238E27FC236}">
              <a16:creationId xmlns:a16="http://schemas.microsoft.com/office/drawing/2014/main" id="{4F5EF795-AAF4-4A55-905A-47571E9FA6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97669" y="3724273"/>
          <a:ext cx="144000" cy="144000"/>
        </a:xfrm>
        <a:prstGeom prst="rect">
          <a:avLst/>
        </a:prstGeom>
      </xdr:spPr>
    </xdr:pic>
    <xdr:clientData/>
  </xdr:twoCellAnchor>
  <xdr:twoCellAnchor editAs="oneCell">
    <xdr:from>
      <xdr:col>1</xdr:col>
      <xdr:colOff>178594</xdr:colOff>
      <xdr:row>13</xdr:row>
      <xdr:rowOff>173829</xdr:rowOff>
    </xdr:from>
    <xdr:to>
      <xdr:col>1</xdr:col>
      <xdr:colOff>322594</xdr:colOff>
      <xdr:row>13</xdr:row>
      <xdr:rowOff>317829</xdr:rowOff>
    </xdr:to>
    <xdr:pic>
      <xdr:nvPicPr>
        <xdr:cNvPr id="14" name="Gráfico 13" descr="Marca de seleção com preenchimento sólido">
          <a:extLst>
            <a:ext uri="{FF2B5EF4-FFF2-40B4-BE49-F238E27FC236}">
              <a16:creationId xmlns:a16="http://schemas.microsoft.com/office/drawing/2014/main" id="{4BDCB93F-6771-46CC-86FC-4E6ADB408C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07194" y="4155279"/>
          <a:ext cx="144000" cy="144000"/>
        </a:xfrm>
        <a:prstGeom prst="rect">
          <a:avLst/>
        </a:prstGeom>
      </xdr:spPr>
    </xdr:pic>
    <xdr:clientData/>
  </xdr:twoCellAnchor>
  <xdr:twoCellAnchor editAs="oneCell">
    <xdr:from>
      <xdr:col>1</xdr:col>
      <xdr:colOff>176213</xdr:colOff>
      <xdr:row>14</xdr:row>
      <xdr:rowOff>183354</xdr:rowOff>
    </xdr:from>
    <xdr:to>
      <xdr:col>1</xdr:col>
      <xdr:colOff>320213</xdr:colOff>
      <xdr:row>14</xdr:row>
      <xdr:rowOff>327354</xdr:rowOff>
    </xdr:to>
    <xdr:pic>
      <xdr:nvPicPr>
        <xdr:cNvPr id="15" name="Gráfico 14" descr="Marca de seleção com preenchimento sólido">
          <a:extLst>
            <a:ext uri="{FF2B5EF4-FFF2-40B4-BE49-F238E27FC236}">
              <a16:creationId xmlns:a16="http://schemas.microsoft.com/office/drawing/2014/main" id="{58C6F3E3-60E7-46EC-9830-B4CFB3AAE3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04813" y="4622004"/>
          <a:ext cx="144000" cy="144000"/>
        </a:xfrm>
        <a:prstGeom prst="rect">
          <a:avLst/>
        </a:prstGeom>
      </xdr:spPr>
    </xdr:pic>
    <xdr:clientData/>
  </xdr:twoCellAnchor>
  <xdr:twoCellAnchor editAs="oneCell">
    <xdr:from>
      <xdr:col>1</xdr:col>
      <xdr:colOff>138113</xdr:colOff>
      <xdr:row>15</xdr:row>
      <xdr:rowOff>157159</xdr:rowOff>
    </xdr:from>
    <xdr:to>
      <xdr:col>1</xdr:col>
      <xdr:colOff>282113</xdr:colOff>
      <xdr:row>15</xdr:row>
      <xdr:rowOff>301159</xdr:rowOff>
    </xdr:to>
    <xdr:pic>
      <xdr:nvPicPr>
        <xdr:cNvPr id="16" name="Gráfico 15" descr="Marca de seleção com preenchimento sólido">
          <a:extLst>
            <a:ext uri="{FF2B5EF4-FFF2-40B4-BE49-F238E27FC236}">
              <a16:creationId xmlns:a16="http://schemas.microsoft.com/office/drawing/2014/main" id="{72297994-2E38-4833-B79F-1FEA87D9044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66713" y="5053009"/>
          <a:ext cx="144000" cy="144000"/>
        </a:xfrm>
        <a:prstGeom prst="rect">
          <a:avLst/>
        </a:prstGeom>
      </xdr:spPr>
    </xdr:pic>
    <xdr:clientData/>
  </xdr:twoCellAnchor>
  <xdr:twoCellAnchor>
    <xdr:from>
      <xdr:col>1</xdr:col>
      <xdr:colOff>30056</xdr:colOff>
      <xdr:row>1</xdr:row>
      <xdr:rowOff>71435</xdr:rowOff>
    </xdr:from>
    <xdr:to>
      <xdr:col>3</xdr:col>
      <xdr:colOff>3755010</xdr:colOff>
      <xdr:row>6</xdr:row>
      <xdr:rowOff>47625</xdr:rowOff>
    </xdr:to>
    <xdr:graphicFrame macro="">
      <xdr:nvGraphicFramePr>
        <xdr:cNvPr id="17" name="Gráfico 16">
          <a:extLst>
            <a:ext uri="{FF2B5EF4-FFF2-40B4-BE49-F238E27FC236}">
              <a16:creationId xmlns:a16="http://schemas.microsoft.com/office/drawing/2014/main" id="{C9D16A4A-BF66-4920-8D02-E44BA491AA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1449613</xdr:colOff>
      <xdr:row>5</xdr:row>
      <xdr:rowOff>2722</xdr:rowOff>
    </xdr:from>
    <xdr:to>
      <xdr:col>9</xdr:col>
      <xdr:colOff>440983</xdr:colOff>
      <xdr:row>6</xdr:row>
      <xdr:rowOff>38440</xdr:rowOff>
    </xdr:to>
    <xdr:sp macro="" textlink="">
      <xdr:nvSpPr>
        <xdr:cNvPr id="18" name="CaixaDeTexto 17">
          <a:extLst>
            <a:ext uri="{FF2B5EF4-FFF2-40B4-BE49-F238E27FC236}">
              <a16:creationId xmlns:a16="http://schemas.microsoft.com/office/drawing/2014/main" id="{66FE62C1-3369-4C62-8DEA-A9DCFDCBD74E}"/>
            </a:ext>
          </a:extLst>
        </xdr:cNvPr>
        <xdr:cNvSpPr txBox="1"/>
      </xdr:nvSpPr>
      <xdr:spPr>
        <a:xfrm>
          <a:off x="14086113" y="1153660"/>
          <a:ext cx="896370" cy="218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800" u="none">
              <a:solidFill>
                <a:schemeClr val="bg1">
                  <a:lumMod val="50000"/>
                </a:schemeClr>
              </a:solidFill>
              <a:latin typeface="Trebuchet MS" panose="020B0603020202020204" pitchFamily="34" charset="0"/>
            </a:rPr>
            <a:t>Millions</a:t>
          </a:r>
        </a:p>
      </xdr:txBody>
    </xdr:sp>
    <xdr:clientData/>
  </xdr:twoCellAnchor>
  <xdr:twoCellAnchor editAs="oneCell">
    <xdr:from>
      <xdr:col>1</xdr:col>
      <xdr:colOff>104778</xdr:colOff>
      <xdr:row>20</xdr:row>
      <xdr:rowOff>164305</xdr:rowOff>
    </xdr:from>
    <xdr:to>
      <xdr:col>1</xdr:col>
      <xdr:colOff>248778</xdr:colOff>
      <xdr:row>20</xdr:row>
      <xdr:rowOff>308305</xdr:rowOff>
    </xdr:to>
    <xdr:pic>
      <xdr:nvPicPr>
        <xdr:cNvPr id="19" name="Gráfico 18" descr="Marca de seleção com preenchimento sólido">
          <a:extLst>
            <a:ext uri="{FF2B5EF4-FFF2-40B4-BE49-F238E27FC236}">
              <a16:creationId xmlns:a16="http://schemas.microsoft.com/office/drawing/2014/main" id="{3F4510B9-40A1-4B03-9AD0-74907AFACB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33378" y="7346155"/>
          <a:ext cx="144000" cy="144000"/>
        </a:xfrm>
        <a:prstGeom prst="rect">
          <a:avLst/>
        </a:prstGeom>
      </xdr:spPr>
    </xdr:pic>
    <xdr:clientData/>
  </xdr:twoCellAnchor>
  <xdr:twoCellAnchor>
    <xdr:from>
      <xdr:col>4</xdr:col>
      <xdr:colOff>325437</xdr:colOff>
      <xdr:row>1</xdr:row>
      <xdr:rowOff>129733</xdr:rowOff>
    </xdr:from>
    <xdr:to>
      <xdr:col>5</xdr:col>
      <xdr:colOff>672285</xdr:colOff>
      <xdr:row>4</xdr:row>
      <xdr:rowOff>95025</xdr:rowOff>
    </xdr:to>
    <xdr:grpSp>
      <xdr:nvGrpSpPr>
        <xdr:cNvPr id="20" name="Agrupar 19">
          <a:extLst>
            <a:ext uri="{FF2B5EF4-FFF2-40B4-BE49-F238E27FC236}">
              <a16:creationId xmlns:a16="http://schemas.microsoft.com/office/drawing/2014/main" id="{64BDDB2B-1632-4298-9A86-E0AF4FEC3DAF}"/>
            </a:ext>
          </a:extLst>
        </xdr:cNvPr>
        <xdr:cNvGrpSpPr/>
      </xdr:nvGrpSpPr>
      <xdr:grpSpPr>
        <a:xfrm>
          <a:off x="6207125" y="304358"/>
          <a:ext cx="1847035" cy="766980"/>
          <a:chOff x="219075" y="548366"/>
          <a:chExt cx="1444030" cy="534762"/>
        </a:xfrm>
      </xdr:grpSpPr>
      <xdr:sp macro="" textlink="">
        <xdr:nvSpPr>
          <xdr:cNvPr id="21" name="Retângulo 20">
            <a:extLst>
              <a:ext uri="{FF2B5EF4-FFF2-40B4-BE49-F238E27FC236}">
                <a16:creationId xmlns:a16="http://schemas.microsoft.com/office/drawing/2014/main" id="{23F3B1A7-E9F5-63DB-57E3-0425929C09FA}"/>
              </a:ext>
            </a:extLst>
          </xdr:cNvPr>
          <xdr:cNvSpPr/>
        </xdr:nvSpPr>
        <xdr:spPr>
          <a:xfrm>
            <a:off x="219075" y="548366"/>
            <a:ext cx="1372961" cy="517073"/>
          </a:xfrm>
          <a:prstGeom prst="rect">
            <a:avLst/>
          </a:prstGeom>
          <a:solidFill>
            <a:srgbClr val="05663A"/>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ln>
                <a:solidFill>
                  <a:srgbClr val="05663A"/>
                </a:solidFill>
              </a:ln>
              <a:solidFill>
                <a:srgbClr val="05663A"/>
              </a:solidFill>
            </a:endParaRPr>
          </a:p>
        </xdr:txBody>
      </xdr:sp>
      <xdr:sp macro="" textlink="">
        <xdr:nvSpPr>
          <xdr:cNvPr id="22" name="CaixaDeTexto 21">
            <a:extLst>
              <a:ext uri="{FF2B5EF4-FFF2-40B4-BE49-F238E27FC236}">
                <a16:creationId xmlns:a16="http://schemas.microsoft.com/office/drawing/2014/main" id="{91E4DD32-49E2-3D24-D5E0-ACCB8D23BF85}"/>
              </a:ext>
            </a:extLst>
          </xdr:cNvPr>
          <xdr:cNvSpPr txBox="1"/>
        </xdr:nvSpPr>
        <xdr:spPr>
          <a:xfrm>
            <a:off x="234356" y="579036"/>
            <a:ext cx="1428749" cy="272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rPr>
              <a:t>Dividend Yield</a:t>
            </a:r>
          </a:p>
        </xdr:txBody>
      </xdr:sp>
      <xdr:sp macro="" textlink="$R$4">
        <xdr:nvSpPr>
          <xdr:cNvPr id="23" name="CaixaDeTexto 22">
            <a:extLst>
              <a:ext uri="{FF2B5EF4-FFF2-40B4-BE49-F238E27FC236}">
                <a16:creationId xmlns:a16="http://schemas.microsoft.com/office/drawing/2014/main" id="{EF2FCD6C-DC98-7895-C33E-B851C2C804B2}"/>
              </a:ext>
            </a:extLst>
          </xdr:cNvPr>
          <xdr:cNvSpPr txBox="1"/>
        </xdr:nvSpPr>
        <xdr:spPr>
          <a:xfrm>
            <a:off x="231323" y="786494"/>
            <a:ext cx="1411059" cy="2966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D596014A-01F8-4B31-8FED-4BB1F8C0D01E}" type="TxLink">
              <a:rPr lang="en-US" sz="1600" b="1" i="0" u="none" strike="noStrike">
                <a:solidFill>
                  <a:schemeClr val="bg1"/>
                </a:solidFill>
                <a:latin typeface="Arial"/>
                <a:cs typeface="Arial"/>
              </a:rPr>
              <a:pPr algn="ctr"/>
              <a:t>5,41%</a:t>
            </a:fld>
            <a:endParaRPr lang="pt-BR" sz="2000" b="1">
              <a:solidFill>
                <a:schemeClr val="bg1"/>
              </a:solidFill>
            </a:endParaRPr>
          </a:p>
        </xdr:txBody>
      </xdr:sp>
    </xdr:grpSp>
    <xdr:clientData/>
  </xdr:twoCellAnchor>
  <xdr:twoCellAnchor>
    <xdr:from>
      <xdr:col>4</xdr:col>
      <xdr:colOff>383492</xdr:colOff>
      <xdr:row>5</xdr:row>
      <xdr:rowOff>21771</xdr:rowOff>
    </xdr:from>
    <xdr:to>
      <xdr:col>5</xdr:col>
      <xdr:colOff>549160</xdr:colOff>
      <xdr:row>6</xdr:row>
      <xdr:rowOff>19049</xdr:rowOff>
    </xdr:to>
    <xdr:sp macro="" textlink="">
      <xdr:nvSpPr>
        <xdr:cNvPr id="26" name="CaixaDeTexto 25">
          <a:extLst>
            <a:ext uri="{FF2B5EF4-FFF2-40B4-BE49-F238E27FC236}">
              <a16:creationId xmlns:a16="http://schemas.microsoft.com/office/drawing/2014/main" id="{C5FB3806-2A96-4AB5-BAEF-1E9087B5A74F}"/>
            </a:ext>
          </a:extLst>
        </xdr:cNvPr>
        <xdr:cNvSpPr txBox="1"/>
      </xdr:nvSpPr>
      <xdr:spPr>
        <a:xfrm>
          <a:off x="6269942" y="1177471"/>
          <a:ext cx="1664268" cy="181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50" u="none">
              <a:solidFill>
                <a:schemeClr val="bg1">
                  <a:lumMod val="50000"/>
                </a:schemeClr>
              </a:solidFill>
              <a:latin typeface="Trebuchet MS" panose="020B0603020202020204" pitchFamily="34" charset="0"/>
            </a:rPr>
            <a:t>in 31/12/2023</a:t>
          </a:r>
        </a:p>
      </xdr:txBody>
    </xdr:sp>
    <xdr:clientData/>
  </xdr:twoCellAnchor>
  <xdr:twoCellAnchor>
    <xdr:from>
      <xdr:col>3</xdr:col>
      <xdr:colOff>3717357</xdr:colOff>
      <xdr:row>4</xdr:row>
      <xdr:rowOff>151153</xdr:rowOff>
    </xdr:from>
    <xdr:to>
      <xdr:col>4</xdr:col>
      <xdr:colOff>133009</xdr:colOff>
      <xdr:row>6</xdr:row>
      <xdr:rowOff>20184</xdr:rowOff>
    </xdr:to>
    <xdr:sp macro="" textlink="">
      <xdr:nvSpPr>
        <xdr:cNvPr id="27" name="CaixaDeTexto 26">
          <a:extLst>
            <a:ext uri="{FF2B5EF4-FFF2-40B4-BE49-F238E27FC236}">
              <a16:creationId xmlns:a16="http://schemas.microsoft.com/office/drawing/2014/main" id="{3350A3EE-89E4-401F-88DC-4C12DFC73730}"/>
            </a:ext>
          </a:extLst>
        </xdr:cNvPr>
        <xdr:cNvSpPr txBox="1"/>
      </xdr:nvSpPr>
      <xdr:spPr>
        <a:xfrm>
          <a:off x="5201670" y="1127466"/>
          <a:ext cx="813027" cy="226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800" u="none">
              <a:solidFill>
                <a:schemeClr val="bg1">
                  <a:lumMod val="50000"/>
                </a:schemeClr>
              </a:solidFill>
              <a:latin typeface="Trebuchet MS" panose="020B0603020202020204" pitchFamily="34" charset="0"/>
            </a:rPr>
            <a:t>Millions</a:t>
          </a:r>
        </a:p>
      </xdr:txBody>
    </xdr:sp>
    <xdr:clientData/>
  </xdr:twoCellAnchor>
  <xdr:oneCellAnchor>
    <xdr:from>
      <xdr:col>1</xdr:col>
      <xdr:colOff>104778</xdr:colOff>
      <xdr:row>23</xdr:row>
      <xdr:rowOff>164305</xdr:rowOff>
    </xdr:from>
    <xdr:ext cx="144000" cy="144000"/>
    <xdr:pic>
      <xdr:nvPicPr>
        <xdr:cNvPr id="28" name="Gráfico 27" descr="Marca de seleção com preenchimento sólido">
          <a:extLst>
            <a:ext uri="{FF2B5EF4-FFF2-40B4-BE49-F238E27FC236}">
              <a16:creationId xmlns:a16="http://schemas.microsoft.com/office/drawing/2014/main" id="{0845C058-694F-40F2-8438-71C2E0BC02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33378" y="8717755"/>
          <a:ext cx="144000" cy="144000"/>
        </a:xfrm>
        <a:prstGeom prst="rect">
          <a:avLst/>
        </a:prstGeom>
      </xdr:spPr>
    </xdr:pic>
    <xdr:clientData/>
  </xdr:oneCellAnchor>
  <xdr:oneCellAnchor>
    <xdr:from>
      <xdr:col>1</xdr:col>
      <xdr:colOff>79375</xdr:colOff>
      <xdr:row>21</xdr:row>
      <xdr:rowOff>206375</xdr:rowOff>
    </xdr:from>
    <xdr:ext cx="144000" cy="144000"/>
    <xdr:pic>
      <xdr:nvPicPr>
        <xdr:cNvPr id="29" name="Gráfico 28" descr="Marca de seleção com preenchimento sólido">
          <a:extLst>
            <a:ext uri="{FF2B5EF4-FFF2-40B4-BE49-F238E27FC236}">
              <a16:creationId xmlns:a16="http://schemas.microsoft.com/office/drawing/2014/main" id="{CAD5B18C-263B-49C5-B178-DE3ECF7AB4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07975" y="7845425"/>
          <a:ext cx="144000" cy="144000"/>
        </a:xfrm>
        <a:prstGeom prst="rect">
          <a:avLst/>
        </a:prstGeom>
      </xdr:spPr>
    </xdr:pic>
    <xdr:clientData/>
  </xdr:oneCellAnchor>
  <xdr:oneCellAnchor>
    <xdr:from>
      <xdr:col>1</xdr:col>
      <xdr:colOff>55563</xdr:colOff>
      <xdr:row>22</xdr:row>
      <xdr:rowOff>206375</xdr:rowOff>
    </xdr:from>
    <xdr:ext cx="182562" cy="182562"/>
    <xdr:pic>
      <xdr:nvPicPr>
        <xdr:cNvPr id="30" name="Gráfico 29" descr="Marca de seleção com preenchimento sólido">
          <a:extLst>
            <a:ext uri="{FF2B5EF4-FFF2-40B4-BE49-F238E27FC236}">
              <a16:creationId xmlns:a16="http://schemas.microsoft.com/office/drawing/2014/main" id="{C8EFEDDD-B6D5-4107-8C8A-35D3FFC8A2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84163" y="8302625"/>
          <a:ext cx="182562" cy="182562"/>
        </a:xfrm>
        <a:prstGeom prst="rect">
          <a:avLst/>
        </a:prstGeom>
      </xdr:spPr>
    </xdr:pic>
    <xdr:clientData/>
  </xdr:oneCellAnchor>
  <xdr:oneCellAnchor>
    <xdr:from>
      <xdr:col>1</xdr:col>
      <xdr:colOff>88903</xdr:colOff>
      <xdr:row>24</xdr:row>
      <xdr:rowOff>196055</xdr:rowOff>
    </xdr:from>
    <xdr:ext cx="144000" cy="144000"/>
    <xdr:pic>
      <xdr:nvPicPr>
        <xdr:cNvPr id="31" name="Gráfico 30" descr="Marca de seleção com preenchimento sólido">
          <a:extLst>
            <a:ext uri="{FF2B5EF4-FFF2-40B4-BE49-F238E27FC236}">
              <a16:creationId xmlns:a16="http://schemas.microsoft.com/office/drawing/2014/main" id="{DBD5248C-3885-4230-A776-517F79ACAB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17503" y="9206705"/>
          <a:ext cx="144000" cy="144000"/>
        </a:xfrm>
        <a:prstGeom prst="rect">
          <a:avLst/>
        </a:prstGeom>
      </xdr:spPr>
    </xdr:pic>
    <xdr:clientData/>
  </xdr:oneCellAnchor>
  <xdr:oneCellAnchor>
    <xdr:from>
      <xdr:col>1</xdr:col>
      <xdr:colOff>98428</xdr:colOff>
      <xdr:row>25</xdr:row>
      <xdr:rowOff>157955</xdr:rowOff>
    </xdr:from>
    <xdr:ext cx="144000" cy="144000"/>
    <xdr:pic>
      <xdr:nvPicPr>
        <xdr:cNvPr id="32" name="Gráfico 31" descr="Marca de seleção com preenchimento sólido">
          <a:extLst>
            <a:ext uri="{FF2B5EF4-FFF2-40B4-BE49-F238E27FC236}">
              <a16:creationId xmlns:a16="http://schemas.microsoft.com/office/drawing/2014/main" id="{0FF89CBA-51C8-4C1B-A859-CE26B3AD0B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27028" y="9625805"/>
          <a:ext cx="144000" cy="144000"/>
        </a:xfrm>
        <a:prstGeom prst="rect">
          <a:avLst/>
        </a:prstGeom>
      </xdr:spPr>
    </xdr:pic>
    <xdr:clientData/>
  </xdr:oneCellAnchor>
  <xdr:twoCellAnchor editAs="oneCell">
    <xdr:from>
      <xdr:col>0</xdr:col>
      <xdr:colOff>71438</xdr:colOff>
      <xdr:row>0</xdr:row>
      <xdr:rowOff>0</xdr:rowOff>
    </xdr:from>
    <xdr:to>
      <xdr:col>2</xdr:col>
      <xdr:colOff>447647</xdr:colOff>
      <xdr:row>2</xdr:row>
      <xdr:rowOff>10445</xdr:rowOff>
    </xdr:to>
    <xdr:pic>
      <xdr:nvPicPr>
        <xdr:cNvPr id="34" name="Imagem 33">
          <a:hlinkClick xmlns:r="http://schemas.openxmlformats.org/officeDocument/2006/relationships" r:id="rId6"/>
          <a:extLst>
            <a:ext uri="{FF2B5EF4-FFF2-40B4-BE49-F238E27FC236}">
              <a16:creationId xmlns:a16="http://schemas.microsoft.com/office/drawing/2014/main" id="{B6923C3B-1F7F-E8C4-C78E-F1AF5DDFDD3C}"/>
            </a:ext>
          </a:extLst>
        </xdr:cNvPr>
        <xdr:cNvPicPr>
          <a:picLocks noChangeAspect="1"/>
        </xdr:cNvPicPr>
      </xdr:nvPicPr>
      <xdr:blipFill>
        <a:blip xmlns:r="http://schemas.openxmlformats.org/officeDocument/2006/relationships" r:embed="rId7"/>
        <a:stretch>
          <a:fillRect/>
        </a:stretch>
      </xdr:blipFill>
      <xdr:spPr>
        <a:xfrm>
          <a:off x="71438" y="0"/>
          <a:ext cx="1146147" cy="359695"/>
        </a:xfrm>
        <a:prstGeom prst="rect">
          <a:avLst/>
        </a:prstGeom>
      </xdr:spPr>
    </xdr:pic>
    <xdr:clientData/>
  </xdr:twoCellAnchor>
  <xdr:twoCellAnchor>
    <xdr:from>
      <xdr:col>3</xdr:col>
      <xdr:colOff>214313</xdr:colOff>
      <xdr:row>0</xdr:row>
      <xdr:rowOff>0</xdr:rowOff>
    </xdr:from>
    <xdr:to>
      <xdr:col>3</xdr:col>
      <xdr:colOff>2445885</xdr:colOff>
      <xdr:row>1</xdr:row>
      <xdr:rowOff>154213</xdr:rowOff>
    </xdr:to>
    <xdr:sp macro="" textlink="">
      <xdr:nvSpPr>
        <xdr:cNvPr id="36" name="CaixaDeTexto 35">
          <a:extLst>
            <a:ext uri="{FF2B5EF4-FFF2-40B4-BE49-F238E27FC236}">
              <a16:creationId xmlns:a16="http://schemas.microsoft.com/office/drawing/2014/main" id="{DC49A7D0-559E-4467-8A6F-056B54887DF4}"/>
            </a:ext>
          </a:extLst>
        </xdr:cNvPr>
        <xdr:cNvSpPr txBox="1"/>
      </xdr:nvSpPr>
      <xdr:spPr>
        <a:xfrm>
          <a:off x="1698626" y="0"/>
          <a:ext cx="2231572" cy="328838"/>
        </a:xfrm>
        <a:prstGeom prst="rect">
          <a:avLst/>
        </a:prstGeom>
        <a:solidFill>
          <a:sysClr val="window" lastClr="FFFFFF"/>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200" b="1" i="0" u="none" strike="noStrike" kern="0" cap="none" spc="0" normalizeH="0" baseline="0" noProof="0">
              <a:ln>
                <a:noFill/>
              </a:ln>
              <a:solidFill>
                <a:sysClr val="window" lastClr="FFFFFF">
                  <a:lumMod val="50000"/>
                </a:sysClr>
              </a:solidFill>
              <a:effectLst/>
              <a:uLnTx/>
              <a:uFillTx/>
              <a:latin typeface="Trebuchet MS" panose="020B0603020202020204" pitchFamily="34" charset="0"/>
              <a:ea typeface="+mn-ea"/>
              <a:cs typeface="+mn-cs"/>
            </a:rPr>
            <a:t>Accrual Method </a:t>
          </a:r>
        </a:p>
      </xdr:txBody>
    </xdr:sp>
    <xdr:clientData/>
  </xdr:twoCellAnchor>
  <xdr:twoCellAnchor>
    <xdr:from>
      <xdr:col>6</xdr:col>
      <xdr:colOff>1468438</xdr:colOff>
      <xdr:row>0</xdr:row>
      <xdr:rowOff>31750</xdr:rowOff>
    </xdr:from>
    <xdr:to>
      <xdr:col>8</xdr:col>
      <xdr:colOff>52729</xdr:colOff>
      <xdr:row>2</xdr:row>
      <xdr:rowOff>11338</xdr:rowOff>
    </xdr:to>
    <xdr:sp macro="" textlink="">
      <xdr:nvSpPr>
        <xdr:cNvPr id="39" name="CaixaDeTexto 38">
          <a:extLst>
            <a:ext uri="{FF2B5EF4-FFF2-40B4-BE49-F238E27FC236}">
              <a16:creationId xmlns:a16="http://schemas.microsoft.com/office/drawing/2014/main" id="{4B1D9C86-7CC1-4F12-BA19-2C93C81BE4B5}"/>
            </a:ext>
          </a:extLst>
        </xdr:cNvPr>
        <xdr:cNvSpPr txBox="1"/>
      </xdr:nvSpPr>
      <xdr:spPr>
        <a:xfrm>
          <a:off x="10350501" y="31750"/>
          <a:ext cx="2338728" cy="328838"/>
        </a:xfrm>
        <a:prstGeom prst="rect">
          <a:avLst/>
        </a:prstGeom>
        <a:solidFill>
          <a:sysClr val="window" lastClr="FFFFFF"/>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200" b="1" i="0" u="none" strike="noStrike" kern="0" cap="none" spc="0" normalizeH="0" baseline="0" noProof="0">
              <a:ln>
                <a:noFill/>
              </a:ln>
              <a:solidFill>
                <a:sysClr val="window" lastClr="FFFFFF">
                  <a:lumMod val="50000"/>
                </a:sysClr>
              </a:solidFill>
              <a:effectLst/>
              <a:uLnTx/>
              <a:uFillTx/>
              <a:latin typeface="Trebuchet MS" panose="020B0603020202020204" pitchFamily="34" charset="0"/>
              <a:ea typeface="+mn-ea"/>
              <a:cs typeface="+mn-cs"/>
            </a:rPr>
            <a:t>Cash Method </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3299342</xdr:colOff>
      <xdr:row>0</xdr:row>
      <xdr:rowOff>61232</xdr:rowOff>
    </xdr:from>
    <xdr:to>
      <xdr:col>1</xdr:col>
      <xdr:colOff>4212323</xdr:colOff>
      <xdr:row>0</xdr:row>
      <xdr:rowOff>428235</xdr:rowOff>
    </xdr:to>
    <xdr:pic>
      <xdr:nvPicPr>
        <xdr:cNvPr id="5" name="Imagem 1">
          <a:extLst>
            <a:ext uri="{FF2B5EF4-FFF2-40B4-BE49-F238E27FC236}">
              <a16:creationId xmlns:a16="http://schemas.microsoft.com/office/drawing/2014/main" id="{FA3D67D8-6673-424B-BD2E-015D1BB0231D}"/>
            </a:ext>
          </a:extLst>
        </xdr:cNvPr>
        <xdr:cNvPicPr>
          <a:picLocks noChangeAspect="1"/>
        </xdr:cNvPicPr>
      </xdr:nvPicPr>
      <xdr:blipFill>
        <a:blip xmlns:r="http://schemas.openxmlformats.org/officeDocument/2006/relationships" r:embed="rId1"/>
        <a:stretch>
          <a:fillRect/>
        </a:stretch>
      </xdr:blipFill>
      <xdr:spPr>
        <a:xfrm>
          <a:off x="3399128" y="61232"/>
          <a:ext cx="912981" cy="367003"/>
        </a:xfrm>
        <a:prstGeom prst="rect">
          <a:avLst/>
        </a:prstGeom>
      </xdr:spPr>
    </xdr:pic>
    <xdr:clientData/>
  </xdr:twoCellAnchor>
  <xdr:twoCellAnchor editAs="oneCell">
    <xdr:from>
      <xdr:col>0</xdr:col>
      <xdr:colOff>68036</xdr:colOff>
      <xdr:row>0</xdr:row>
      <xdr:rowOff>27214</xdr:rowOff>
    </xdr:from>
    <xdr:to>
      <xdr:col>1</xdr:col>
      <xdr:colOff>1207816</xdr:colOff>
      <xdr:row>0</xdr:row>
      <xdr:rowOff>442573</xdr:rowOff>
    </xdr:to>
    <xdr:pic>
      <xdr:nvPicPr>
        <xdr:cNvPr id="4" name="Imagem 3">
          <a:hlinkClick xmlns:r="http://schemas.openxmlformats.org/officeDocument/2006/relationships" r:id="rId2"/>
          <a:extLst>
            <a:ext uri="{FF2B5EF4-FFF2-40B4-BE49-F238E27FC236}">
              <a16:creationId xmlns:a16="http://schemas.microsoft.com/office/drawing/2014/main" id="{FBF03388-2EFA-4528-97CF-106D19341761}"/>
            </a:ext>
          </a:extLst>
        </xdr:cNvPr>
        <xdr:cNvPicPr>
          <a:picLocks noChangeAspect="1"/>
        </xdr:cNvPicPr>
      </xdr:nvPicPr>
      <xdr:blipFill>
        <a:blip xmlns:r="http://schemas.openxmlformats.org/officeDocument/2006/relationships" r:embed="rId3"/>
        <a:stretch>
          <a:fillRect/>
        </a:stretch>
      </xdr:blipFill>
      <xdr:spPr>
        <a:xfrm>
          <a:off x="68036" y="27214"/>
          <a:ext cx="1235030" cy="41535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232569</xdr:colOff>
      <xdr:row>0</xdr:row>
      <xdr:rowOff>119062</xdr:rowOff>
    </xdr:from>
    <xdr:to>
      <xdr:col>13</xdr:col>
      <xdr:colOff>535950</xdr:colOff>
      <xdr:row>1</xdr:row>
      <xdr:rowOff>152690</xdr:rowOff>
    </xdr:to>
    <xdr:pic>
      <xdr:nvPicPr>
        <xdr:cNvPr id="9" name="Imagem 5">
          <a:extLst>
            <a:ext uri="{FF2B5EF4-FFF2-40B4-BE49-F238E27FC236}">
              <a16:creationId xmlns:a16="http://schemas.microsoft.com/office/drawing/2014/main" id="{BA53AB58-C89A-410C-A148-CB8167876B8A}"/>
            </a:ext>
          </a:extLst>
        </xdr:cNvPr>
        <xdr:cNvPicPr>
          <a:picLocks noChangeAspect="1"/>
        </xdr:cNvPicPr>
      </xdr:nvPicPr>
      <xdr:blipFill>
        <a:blip xmlns:r="http://schemas.openxmlformats.org/officeDocument/2006/relationships" r:embed="rId1"/>
        <a:stretch>
          <a:fillRect/>
        </a:stretch>
      </xdr:blipFill>
      <xdr:spPr>
        <a:xfrm>
          <a:off x="7566819" y="119062"/>
          <a:ext cx="914569" cy="367003"/>
        </a:xfrm>
        <a:prstGeom prst="rect">
          <a:avLst/>
        </a:prstGeom>
      </xdr:spPr>
    </xdr:pic>
    <xdr:clientData/>
  </xdr:twoCellAnchor>
  <xdr:twoCellAnchor editAs="oneCell">
    <xdr:from>
      <xdr:col>1</xdr:col>
      <xdr:colOff>523875</xdr:colOff>
      <xdr:row>0</xdr:row>
      <xdr:rowOff>154782</xdr:rowOff>
    </xdr:from>
    <xdr:to>
      <xdr:col>3</xdr:col>
      <xdr:colOff>542087</xdr:colOff>
      <xdr:row>2</xdr:row>
      <xdr:rowOff>39122</xdr:rowOff>
    </xdr:to>
    <xdr:pic>
      <xdr:nvPicPr>
        <xdr:cNvPr id="4" name="Imagem 23">
          <a:hlinkClick xmlns:r="http://schemas.openxmlformats.org/officeDocument/2006/relationships" r:id="rId2"/>
          <a:extLst>
            <a:ext uri="{FF2B5EF4-FFF2-40B4-BE49-F238E27FC236}">
              <a16:creationId xmlns:a16="http://schemas.microsoft.com/office/drawing/2014/main" id="{F3D86110-1589-49EA-AF30-EE7288F96392}"/>
            </a:ext>
          </a:extLst>
        </xdr:cNvPr>
        <xdr:cNvPicPr>
          <a:picLocks noChangeAspect="1"/>
        </xdr:cNvPicPr>
      </xdr:nvPicPr>
      <xdr:blipFill>
        <a:blip xmlns:r="http://schemas.openxmlformats.org/officeDocument/2006/relationships" r:embed="rId3"/>
        <a:stretch>
          <a:fillRect/>
        </a:stretch>
      </xdr:blipFill>
      <xdr:spPr>
        <a:xfrm>
          <a:off x="1131094" y="154782"/>
          <a:ext cx="1232649" cy="4082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3659025</xdr:colOff>
      <xdr:row>0</xdr:row>
      <xdr:rowOff>83908</xdr:rowOff>
    </xdr:from>
    <xdr:to>
      <xdr:col>1</xdr:col>
      <xdr:colOff>4572006</xdr:colOff>
      <xdr:row>0</xdr:row>
      <xdr:rowOff>450911</xdr:rowOff>
    </xdr:to>
    <xdr:pic>
      <xdr:nvPicPr>
        <xdr:cNvPr id="4" name="Imagem 3">
          <a:extLst>
            <a:ext uri="{FF2B5EF4-FFF2-40B4-BE49-F238E27FC236}">
              <a16:creationId xmlns:a16="http://schemas.microsoft.com/office/drawing/2014/main" id="{7652267F-3280-4612-8A7E-D44AA3564F6C}"/>
            </a:ext>
          </a:extLst>
        </xdr:cNvPr>
        <xdr:cNvPicPr>
          <a:picLocks noChangeAspect="1"/>
        </xdr:cNvPicPr>
      </xdr:nvPicPr>
      <xdr:blipFill>
        <a:blip xmlns:r="http://schemas.openxmlformats.org/officeDocument/2006/relationships" r:embed="rId1"/>
        <a:stretch>
          <a:fillRect/>
        </a:stretch>
      </xdr:blipFill>
      <xdr:spPr>
        <a:xfrm>
          <a:off x="3795096" y="83908"/>
          <a:ext cx="912981" cy="367003"/>
        </a:xfrm>
        <a:prstGeom prst="rect">
          <a:avLst/>
        </a:prstGeom>
      </xdr:spPr>
    </xdr:pic>
    <xdr:clientData/>
  </xdr:twoCellAnchor>
  <xdr:twoCellAnchor editAs="oneCell">
    <xdr:from>
      <xdr:col>0</xdr:col>
      <xdr:colOff>68035</xdr:colOff>
      <xdr:row>0</xdr:row>
      <xdr:rowOff>68036</xdr:rowOff>
    </xdr:from>
    <xdr:to>
      <xdr:col>1</xdr:col>
      <xdr:colOff>1164613</xdr:colOff>
      <xdr:row>0</xdr:row>
      <xdr:rowOff>476251</xdr:rowOff>
    </xdr:to>
    <xdr:pic>
      <xdr:nvPicPr>
        <xdr:cNvPr id="6" name="Imagem 5">
          <a:hlinkClick xmlns:r="http://schemas.openxmlformats.org/officeDocument/2006/relationships" r:id="rId2"/>
          <a:extLst>
            <a:ext uri="{FF2B5EF4-FFF2-40B4-BE49-F238E27FC236}">
              <a16:creationId xmlns:a16="http://schemas.microsoft.com/office/drawing/2014/main" id="{E32D34D1-5492-45B8-ADFA-5B9D83A7FE8B}"/>
            </a:ext>
          </a:extLst>
        </xdr:cNvPr>
        <xdr:cNvPicPr>
          <a:picLocks noChangeAspect="1"/>
        </xdr:cNvPicPr>
      </xdr:nvPicPr>
      <xdr:blipFill>
        <a:blip xmlns:r="http://schemas.openxmlformats.org/officeDocument/2006/relationships" r:embed="rId3"/>
        <a:stretch>
          <a:fillRect/>
        </a:stretch>
      </xdr:blipFill>
      <xdr:spPr>
        <a:xfrm>
          <a:off x="68035" y="68036"/>
          <a:ext cx="1232649" cy="4082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4017347</xdr:colOff>
      <xdr:row>0</xdr:row>
      <xdr:rowOff>70301</xdr:rowOff>
    </xdr:from>
    <xdr:to>
      <xdr:col>1</xdr:col>
      <xdr:colOff>4930328</xdr:colOff>
      <xdr:row>0</xdr:row>
      <xdr:rowOff>437304</xdr:rowOff>
    </xdr:to>
    <xdr:pic>
      <xdr:nvPicPr>
        <xdr:cNvPr id="2" name="Imagem 1">
          <a:extLst>
            <a:ext uri="{FF2B5EF4-FFF2-40B4-BE49-F238E27FC236}">
              <a16:creationId xmlns:a16="http://schemas.microsoft.com/office/drawing/2014/main" id="{433C4988-AC39-406F-9154-9B3C325A22CC}"/>
            </a:ext>
          </a:extLst>
        </xdr:cNvPr>
        <xdr:cNvPicPr>
          <a:picLocks noChangeAspect="1"/>
        </xdr:cNvPicPr>
      </xdr:nvPicPr>
      <xdr:blipFill>
        <a:blip xmlns:r="http://schemas.openxmlformats.org/officeDocument/2006/relationships" r:embed="rId1"/>
        <a:stretch>
          <a:fillRect/>
        </a:stretch>
      </xdr:blipFill>
      <xdr:spPr>
        <a:xfrm>
          <a:off x="4153418" y="70301"/>
          <a:ext cx="912981" cy="367003"/>
        </a:xfrm>
        <a:prstGeom prst="rect">
          <a:avLst/>
        </a:prstGeom>
      </xdr:spPr>
    </xdr:pic>
    <xdr:clientData/>
  </xdr:twoCellAnchor>
  <xdr:twoCellAnchor editAs="oneCell">
    <xdr:from>
      <xdr:col>0</xdr:col>
      <xdr:colOff>108857</xdr:colOff>
      <xdr:row>0</xdr:row>
      <xdr:rowOff>54428</xdr:rowOff>
    </xdr:from>
    <xdr:to>
      <xdr:col>1</xdr:col>
      <xdr:colOff>1205435</xdr:colOff>
      <xdr:row>0</xdr:row>
      <xdr:rowOff>462643</xdr:rowOff>
    </xdr:to>
    <xdr:pic>
      <xdr:nvPicPr>
        <xdr:cNvPr id="4" name="Imagem 3">
          <a:hlinkClick xmlns:r="http://schemas.openxmlformats.org/officeDocument/2006/relationships" r:id="rId2"/>
          <a:extLst>
            <a:ext uri="{FF2B5EF4-FFF2-40B4-BE49-F238E27FC236}">
              <a16:creationId xmlns:a16="http://schemas.microsoft.com/office/drawing/2014/main" id="{964A7DE0-2DEC-476C-8BFC-0CB231E415A8}"/>
            </a:ext>
          </a:extLst>
        </xdr:cNvPr>
        <xdr:cNvPicPr>
          <a:picLocks noChangeAspect="1"/>
        </xdr:cNvPicPr>
      </xdr:nvPicPr>
      <xdr:blipFill>
        <a:blip xmlns:r="http://schemas.openxmlformats.org/officeDocument/2006/relationships" r:embed="rId3"/>
        <a:stretch>
          <a:fillRect/>
        </a:stretch>
      </xdr:blipFill>
      <xdr:spPr>
        <a:xfrm>
          <a:off x="108857" y="54428"/>
          <a:ext cx="1232649" cy="4082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3817775</xdr:colOff>
      <xdr:row>0</xdr:row>
      <xdr:rowOff>92980</xdr:rowOff>
    </xdr:from>
    <xdr:to>
      <xdr:col>1</xdr:col>
      <xdr:colOff>4730756</xdr:colOff>
      <xdr:row>0</xdr:row>
      <xdr:rowOff>459983</xdr:rowOff>
    </xdr:to>
    <xdr:pic>
      <xdr:nvPicPr>
        <xdr:cNvPr id="2" name="Imagem 1">
          <a:extLst>
            <a:ext uri="{FF2B5EF4-FFF2-40B4-BE49-F238E27FC236}">
              <a16:creationId xmlns:a16="http://schemas.microsoft.com/office/drawing/2014/main" id="{DF87963B-03C9-4F79-A24E-06E81266CCE4}"/>
            </a:ext>
          </a:extLst>
        </xdr:cNvPr>
        <xdr:cNvPicPr>
          <a:picLocks noChangeAspect="1"/>
        </xdr:cNvPicPr>
      </xdr:nvPicPr>
      <xdr:blipFill>
        <a:blip xmlns:r="http://schemas.openxmlformats.org/officeDocument/2006/relationships" r:embed="rId1"/>
        <a:stretch>
          <a:fillRect/>
        </a:stretch>
      </xdr:blipFill>
      <xdr:spPr>
        <a:xfrm>
          <a:off x="3953846" y="92980"/>
          <a:ext cx="912981" cy="367003"/>
        </a:xfrm>
        <a:prstGeom prst="rect">
          <a:avLst/>
        </a:prstGeom>
      </xdr:spPr>
    </xdr:pic>
    <xdr:clientData/>
  </xdr:twoCellAnchor>
  <xdr:twoCellAnchor editAs="oneCell">
    <xdr:from>
      <xdr:col>0</xdr:col>
      <xdr:colOff>81643</xdr:colOff>
      <xdr:row>0</xdr:row>
      <xdr:rowOff>68037</xdr:rowOff>
    </xdr:from>
    <xdr:to>
      <xdr:col>1</xdr:col>
      <xdr:colOff>1178221</xdr:colOff>
      <xdr:row>0</xdr:row>
      <xdr:rowOff>476252</xdr:rowOff>
    </xdr:to>
    <xdr:pic>
      <xdr:nvPicPr>
        <xdr:cNvPr id="4" name="Imagem 3">
          <a:hlinkClick xmlns:r="http://schemas.openxmlformats.org/officeDocument/2006/relationships" r:id="rId2"/>
          <a:extLst>
            <a:ext uri="{FF2B5EF4-FFF2-40B4-BE49-F238E27FC236}">
              <a16:creationId xmlns:a16="http://schemas.microsoft.com/office/drawing/2014/main" id="{77DB426F-9CE5-414A-9350-18C76334BFF2}"/>
            </a:ext>
          </a:extLst>
        </xdr:cNvPr>
        <xdr:cNvPicPr>
          <a:picLocks noChangeAspect="1"/>
        </xdr:cNvPicPr>
      </xdr:nvPicPr>
      <xdr:blipFill>
        <a:blip xmlns:r="http://schemas.openxmlformats.org/officeDocument/2006/relationships" r:embed="rId3"/>
        <a:stretch>
          <a:fillRect/>
        </a:stretch>
      </xdr:blipFill>
      <xdr:spPr>
        <a:xfrm>
          <a:off x="81643" y="68037"/>
          <a:ext cx="1232649" cy="4082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4479989</xdr:colOff>
      <xdr:row>0</xdr:row>
      <xdr:rowOff>88444</xdr:rowOff>
    </xdr:from>
    <xdr:to>
      <xdr:col>1</xdr:col>
      <xdr:colOff>5392970</xdr:colOff>
      <xdr:row>0</xdr:row>
      <xdr:rowOff>455447</xdr:rowOff>
    </xdr:to>
    <xdr:pic>
      <xdr:nvPicPr>
        <xdr:cNvPr id="2" name="Imagem 1">
          <a:extLst>
            <a:ext uri="{FF2B5EF4-FFF2-40B4-BE49-F238E27FC236}">
              <a16:creationId xmlns:a16="http://schemas.microsoft.com/office/drawing/2014/main" id="{D1C81F36-088C-4123-8612-5211DB0F94B9}"/>
            </a:ext>
          </a:extLst>
        </xdr:cNvPr>
        <xdr:cNvPicPr>
          <a:picLocks noChangeAspect="1"/>
        </xdr:cNvPicPr>
      </xdr:nvPicPr>
      <xdr:blipFill>
        <a:blip xmlns:r="http://schemas.openxmlformats.org/officeDocument/2006/relationships" r:embed="rId1"/>
        <a:stretch>
          <a:fillRect/>
        </a:stretch>
      </xdr:blipFill>
      <xdr:spPr>
        <a:xfrm>
          <a:off x="4616060" y="88444"/>
          <a:ext cx="912981" cy="367003"/>
        </a:xfrm>
        <a:prstGeom prst="rect">
          <a:avLst/>
        </a:prstGeom>
      </xdr:spPr>
    </xdr:pic>
    <xdr:clientData/>
  </xdr:twoCellAnchor>
  <xdr:twoCellAnchor editAs="oneCell">
    <xdr:from>
      <xdr:col>0</xdr:col>
      <xdr:colOff>40821</xdr:colOff>
      <xdr:row>0</xdr:row>
      <xdr:rowOff>54429</xdr:rowOff>
    </xdr:from>
    <xdr:to>
      <xdr:col>1</xdr:col>
      <xdr:colOff>1137399</xdr:colOff>
      <xdr:row>0</xdr:row>
      <xdr:rowOff>462644</xdr:rowOff>
    </xdr:to>
    <xdr:pic>
      <xdr:nvPicPr>
        <xdr:cNvPr id="4" name="Imagem 3">
          <a:hlinkClick xmlns:r="http://schemas.openxmlformats.org/officeDocument/2006/relationships" r:id="rId2"/>
          <a:extLst>
            <a:ext uri="{FF2B5EF4-FFF2-40B4-BE49-F238E27FC236}">
              <a16:creationId xmlns:a16="http://schemas.microsoft.com/office/drawing/2014/main" id="{E9F5CB91-9F86-4035-95BF-AF521B9190C5}"/>
            </a:ext>
          </a:extLst>
        </xdr:cNvPr>
        <xdr:cNvPicPr>
          <a:picLocks noChangeAspect="1"/>
        </xdr:cNvPicPr>
      </xdr:nvPicPr>
      <xdr:blipFill>
        <a:blip xmlns:r="http://schemas.openxmlformats.org/officeDocument/2006/relationships" r:embed="rId3"/>
        <a:stretch>
          <a:fillRect/>
        </a:stretch>
      </xdr:blipFill>
      <xdr:spPr>
        <a:xfrm>
          <a:off x="40821" y="54429"/>
          <a:ext cx="1232649" cy="4082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3808704</xdr:colOff>
      <xdr:row>0</xdr:row>
      <xdr:rowOff>83908</xdr:rowOff>
    </xdr:from>
    <xdr:to>
      <xdr:col>1</xdr:col>
      <xdr:colOff>4721685</xdr:colOff>
      <xdr:row>0</xdr:row>
      <xdr:rowOff>450911</xdr:rowOff>
    </xdr:to>
    <xdr:pic>
      <xdr:nvPicPr>
        <xdr:cNvPr id="2" name="Imagem 1">
          <a:extLst>
            <a:ext uri="{FF2B5EF4-FFF2-40B4-BE49-F238E27FC236}">
              <a16:creationId xmlns:a16="http://schemas.microsoft.com/office/drawing/2014/main" id="{80CD5072-372C-461F-8AC6-AEA90C1D67B2}"/>
            </a:ext>
          </a:extLst>
        </xdr:cNvPr>
        <xdr:cNvPicPr>
          <a:picLocks noChangeAspect="1"/>
        </xdr:cNvPicPr>
      </xdr:nvPicPr>
      <xdr:blipFill>
        <a:blip xmlns:r="http://schemas.openxmlformats.org/officeDocument/2006/relationships" r:embed="rId1"/>
        <a:stretch>
          <a:fillRect/>
        </a:stretch>
      </xdr:blipFill>
      <xdr:spPr>
        <a:xfrm>
          <a:off x="3917561" y="83908"/>
          <a:ext cx="912981" cy="367003"/>
        </a:xfrm>
        <a:prstGeom prst="rect">
          <a:avLst/>
        </a:prstGeom>
      </xdr:spPr>
    </xdr:pic>
    <xdr:clientData/>
  </xdr:twoCellAnchor>
  <xdr:twoCellAnchor editAs="oneCell">
    <xdr:from>
      <xdr:col>0</xdr:col>
      <xdr:colOff>95250</xdr:colOff>
      <xdr:row>0</xdr:row>
      <xdr:rowOff>40822</xdr:rowOff>
    </xdr:from>
    <xdr:to>
      <xdr:col>1</xdr:col>
      <xdr:colOff>1219042</xdr:colOff>
      <xdr:row>0</xdr:row>
      <xdr:rowOff>449037</xdr:rowOff>
    </xdr:to>
    <xdr:pic>
      <xdr:nvPicPr>
        <xdr:cNvPr id="4" name="Imagem 3">
          <a:hlinkClick xmlns:r="http://schemas.openxmlformats.org/officeDocument/2006/relationships" r:id="rId2"/>
          <a:extLst>
            <a:ext uri="{FF2B5EF4-FFF2-40B4-BE49-F238E27FC236}">
              <a16:creationId xmlns:a16="http://schemas.microsoft.com/office/drawing/2014/main" id="{45001B00-0306-4C0E-9AC3-2C8A90E52FD0}"/>
            </a:ext>
          </a:extLst>
        </xdr:cNvPr>
        <xdr:cNvPicPr>
          <a:picLocks noChangeAspect="1"/>
        </xdr:cNvPicPr>
      </xdr:nvPicPr>
      <xdr:blipFill>
        <a:blip xmlns:r="http://schemas.openxmlformats.org/officeDocument/2006/relationships" r:embed="rId3"/>
        <a:stretch>
          <a:fillRect/>
        </a:stretch>
      </xdr:blipFill>
      <xdr:spPr>
        <a:xfrm>
          <a:off x="95250" y="40822"/>
          <a:ext cx="1232649" cy="4082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4402882</xdr:colOff>
      <xdr:row>0</xdr:row>
      <xdr:rowOff>88444</xdr:rowOff>
    </xdr:from>
    <xdr:to>
      <xdr:col>1</xdr:col>
      <xdr:colOff>5315863</xdr:colOff>
      <xdr:row>0</xdr:row>
      <xdr:rowOff>455447</xdr:rowOff>
    </xdr:to>
    <xdr:pic>
      <xdr:nvPicPr>
        <xdr:cNvPr id="2" name="Imagem 1">
          <a:extLst>
            <a:ext uri="{FF2B5EF4-FFF2-40B4-BE49-F238E27FC236}">
              <a16:creationId xmlns:a16="http://schemas.microsoft.com/office/drawing/2014/main" id="{A6858B48-315D-4A0A-B211-DF7679A60643}"/>
            </a:ext>
          </a:extLst>
        </xdr:cNvPr>
        <xdr:cNvPicPr>
          <a:picLocks noChangeAspect="1"/>
        </xdr:cNvPicPr>
      </xdr:nvPicPr>
      <xdr:blipFill>
        <a:blip xmlns:r="http://schemas.openxmlformats.org/officeDocument/2006/relationships" r:embed="rId1"/>
        <a:stretch>
          <a:fillRect/>
        </a:stretch>
      </xdr:blipFill>
      <xdr:spPr>
        <a:xfrm>
          <a:off x="4538953" y="88444"/>
          <a:ext cx="912981" cy="367003"/>
        </a:xfrm>
        <a:prstGeom prst="rect">
          <a:avLst/>
        </a:prstGeom>
      </xdr:spPr>
    </xdr:pic>
    <xdr:clientData/>
  </xdr:twoCellAnchor>
  <xdr:twoCellAnchor editAs="oneCell">
    <xdr:from>
      <xdr:col>0</xdr:col>
      <xdr:colOff>72572</xdr:colOff>
      <xdr:row>0</xdr:row>
      <xdr:rowOff>45358</xdr:rowOff>
    </xdr:from>
    <xdr:to>
      <xdr:col>1</xdr:col>
      <xdr:colOff>1173686</xdr:colOff>
      <xdr:row>0</xdr:row>
      <xdr:rowOff>453573</xdr:rowOff>
    </xdr:to>
    <xdr:pic>
      <xdr:nvPicPr>
        <xdr:cNvPr id="5" name="Imagem 4">
          <a:hlinkClick xmlns:r="http://schemas.openxmlformats.org/officeDocument/2006/relationships" r:id="rId2"/>
          <a:extLst>
            <a:ext uri="{FF2B5EF4-FFF2-40B4-BE49-F238E27FC236}">
              <a16:creationId xmlns:a16="http://schemas.microsoft.com/office/drawing/2014/main" id="{95877912-5E9C-4E3A-8493-4173BF20CEA9}"/>
            </a:ext>
          </a:extLst>
        </xdr:cNvPr>
        <xdr:cNvPicPr>
          <a:picLocks noChangeAspect="1"/>
        </xdr:cNvPicPr>
      </xdr:nvPicPr>
      <xdr:blipFill>
        <a:blip xmlns:r="http://schemas.openxmlformats.org/officeDocument/2006/relationships" r:embed="rId3"/>
        <a:stretch>
          <a:fillRect/>
        </a:stretch>
      </xdr:blipFill>
      <xdr:spPr>
        <a:xfrm>
          <a:off x="72572" y="45358"/>
          <a:ext cx="1237185" cy="40821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5759062</xdr:colOff>
      <xdr:row>0</xdr:row>
      <xdr:rowOff>65765</xdr:rowOff>
    </xdr:from>
    <xdr:to>
      <xdr:col>1</xdr:col>
      <xdr:colOff>6672043</xdr:colOff>
      <xdr:row>0</xdr:row>
      <xdr:rowOff>432768</xdr:rowOff>
    </xdr:to>
    <xdr:pic>
      <xdr:nvPicPr>
        <xdr:cNvPr id="2" name="Imagem 1">
          <a:extLst>
            <a:ext uri="{FF2B5EF4-FFF2-40B4-BE49-F238E27FC236}">
              <a16:creationId xmlns:a16="http://schemas.microsoft.com/office/drawing/2014/main" id="{C04E8101-9E32-4091-8D1B-37D26D5195FD}"/>
            </a:ext>
          </a:extLst>
        </xdr:cNvPr>
        <xdr:cNvPicPr>
          <a:picLocks noChangeAspect="1"/>
        </xdr:cNvPicPr>
      </xdr:nvPicPr>
      <xdr:blipFill>
        <a:blip xmlns:r="http://schemas.openxmlformats.org/officeDocument/2006/relationships" r:embed="rId1"/>
        <a:stretch>
          <a:fillRect/>
        </a:stretch>
      </xdr:blipFill>
      <xdr:spPr>
        <a:xfrm>
          <a:off x="5895133" y="65765"/>
          <a:ext cx="912981" cy="367003"/>
        </a:xfrm>
        <a:prstGeom prst="rect">
          <a:avLst/>
        </a:prstGeom>
      </xdr:spPr>
    </xdr:pic>
    <xdr:clientData/>
  </xdr:twoCellAnchor>
  <xdr:twoCellAnchor editAs="oneCell">
    <xdr:from>
      <xdr:col>0</xdr:col>
      <xdr:colOff>99785</xdr:colOff>
      <xdr:row>0</xdr:row>
      <xdr:rowOff>18143</xdr:rowOff>
    </xdr:from>
    <xdr:to>
      <xdr:col>1</xdr:col>
      <xdr:colOff>1200899</xdr:colOff>
      <xdr:row>0</xdr:row>
      <xdr:rowOff>426358</xdr:rowOff>
    </xdr:to>
    <xdr:pic>
      <xdr:nvPicPr>
        <xdr:cNvPr id="3" name="Imagem 2">
          <a:hlinkClick xmlns:r="http://schemas.openxmlformats.org/officeDocument/2006/relationships" r:id="rId2"/>
          <a:extLst>
            <a:ext uri="{FF2B5EF4-FFF2-40B4-BE49-F238E27FC236}">
              <a16:creationId xmlns:a16="http://schemas.microsoft.com/office/drawing/2014/main" id="{CE6F8035-BA7F-4105-BBEA-79862FB681F6}"/>
            </a:ext>
          </a:extLst>
        </xdr:cNvPr>
        <xdr:cNvPicPr>
          <a:picLocks noChangeAspect="1"/>
        </xdr:cNvPicPr>
      </xdr:nvPicPr>
      <xdr:blipFill>
        <a:blip xmlns:r="http://schemas.openxmlformats.org/officeDocument/2006/relationships" r:embed="rId3"/>
        <a:stretch>
          <a:fillRect/>
        </a:stretch>
      </xdr:blipFill>
      <xdr:spPr>
        <a:xfrm>
          <a:off x="99785" y="18143"/>
          <a:ext cx="1240814" cy="40821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3408198</xdr:colOff>
      <xdr:row>0</xdr:row>
      <xdr:rowOff>70303</xdr:rowOff>
    </xdr:from>
    <xdr:to>
      <xdr:col>1</xdr:col>
      <xdr:colOff>4321179</xdr:colOff>
      <xdr:row>0</xdr:row>
      <xdr:rowOff>437306</xdr:rowOff>
    </xdr:to>
    <xdr:pic>
      <xdr:nvPicPr>
        <xdr:cNvPr id="2" name="Imagem 1">
          <a:extLst>
            <a:ext uri="{FF2B5EF4-FFF2-40B4-BE49-F238E27FC236}">
              <a16:creationId xmlns:a16="http://schemas.microsoft.com/office/drawing/2014/main" id="{885FD83A-9DB2-43D1-B3C5-0DD831294125}"/>
            </a:ext>
          </a:extLst>
        </xdr:cNvPr>
        <xdr:cNvPicPr>
          <a:picLocks noChangeAspect="1"/>
        </xdr:cNvPicPr>
      </xdr:nvPicPr>
      <xdr:blipFill>
        <a:blip xmlns:r="http://schemas.openxmlformats.org/officeDocument/2006/relationships" r:embed="rId1"/>
        <a:stretch>
          <a:fillRect/>
        </a:stretch>
      </xdr:blipFill>
      <xdr:spPr>
        <a:xfrm>
          <a:off x="3507984" y="70303"/>
          <a:ext cx="912981" cy="367003"/>
        </a:xfrm>
        <a:prstGeom prst="rect">
          <a:avLst/>
        </a:prstGeom>
      </xdr:spPr>
    </xdr:pic>
    <xdr:clientData/>
  </xdr:twoCellAnchor>
  <xdr:twoCellAnchor editAs="oneCell">
    <xdr:from>
      <xdr:col>0</xdr:col>
      <xdr:colOff>81642</xdr:colOff>
      <xdr:row>0</xdr:row>
      <xdr:rowOff>54429</xdr:rowOff>
    </xdr:from>
    <xdr:to>
      <xdr:col>1</xdr:col>
      <xdr:colOff>1219041</xdr:colOff>
      <xdr:row>0</xdr:row>
      <xdr:rowOff>462644</xdr:rowOff>
    </xdr:to>
    <xdr:pic>
      <xdr:nvPicPr>
        <xdr:cNvPr id="4" name="Imagem 3">
          <a:hlinkClick xmlns:r="http://schemas.openxmlformats.org/officeDocument/2006/relationships" r:id="rId2"/>
          <a:extLst>
            <a:ext uri="{FF2B5EF4-FFF2-40B4-BE49-F238E27FC236}">
              <a16:creationId xmlns:a16="http://schemas.microsoft.com/office/drawing/2014/main" id="{69F58946-2B81-465A-80A2-DEA6F0A9E17E}"/>
            </a:ext>
          </a:extLst>
        </xdr:cNvPr>
        <xdr:cNvPicPr>
          <a:picLocks noChangeAspect="1"/>
        </xdr:cNvPicPr>
      </xdr:nvPicPr>
      <xdr:blipFill>
        <a:blip xmlns:r="http://schemas.openxmlformats.org/officeDocument/2006/relationships" r:embed="rId3"/>
        <a:stretch>
          <a:fillRect/>
        </a:stretch>
      </xdr:blipFill>
      <xdr:spPr>
        <a:xfrm>
          <a:off x="81642" y="54429"/>
          <a:ext cx="1232649" cy="4082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ORP_CEA\RESTRITO\EXERC&#205;CIO%20-%202006\DEMONSTRA&#199;&#213;ES%20CONT&#193;BEIS%202006\DFC\4&#186;%20trim\OUTUBRO\1&#186;%20Trim\MAR&#199;O\ANE18%20jan%2006%20CX.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Meus%20documentos\dfl\2000\DFL01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Cc_CO\Restrito\2002\consolidado\12%202002\roxinho\DICORP\SESUB\00\CONSOLID\consolidado\0600\jun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petrobrasdistribuidora-my.sharepoint.com/DICORP/SEINTER/Projeto%20Usgaap/Balan&#231;o%20&amp;%20Resultado/BALAN&#199;O/BAL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Cc_CO\Restrito\2002\consolidado\12%202002\roxinho\DICORP\SESUB\00\CONSOLID\consolidado\0900\roxinho\Desempenh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petrobrasdistribuidora-my.sharepoint.com/DICORP/SEINTER/2000/3trim/consolidado/CONSOL09.0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6000fs01.corp.petrobras.biz\contabil\CORP_CON\RESTRITO\2003\consolidado\06%202003\RDE\RDE%20Consolidad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ELIMINA&#199;&#213;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551019\sesub99\SESUB99\1TRIM\COSISP\CONS\CG00VEND.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c67o\Downloads\planilhas_por_segmento_1t18_xlsx_04_mb.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c67o\Downloads\planilhas_por_segmento_3t18_xlsx_04_m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ICORP\SEINTER\2000\3trim\consolidado\CONSOL09.0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BR_DFCRI_RINV/NP-1/4_Resultados%20Trimestrais/2023/3T/Planilha%20Valuation/Planilhas%20por%20Segmento%203T23.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BR_DFCRI_RINV/NP-1/4_Resultados%20Trimestrais/2023/4T/Planilha%20Valuation/Planilhas%20por%20Segmento%204T23_Vers&#227;o%20site.xlsx" TargetMode="External"/></Relationships>
</file>

<file path=xl/externalLinks/_rels/externalLink22.xml.rels><?xml version="1.0" encoding="UTF-8" standalone="yes"?>
<Relationships xmlns="http://schemas.openxmlformats.org/package/2006/relationships"><Relationship Id="rId2" Type="http://schemas.openxmlformats.org/officeDocument/2006/relationships/externalLinkPath" Target="file:///Y:\BR_DFCRI_RINV\NP-1\4_Resultados%20Trimestrais\2024\1T\Planilha%20Valuation\Planilhas%20por%20Segmento%201T24.xlsx" TargetMode="External"/><Relationship Id="rId1" Type="http://schemas.openxmlformats.org/officeDocument/2006/relationships/externalLinkPath" Target="/BR_DFCRI_RINV/NP-1/4_Resultados%20Trimestrais/2024/1T/Planilha%20Valuation/Planilhas%20por%20Segmento%201T24.xlsx" TargetMode="External"/></Relationships>
</file>

<file path=xl/externalLinks/_rels/externalLink23.xml.rels><?xml version="1.0" encoding="UTF-8" standalone="yes"?>
<Relationships xmlns="http://schemas.openxmlformats.org/package/2006/relationships"><Relationship Id="rId2" Type="http://schemas.openxmlformats.org/officeDocument/2006/relationships/externalLinkPath" Target="file:///Y:\BR_DFCRI_RINV\NP-1\4_Resultados%20Trimestrais\2024\2T\Planilha%20Valuation\Planilhas%20por%20Segmento%202T24.xlsx" TargetMode="External"/><Relationship Id="rId1" Type="http://schemas.openxmlformats.org/officeDocument/2006/relationships/externalLinkPath" Target="Planilhas%20por%20Segmento%202T24.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BR_DFCRI_RINV/NP-1/4_Resultados%20Trimestrais/2023/1T/Planilha%20Valuation/Planilhas%20por%20Segmento%201T23_Vers&#227;o%20para%20Site.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BR_DFCRI_RINV/NP-1/4_Resultados%20Trimestrais/2022/4T/Planilha%20Valuation/Planilhas%20por%20Segmento%204T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eus%20documentos\Q51\QUADRO51\1998\Q51EST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Relat&#243;rio%20da%20Administra&#231;&#227;o\Demonstra&#231;&#245;es%20BR%20-Boneca%20Petrobras%20-%20dez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z228\CONFIG~1\Temp\U.Notes\Movto%20Div%20e%20JCP%202007%20Vers&#227;o%20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6000fs01.corp.petrobras.biz\CONTABIL\CORP_CON\PUBLICO\Marco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RESULTAD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551019\sesub99\SESUB99\1TRIM\COSISP\CONS\CG00FI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DLFSUB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RMOELETRICAS"/>
      <sheetName val="1303110009"/>
      <sheetName val="1303110002"/>
      <sheetName val="1302403001"/>
      <sheetName val="1302402998"/>
      <sheetName val="1302402996"/>
      <sheetName val="1302402997"/>
      <sheetName val="1302402003"/>
      <sheetName val="1302402001"/>
      <sheetName val="DISTRIBUIÇÃO"/>
      <sheetName val="DESPSADM "/>
      <sheetName val="Comb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 MONET"/>
      <sheetName val="VAR.CAMB"/>
      <sheetName val="VAR.CAMB+MONET"/>
      <sheetName val="JUROS"/>
      <sheetName val="TOTAL"/>
      <sheetName val="SAS-CONF"/>
      <sheetName val="ÓRGÃOS"/>
      <sheetName val="TAXAS"/>
      <sheetName val="SAS"/>
      <sheetName val="ROX-MAR-99  (2)"/>
      <sheetName val="ROX-MAR-99 "/>
      <sheetName val="ROXINHO99"/>
      <sheetName val="ROXINHO98"/>
      <sheetName val="PCONTA"/>
      <sheetName val="1998"/>
      <sheetName val="ESQUEMA"/>
      <sheetName val="Demonstração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BALANÇO"/>
      <sheetName val="RESULTADO "/>
      <sheetName val="ELIMINAÇÕES"/>
      <sheetName val="LANÇAMENTOS"/>
      <sheetName val="DFLSUBS"/>
      <sheetName val="CG00FIN"/>
      <sheetName val="CG00VEND"/>
      <sheetName val="LUCRO_ESTQ"/>
      <sheetName val="ELIM_RESULT"/>
      <sheetName val="ELIM_PL"/>
      <sheetName val="INV_SUB"/>
      <sheetName val="ELIM_DIVID"/>
      <sheetName val="INVESTIMENTOS"/>
      <sheetName val="AJUSTEICMS"/>
      <sheetName val="DFLGASPETRO"/>
      <sheetName val="ENCARGALCOOL"/>
      <sheetName val="JUROS CAPITALiZADOS"/>
      <sheetName val="ANÁLISES "/>
      <sheetName val="CONTROLE ANEXOS"/>
      <sheetName val="DEPRECIAÇÃO"/>
      <sheetName val="FINANCIAMENTO"/>
      <sheetName val="AFRETAMENTO-PLATNAVIO"/>
      <sheetName val="variação cambial"/>
      <sheetName val="COMP_CC (por grupo)"/>
      <sheetName val="LCTOS"/>
    </sheetNames>
    <sheetDataSet>
      <sheetData sheetId="0"/>
      <sheetData sheetId="1"/>
      <sheetData sheetId="2" refreshError="1">
        <row r="1">
          <cell r="A1" t="str">
            <v>DEMONSTRAÇÃO DO RESULTADO CONSOLIDADO - LEGISLAÇÃO SOCIETÁRIA</v>
          </cell>
          <cell r="B1">
            <v>0</v>
          </cell>
          <cell r="C1">
            <v>0</v>
          </cell>
          <cell r="D1">
            <v>0</v>
          </cell>
          <cell r="E1">
            <v>0</v>
          </cell>
          <cell r="F1">
            <v>0</v>
          </cell>
          <cell r="G1">
            <v>0</v>
          </cell>
          <cell r="H1">
            <v>0</v>
          </cell>
          <cell r="I1">
            <v>0</v>
          </cell>
          <cell r="J1">
            <v>0</v>
          </cell>
          <cell r="K1">
            <v>0</v>
          </cell>
          <cell r="L1">
            <v>0</v>
          </cell>
          <cell r="M1">
            <v>0</v>
          </cell>
          <cell r="N1">
            <v>0</v>
          </cell>
          <cell r="O1">
            <v>2</v>
          </cell>
        </row>
        <row r="2">
          <cell r="F2">
            <v>36707</v>
          </cell>
          <cell r="G2">
            <v>0</v>
          </cell>
          <cell r="H2">
            <v>0</v>
          </cell>
          <cell r="I2">
            <v>0</v>
          </cell>
          <cell r="J2">
            <v>0</v>
          </cell>
          <cell r="K2">
            <v>-62099.633638000116</v>
          </cell>
        </row>
        <row r="3">
          <cell r="J3" t="str">
            <v>ELIMINAÇÃO</v>
          </cell>
          <cell r="K3">
            <v>0</v>
          </cell>
          <cell r="L3" t="str">
            <v>RECLASSIFICAÇÃO</v>
          </cell>
          <cell r="M3">
            <v>0</v>
          </cell>
          <cell r="N3" t="str">
            <v>CONSOLIDADO</v>
          </cell>
          <cell r="O3">
            <v>0</v>
          </cell>
          <cell r="P3">
            <v>0</v>
          </cell>
          <cell r="Q3">
            <v>36341</v>
          </cell>
        </row>
        <row r="4">
          <cell r="B4" t="str">
            <v>PETROBRAS</v>
          </cell>
          <cell r="C4" t="str">
            <v>PETROQUISA</v>
          </cell>
          <cell r="D4" t="str">
            <v>BR</v>
          </cell>
          <cell r="E4" t="str">
            <v>BRASPETRO</v>
          </cell>
          <cell r="F4" t="str">
            <v>GASPETRO</v>
          </cell>
          <cell r="G4" t="str">
            <v>TRANSPETRO</v>
          </cell>
          <cell r="H4" t="str">
            <v>PIFCO</v>
          </cell>
          <cell r="I4" t="str">
            <v>TOTAL</v>
          </cell>
          <cell r="J4" t="str">
            <v>DÉBITO</v>
          </cell>
          <cell r="K4" t="str">
            <v>CRÉDITO</v>
          </cell>
          <cell r="L4" t="str">
            <v>DÉBITO</v>
          </cell>
          <cell r="M4" t="str">
            <v>CRÉDITO</v>
          </cell>
          <cell r="N4" t="str">
            <v>R$000</v>
          </cell>
          <cell r="O4" t="str">
            <v>US$000</v>
          </cell>
          <cell r="P4">
            <v>0</v>
          </cell>
          <cell r="Q4" t="str">
            <v>R$000</v>
          </cell>
        </row>
        <row r="5">
          <cell r="D5" t="str">
            <v xml:space="preserve"> </v>
          </cell>
        </row>
        <row r="6">
          <cell r="A6" t="str">
            <v>RECEITA OPERACIONAL BRUTA</v>
          </cell>
        </row>
        <row r="7">
          <cell r="A7" t="str">
            <v xml:space="preserve">  VENDAS</v>
          </cell>
        </row>
        <row r="8">
          <cell r="A8" t="str">
            <v xml:space="preserve">      PRODUTOS E MERCADORIAS</v>
          </cell>
          <cell r="B8">
            <v>23805490</v>
          </cell>
          <cell r="C8">
            <v>0</v>
          </cell>
          <cell r="D8">
            <v>6656605</v>
          </cell>
          <cell r="E8">
            <v>5858621</v>
          </cell>
          <cell r="F8">
            <v>0</v>
          </cell>
          <cell r="G8">
            <v>0</v>
          </cell>
          <cell r="H8">
            <v>3573644</v>
          </cell>
          <cell r="I8">
            <v>39894360</v>
          </cell>
          <cell r="J8">
            <v>-12585673</v>
          </cell>
          <cell r="K8">
            <v>0</v>
          </cell>
          <cell r="L8">
            <v>0</v>
          </cell>
          <cell r="M8">
            <v>0</v>
          </cell>
          <cell r="N8">
            <v>27308687</v>
          </cell>
          <cell r="O8">
            <v>15277587</v>
          </cell>
          <cell r="P8">
            <v>0</v>
          </cell>
          <cell r="Q8">
            <v>16523725</v>
          </cell>
        </row>
        <row r="9">
          <cell r="A9" t="str">
            <v xml:space="preserve">      SERVIÇOS</v>
          </cell>
          <cell r="B9">
            <v>43019</v>
          </cell>
          <cell r="C9">
            <v>0</v>
          </cell>
          <cell r="D9">
            <v>12939</v>
          </cell>
          <cell r="E9">
            <v>552399</v>
          </cell>
          <cell r="F9">
            <v>85459</v>
          </cell>
          <cell r="G9">
            <v>239662</v>
          </cell>
          <cell r="H9">
            <v>0</v>
          </cell>
          <cell r="I9">
            <v>933478</v>
          </cell>
          <cell r="J9">
            <v>-898820.62472199998</v>
          </cell>
          <cell r="K9">
            <v>0</v>
          </cell>
          <cell r="L9">
            <v>0</v>
          </cell>
          <cell r="M9">
            <v>0</v>
          </cell>
          <cell r="N9">
            <v>34657</v>
          </cell>
          <cell r="O9">
            <v>19389</v>
          </cell>
          <cell r="P9">
            <v>0</v>
          </cell>
          <cell r="Q9">
            <v>58354</v>
          </cell>
        </row>
        <row r="10">
          <cell r="B10">
            <v>23848509</v>
          </cell>
          <cell r="C10">
            <v>0</v>
          </cell>
          <cell r="D10">
            <v>6669544</v>
          </cell>
          <cell r="E10">
            <v>6411020</v>
          </cell>
          <cell r="F10">
            <v>85459</v>
          </cell>
          <cell r="G10">
            <v>239662</v>
          </cell>
          <cell r="H10">
            <v>3573644</v>
          </cell>
          <cell r="I10">
            <v>40827838</v>
          </cell>
          <cell r="J10">
            <v>-13484493.624722</v>
          </cell>
          <cell r="K10">
            <v>0</v>
          </cell>
          <cell r="L10">
            <v>0</v>
          </cell>
          <cell r="M10">
            <v>0</v>
          </cell>
          <cell r="N10">
            <v>27343344</v>
          </cell>
          <cell r="O10">
            <v>15296976</v>
          </cell>
          <cell r="P10">
            <v>0</v>
          </cell>
          <cell r="Q10">
            <v>16582079</v>
          </cell>
        </row>
        <row r="11">
          <cell r="A11" t="str">
            <v xml:space="preserve">  ENCARGOS DE VENDAS</v>
          </cell>
          <cell r="B11">
            <v>-4093389</v>
          </cell>
          <cell r="C11">
            <v>0</v>
          </cell>
          <cell r="D11">
            <v>-1504628</v>
          </cell>
          <cell r="E11">
            <v>-270670</v>
          </cell>
          <cell r="F11">
            <v>-9918</v>
          </cell>
          <cell r="G11">
            <v>-8388</v>
          </cell>
          <cell r="H11">
            <v>0</v>
          </cell>
          <cell r="I11">
            <v>-5886993</v>
          </cell>
          <cell r="J11">
            <v>0</v>
          </cell>
          <cell r="K11">
            <v>781648</v>
          </cell>
          <cell r="L11">
            <v>0</v>
          </cell>
          <cell r="M11">
            <v>0</v>
          </cell>
          <cell r="N11">
            <v>-5105345</v>
          </cell>
          <cell r="O11">
            <v>-2856137</v>
          </cell>
          <cell r="P11">
            <v>0</v>
          </cell>
          <cell r="Q11">
            <v>-5679308</v>
          </cell>
        </row>
        <row r="13">
          <cell r="A13" t="str">
            <v>RECEITA OPERACIONAL LÍQUIDA</v>
          </cell>
          <cell r="B13">
            <v>19755120</v>
          </cell>
          <cell r="C13">
            <v>0</v>
          </cell>
          <cell r="D13">
            <v>5164916</v>
          </cell>
          <cell r="E13">
            <v>6140350</v>
          </cell>
          <cell r="F13">
            <v>75541</v>
          </cell>
          <cell r="G13">
            <v>231274</v>
          </cell>
          <cell r="H13">
            <v>3573644</v>
          </cell>
          <cell r="I13">
            <v>34940845</v>
          </cell>
          <cell r="J13">
            <v>-13484493.624722</v>
          </cell>
          <cell r="K13">
            <v>781648</v>
          </cell>
          <cell r="L13">
            <v>0</v>
          </cell>
          <cell r="M13">
            <v>0</v>
          </cell>
          <cell r="N13">
            <v>22237999</v>
          </cell>
          <cell r="O13">
            <v>12440839</v>
          </cell>
          <cell r="P13">
            <v>0</v>
          </cell>
          <cell r="Q13">
            <v>10902771</v>
          </cell>
        </row>
        <row r="15">
          <cell r="A15" t="str">
            <v>CUSTO DOS PRODUTOS E SERVIÇOS VENDIDOS</v>
          </cell>
          <cell r="B15">
            <v>-11367933</v>
          </cell>
          <cell r="C15">
            <v>0</v>
          </cell>
          <cell r="D15">
            <v>-4698200</v>
          </cell>
          <cell r="E15">
            <v>-5704605</v>
          </cell>
          <cell r="F15">
            <v>-117414</v>
          </cell>
          <cell r="G15">
            <v>-125755</v>
          </cell>
          <cell r="H15">
            <v>-3561300</v>
          </cell>
          <cell r="I15">
            <v>-25575207</v>
          </cell>
          <cell r="J15">
            <v>-819756.42252999998</v>
          </cell>
          <cell r="K15">
            <v>13422393.991084</v>
          </cell>
          <cell r="L15">
            <v>0</v>
          </cell>
          <cell r="M15">
            <v>0</v>
          </cell>
          <cell r="N15">
            <v>-12972569</v>
          </cell>
          <cell r="O15">
            <v>-7257381</v>
          </cell>
          <cell r="P15">
            <v>0</v>
          </cell>
          <cell r="Q15">
            <v>-7198430</v>
          </cell>
        </row>
        <row r="17">
          <cell r="A17" t="str">
            <v>LUCRO BRUTO</v>
          </cell>
          <cell r="B17">
            <v>8387187</v>
          </cell>
          <cell r="C17">
            <v>0</v>
          </cell>
          <cell r="D17">
            <v>466716</v>
          </cell>
          <cell r="E17">
            <v>435745</v>
          </cell>
          <cell r="F17">
            <v>-41873</v>
          </cell>
          <cell r="G17">
            <v>105519</v>
          </cell>
          <cell r="H17">
            <v>12344</v>
          </cell>
          <cell r="I17">
            <v>9365638</v>
          </cell>
          <cell r="J17">
            <v>-14304250.047251999</v>
          </cell>
          <cell r="K17">
            <v>14204041.991084</v>
          </cell>
          <cell r="L17">
            <v>0</v>
          </cell>
          <cell r="M17">
            <v>0</v>
          </cell>
          <cell r="N17">
            <v>9265430</v>
          </cell>
          <cell r="O17">
            <v>5183458</v>
          </cell>
          <cell r="P17">
            <v>0</v>
          </cell>
          <cell r="Q17">
            <v>3704341</v>
          </cell>
        </row>
        <row r="19">
          <cell r="A19" t="str">
            <v>DESPESAS OPERACIONAIS</v>
          </cell>
        </row>
        <row r="20">
          <cell r="A20" t="str">
            <v xml:space="preserve">  VENDAS</v>
          </cell>
          <cell r="B20">
            <v>-357701</v>
          </cell>
          <cell r="C20">
            <v>0</v>
          </cell>
          <cell r="D20">
            <v>-253599</v>
          </cell>
          <cell r="E20">
            <v>-4247</v>
          </cell>
          <cell r="F20">
            <v>0</v>
          </cell>
          <cell r="G20">
            <v>-1737</v>
          </cell>
          <cell r="H20">
            <v>0</v>
          </cell>
          <cell r="I20">
            <v>-617284</v>
          </cell>
          <cell r="J20">
            <v>-75895</v>
          </cell>
          <cell r="K20">
            <v>0</v>
          </cell>
          <cell r="L20">
            <v>0</v>
          </cell>
          <cell r="M20">
            <v>0</v>
          </cell>
          <cell r="N20">
            <v>-693179</v>
          </cell>
          <cell r="O20">
            <v>-387792</v>
          </cell>
          <cell r="P20">
            <v>0</v>
          </cell>
          <cell r="Q20">
            <v>-563579</v>
          </cell>
        </row>
        <row r="21">
          <cell r="A21" t="str">
            <v xml:space="preserve">    DESPESAS FINANCEIRAS</v>
          </cell>
          <cell r="B21">
            <v>-868944</v>
          </cell>
          <cell r="C21">
            <v>-4541</v>
          </cell>
          <cell r="D21">
            <v>-51713</v>
          </cell>
          <cell r="E21">
            <v>-310794</v>
          </cell>
          <cell r="F21">
            <v>-99126</v>
          </cell>
          <cell r="G21">
            <v>-329</v>
          </cell>
          <cell r="H21">
            <v>-94085</v>
          </cell>
          <cell r="I21">
            <v>-1429532</v>
          </cell>
          <cell r="J21">
            <v>-26519</v>
          </cell>
          <cell r="K21">
            <v>579695.412518</v>
          </cell>
          <cell r="L21">
            <v>0</v>
          </cell>
          <cell r="M21">
            <v>0</v>
          </cell>
          <cell r="N21">
            <v>-876356</v>
          </cell>
          <cell r="O21">
            <v>-490269</v>
          </cell>
          <cell r="P21">
            <v>0</v>
          </cell>
          <cell r="Q21">
            <v>-609407</v>
          </cell>
        </row>
        <row r="22">
          <cell r="A22" t="str">
            <v xml:space="preserve">    VAR. MON. E CAMBIAIS PASSIVAS</v>
          </cell>
          <cell r="B22">
            <v>-285385</v>
          </cell>
          <cell r="C22">
            <v>-16</v>
          </cell>
          <cell r="D22">
            <v>-1436</v>
          </cell>
          <cell r="E22">
            <v>-5614</v>
          </cell>
          <cell r="F22">
            <v>-21230</v>
          </cell>
          <cell r="G22">
            <v>-228</v>
          </cell>
          <cell r="H22">
            <v>0</v>
          </cell>
          <cell r="I22">
            <v>-313909</v>
          </cell>
          <cell r="J22">
            <v>0</v>
          </cell>
          <cell r="K22">
            <v>134284</v>
          </cell>
          <cell r="L22">
            <v>0</v>
          </cell>
          <cell r="M22">
            <v>0</v>
          </cell>
          <cell r="N22">
            <v>-179625</v>
          </cell>
          <cell r="O22">
            <v>-100490</v>
          </cell>
          <cell r="P22">
            <v>0</v>
          </cell>
          <cell r="Q22">
            <v>-4037065</v>
          </cell>
        </row>
        <row r="23">
          <cell r="A23" t="str">
            <v xml:space="preserve">    RECEITAS FINANCEIRAS</v>
          </cell>
          <cell r="B23">
            <v>692564</v>
          </cell>
          <cell r="C23">
            <v>39635</v>
          </cell>
          <cell r="D23">
            <v>34667</v>
          </cell>
          <cell r="E23">
            <v>119332</v>
          </cell>
          <cell r="F23">
            <v>9056</v>
          </cell>
          <cell r="G23">
            <v>8140</v>
          </cell>
          <cell r="H23">
            <v>89506</v>
          </cell>
          <cell r="I23">
            <v>992900</v>
          </cell>
          <cell r="J23">
            <v>-403883</v>
          </cell>
          <cell r="K23">
            <v>0</v>
          </cell>
          <cell r="L23">
            <v>0</v>
          </cell>
          <cell r="M23">
            <v>0</v>
          </cell>
          <cell r="N23">
            <v>589017</v>
          </cell>
          <cell r="O23">
            <v>329520</v>
          </cell>
          <cell r="P23">
            <v>0</v>
          </cell>
          <cell r="Q23">
            <v>226031</v>
          </cell>
        </row>
        <row r="24">
          <cell r="A24" t="str">
            <v xml:space="preserve">    VAR. MON. E CAMBIAIS  ATIVAS</v>
          </cell>
          <cell r="B24">
            <v>180790</v>
          </cell>
          <cell r="C24">
            <v>0</v>
          </cell>
          <cell r="D24">
            <v>1294</v>
          </cell>
          <cell r="E24">
            <v>13002</v>
          </cell>
          <cell r="F24">
            <v>12292</v>
          </cell>
          <cell r="G24">
            <v>0</v>
          </cell>
          <cell r="H24">
            <v>0</v>
          </cell>
          <cell r="I24">
            <v>207378</v>
          </cell>
          <cell r="J24">
            <v>-147962</v>
          </cell>
          <cell r="K24">
            <v>0</v>
          </cell>
          <cell r="L24">
            <v>0</v>
          </cell>
          <cell r="M24">
            <v>0</v>
          </cell>
          <cell r="N24">
            <v>59416</v>
          </cell>
          <cell r="O24">
            <v>33239</v>
          </cell>
          <cell r="P24">
            <v>0</v>
          </cell>
          <cell r="Q24">
            <v>728856</v>
          </cell>
        </row>
        <row r="25">
          <cell r="A25" t="str">
            <v xml:space="preserve">    RESULTADO FINANCEIRO</v>
          </cell>
          <cell r="B25">
            <v>-280975</v>
          </cell>
          <cell r="C25">
            <v>35078</v>
          </cell>
          <cell r="D25">
            <v>-17188</v>
          </cell>
          <cell r="E25">
            <v>-184074</v>
          </cell>
          <cell r="F25">
            <v>-99008</v>
          </cell>
          <cell r="G25">
            <v>7583</v>
          </cell>
          <cell r="H25">
            <v>-4579</v>
          </cell>
          <cell r="I25">
            <v>-543163</v>
          </cell>
          <cell r="J25">
            <v>-578364</v>
          </cell>
          <cell r="K25">
            <v>713979.412518</v>
          </cell>
          <cell r="L25">
            <v>0</v>
          </cell>
          <cell r="M25">
            <v>0</v>
          </cell>
          <cell r="N25">
            <v>-407548</v>
          </cell>
          <cell r="O25">
            <v>-227999</v>
          </cell>
          <cell r="P25">
            <v>0</v>
          </cell>
          <cell r="Q25">
            <v>409989</v>
          </cell>
        </row>
        <row r="26">
          <cell r="A26" t="str">
            <v xml:space="preserve">    RENDIMENTOS    DE NTN'S</v>
          </cell>
          <cell r="B26">
            <v>0</v>
          </cell>
          <cell r="C26">
            <v>227417</v>
          </cell>
          <cell r="D26">
            <v>0</v>
          </cell>
          <cell r="E26">
            <v>0</v>
          </cell>
          <cell r="F26">
            <v>48866</v>
          </cell>
          <cell r="G26">
            <v>0</v>
          </cell>
          <cell r="H26">
            <v>0</v>
          </cell>
          <cell r="I26">
            <v>276283</v>
          </cell>
          <cell r="J26">
            <v>0</v>
          </cell>
          <cell r="K26">
            <v>0</v>
          </cell>
          <cell r="L26">
            <v>0</v>
          </cell>
          <cell r="M26">
            <v>0</v>
          </cell>
          <cell r="N26">
            <v>276283</v>
          </cell>
          <cell r="O26">
            <v>154564</v>
          </cell>
          <cell r="P26">
            <v>0</v>
          </cell>
          <cell r="Q26">
            <v>-3691585</v>
          </cell>
        </row>
        <row r="27">
          <cell r="A27" t="str">
            <v xml:space="preserve">  HONORÁRIOS DIRETORIA E CONS. ADMINISTRAÇÃO</v>
          </cell>
          <cell r="B27">
            <v>-661</v>
          </cell>
          <cell r="C27">
            <v>-244</v>
          </cell>
          <cell r="D27">
            <v>-538</v>
          </cell>
          <cell r="E27">
            <v>-294</v>
          </cell>
          <cell r="F27">
            <v>-287</v>
          </cell>
          <cell r="G27">
            <v>-364</v>
          </cell>
          <cell r="H27">
            <v>0</v>
          </cell>
          <cell r="I27">
            <v>-2388</v>
          </cell>
          <cell r="J27">
            <v>0</v>
          </cell>
          <cell r="K27">
            <v>0</v>
          </cell>
          <cell r="L27">
            <v>0</v>
          </cell>
          <cell r="M27">
            <v>0</v>
          </cell>
          <cell r="N27">
            <v>-2388</v>
          </cell>
          <cell r="O27">
            <v>-1336</v>
          </cell>
          <cell r="P27">
            <v>0</v>
          </cell>
          <cell r="Q27">
            <v>-1201</v>
          </cell>
        </row>
        <row r="28">
          <cell r="A28" t="str">
            <v xml:space="preserve">  ADMINISTRATIVAS</v>
          </cell>
          <cell r="B28">
            <v>-384878</v>
          </cell>
          <cell r="C28">
            <v>-6068</v>
          </cell>
          <cell r="D28">
            <v>-60313</v>
          </cell>
          <cell r="E28">
            <v>-54735</v>
          </cell>
          <cell r="F28">
            <v>-23357</v>
          </cell>
          <cell r="G28">
            <v>-24759</v>
          </cell>
          <cell r="H28">
            <v>0</v>
          </cell>
          <cell r="I28">
            <v>-554110</v>
          </cell>
          <cell r="J28">
            <v>0</v>
          </cell>
          <cell r="K28">
            <v>0</v>
          </cell>
          <cell r="L28">
            <v>0</v>
          </cell>
          <cell r="M28">
            <v>0</v>
          </cell>
          <cell r="N28">
            <v>-554110</v>
          </cell>
          <cell r="O28">
            <v>-309992</v>
          </cell>
          <cell r="P28">
            <v>0</v>
          </cell>
          <cell r="Q28">
            <v>-410114</v>
          </cell>
        </row>
        <row r="29">
          <cell r="A29" t="str">
            <v xml:space="preserve">  TRIBUTÁRIAS</v>
          </cell>
          <cell r="B29">
            <v>-171171</v>
          </cell>
          <cell r="C29">
            <v>-13777</v>
          </cell>
          <cell r="D29">
            <v>-31679</v>
          </cell>
          <cell r="E29">
            <v>-424</v>
          </cell>
          <cell r="F29">
            <v>-3711</v>
          </cell>
          <cell r="G29">
            <v>-1623</v>
          </cell>
          <cell r="H29">
            <v>0</v>
          </cell>
          <cell r="I29">
            <v>-222385</v>
          </cell>
          <cell r="J29">
            <v>0</v>
          </cell>
          <cell r="K29">
            <v>0</v>
          </cell>
          <cell r="L29">
            <v>0</v>
          </cell>
          <cell r="M29">
            <v>0</v>
          </cell>
          <cell r="N29">
            <v>-222385</v>
          </cell>
          <cell r="O29">
            <v>-124411</v>
          </cell>
          <cell r="P29">
            <v>0</v>
          </cell>
          <cell r="Q29">
            <v>-92942</v>
          </cell>
        </row>
        <row r="30">
          <cell r="A30" t="str">
            <v xml:space="preserve">  PROVISÃO P/ PERDAS C/ INVESTIMENTOS EM </v>
          </cell>
        </row>
        <row r="31">
          <cell r="A31" t="str">
            <v xml:space="preserve">        EXPLORAÇÃO E PRODUÇÃO NO EXTERIOR</v>
          </cell>
          <cell r="B31">
            <v>0</v>
          </cell>
          <cell r="C31">
            <v>0</v>
          </cell>
          <cell r="D31">
            <v>0</v>
          </cell>
          <cell r="E31">
            <v>-372</v>
          </cell>
          <cell r="F31">
            <v>0</v>
          </cell>
          <cell r="G31">
            <v>0</v>
          </cell>
          <cell r="H31">
            <v>0</v>
          </cell>
          <cell r="I31">
            <v>-372</v>
          </cell>
          <cell r="J31">
            <v>0</v>
          </cell>
          <cell r="K31">
            <v>0</v>
          </cell>
          <cell r="L31">
            <v>0</v>
          </cell>
          <cell r="M31">
            <v>0</v>
          </cell>
          <cell r="N31">
            <v>-372</v>
          </cell>
          <cell r="O31">
            <v>-208</v>
          </cell>
          <cell r="P31">
            <v>0</v>
          </cell>
          <cell r="Q31">
            <v>-2321</v>
          </cell>
        </row>
        <row r="32">
          <cell r="A32" t="str">
            <v xml:space="preserve">  CUSTO C/ INVEST.EXPLORATÓRIOS NO EXTERIOR</v>
          </cell>
          <cell r="B32">
            <v>0</v>
          </cell>
          <cell r="C32">
            <v>0</v>
          </cell>
          <cell r="D32">
            <v>0</v>
          </cell>
          <cell r="E32">
            <v>-23117</v>
          </cell>
          <cell r="F32">
            <v>0</v>
          </cell>
          <cell r="G32">
            <v>0</v>
          </cell>
          <cell r="H32">
            <v>0</v>
          </cell>
          <cell r="I32">
            <v>-23117</v>
          </cell>
          <cell r="J32">
            <v>0</v>
          </cell>
          <cell r="K32">
            <v>0</v>
          </cell>
          <cell r="L32">
            <v>0</v>
          </cell>
          <cell r="M32">
            <v>0</v>
          </cell>
          <cell r="N32">
            <v>-23117</v>
          </cell>
          <cell r="O32">
            <v>-12933</v>
          </cell>
          <cell r="P32">
            <v>0</v>
          </cell>
          <cell r="Q32">
            <v>-16181</v>
          </cell>
        </row>
        <row r="33">
          <cell r="A33" t="str">
            <v xml:space="preserve">  RECUPERAÇÃO INV. EXP. E PRODUÇÃO</v>
          </cell>
          <cell r="B33">
            <v>0</v>
          </cell>
          <cell r="C33">
            <v>0</v>
          </cell>
          <cell r="D33">
            <v>0</v>
          </cell>
          <cell r="E33">
            <v>384</v>
          </cell>
          <cell r="F33">
            <v>0</v>
          </cell>
          <cell r="G33">
            <v>0</v>
          </cell>
          <cell r="H33">
            <v>0</v>
          </cell>
          <cell r="I33">
            <v>384</v>
          </cell>
          <cell r="J33">
            <v>0</v>
          </cell>
          <cell r="K33">
            <v>0</v>
          </cell>
          <cell r="L33">
            <v>0</v>
          </cell>
          <cell r="M33">
            <v>0</v>
          </cell>
          <cell r="N33">
            <v>384</v>
          </cell>
          <cell r="O33">
            <v>215</v>
          </cell>
        </row>
        <row r="34">
          <cell r="A34" t="str">
            <v xml:space="preserve">  BAIXA DE INVEST. EXPLORATÓRIOS NO EXTERIOR</v>
          </cell>
          <cell r="B34">
            <v>0</v>
          </cell>
          <cell r="C34">
            <v>0</v>
          </cell>
          <cell r="D34">
            <v>0</v>
          </cell>
          <cell r="E34">
            <v>-8620</v>
          </cell>
          <cell r="F34">
            <v>0</v>
          </cell>
          <cell r="G34">
            <v>0</v>
          </cell>
          <cell r="H34">
            <v>0</v>
          </cell>
          <cell r="I34">
            <v>-8620</v>
          </cell>
          <cell r="J34">
            <v>0</v>
          </cell>
          <cell r="K34">
            <v>0</v>
          </cell>
          <cell r="L34">
            <v>0</v>
          </cell>
          <cell r="M34">
            <v>0</v>
          </cell>
          <cell r="N34">
            <v>-8620</v>
          </cell>
          <cell r="O34">
            <v>-4822</v>
          </cell>
        </row>
        <row r="35">
          <cell r="A35" t="str">
            <v xml:space="preserve">  CUSTOS C/ PROSP. E PERF. P/ EXP. PETRÓLEO - CUSTOS</v>
          </cell>
        </row>
        <row r="36">
          <cell r="A36" t="str">
            <v xml:space="preserve">        INCORRIDOS</v>
          </cell>
          <cell r="B36">
            <v>-412856</v>
          </cell>
          <cell r="C36">
            <v>0</v>
          </cell>
          <cell r="D36">
            <v>0</v>
          </cell>
          <cell r="E36">
            <v>0</v>
          </cell>
          <cell r="F36">
            <v>0</v>
          </cell>
          <cell r="G36">
            <v>0</v>
          </cell>
          <cell r="H36">
            <v>0</v>
          </cell>
          <cell r="I36">
            <v>-412856</v>
          </cell>
          <cell r="J36">
            <v>0</v>
          </cell>
          <cell r="K36">
            <v>0</v>
          </cell>
          <cell r="L36">
            <v>0</v>
          </cell>
          <cell r="M36">
            <v>0</v>
          </cell>
          <cell r="N36">
            <v>-412856</v>
          </cell>
          <cell r="O36">
            <v>-230968</v>
          </cell>
          <cell r="P36">
            <v>0</v>
          </cell>
          <cell r="Q36">
            <v>-569091</v>
          </cell>
        </row>
        <row r="37">
          <cell r="A37" t="str">
            <v xml:space="preserve">  CUSTOS C/PESQUISA E DESENV. TECNOLÓGICO</v>
          </cell>
          <cell r="B37">
            <v>-122450</v>
          </cell>
          <cell r="C37">
            <v>0</v>
          </cell>
          <cell r="D37">
            <v>-1231</v>
          </cell>
          <cell r="E37">
            <v>0</v>
          </cell>
          <cell r="F37">
            <v>0</v>
          </cell>
          <cell r="G37">
            <v>0</v>
          </cell>
          <cell r="H37">
            <v>0</v>
          </cell>
          <cell r="I37">
            <v>-123681</v>
          </cell>
          <cell r="J37">
            <v>0</v>
          </cell>
          <cell r="K37">
            <v>0</v>
          </cell>
          <cell r="L37">
            <v>0</v>
          </cell>
          <cell r="M37">
            <v>0</v>
          </cell>
          <cell r="N37">
            <v>-123681</v>
          </cell>
          <cell r="O37">
            <v>-69192</v>
          </cell>
          <cell r="P37">
            <v>0</v>
          </cell>
          <cell r="Q37">
            <v>-113650</v>
          </cell>
        </row>
        <row r="38">
          <cell r="A38" t="str">
            <v xml:space="preserve">  GANHOS CAMBIAIS NA CONVERSÃO DE CONTROLADAS</v>
          </cell>
          <cell r="B38">
            <v>0</v>
          </cell>
          <cell r="C38">
            <v>0</v>
          </cell>
          <cell r="D38">
            <v>0</v>
          </cell>
          <cell r="E38">
            <v>0</v>
          </cell>
          <cell r="F38">
            <v>0</v>
          </cell>
          <cell r="G38">
            <v>0</v>
          </cell>
          <cell r="H38">
            <v>0</v>
          </cell>
          <cell r="I38">
            <v>0</v>
          </cell>
          <cell r="J38">
            <v>0</v>
          </cell>
          <cell r="K38">
            <v>11802</v>
          </cell>
          <cell r="L38">
            <v>0</v>
          </cell>
          <cell r="M38">
            <v>0</v>
          </cell>
          <cell r="N38">
            <v>11802</v>
          </cell>
          <cell r="O38">
            <v>6603</v>
          </cell>
          <cell r="P38">
            <v>0</v>
          </cell>
          <cell r="Q38">
            <v>-182271</v>
          </cell>
        </row>
        <row r="39">
          <cell r="A39" t="str">
            <v xml:space="preserve">  OUTRAS RECEITAS (DESPESAS) OPERACIONAIS</v>
          </cell>
          <cell r="B39">
            <v>-287419</v>
          </cell>
          <cell r="C39">
            <v>-2544</v>
          </cell>
          <cell r="D39">
            <v>7973</v>
          </cell>
          <cell r="E39">
            <v>24177</v>
          </cell>
          <cell r="F39">
            <v>-495</v>
          </cell>
          <cell r="G39">
            <v>2420</v>
          </cell>
          <cell r="H39">
            <v>0</v>
          </cell>
          <cell r="I39">
            <v>-255888</v>
          </cell>
          <cell r="J39">
            <v>-11198</v>
          </cell>
          <cell r="K39">
            <v>2252</v>
          </cell>
          <cell r="L39">
            <v>0</v>
          </cell>
          <cell r="M39">
            <v>0</v>
          </cell>
          <cell r="N39">
            <v>-264834</v>
          </cell>
          <cell r="O39">
            <v>-148159</v>
          </cell>
          <cell r="P39">
            <v>0</v>
          </cell>
          <cell r="Q39">
            <v>-596362</v>
          </cell>
        </row>
        <row r="40">
          <cell r="B40">
            <v>-2018111</v>
          </cell>
          <cell r="C40">
            <v>239862</v>
          </cell>
          <cell r="D40">
            <v>-356575</v>
          </cell>
          <cell r="E40">
            <v>-251322</v>
          </cell>
          <cell r="F40">
            <v>-77992</v>
          </cell>
          <cell r="G40">
            <v>-18480</v>
          </cell>
          <cell r="H40">
            <v>-4579</v>
          </cell>
          <cell r="I40">
            <v>-2487197</v>
          </cell>
          <cell r="J40">
            <v>-665457</v>
          </cell>
          <cell r="K40">
            <v>728033.412518</v>
          </cell>
          <cell r="L40">
            <v>0</v>
          </cell>
          <cell r="M40">
            <v>0</v>
          </cell>
          <cell r="N40">
            <v>-2424621</v>
          </cell>
          <cell r="O40">
            <v>-1356430</v>
          </cell>
          <cell r="P40">
            <v>0</v>
          </cell>
          <cell r="Q40">
            <v>-5829308</v>
          </cell>
        </row>
        <row r="42">
          <cell r="A42" t="str">
            <v>SUBTOTAL</v>
          </cell>
          <cell r="B42">
            <v>6369076</v>
          </cell>
          <cell r="C42">
            <v>239862</v>
          </cell>
          <cell r="D42">
            <v>110141</v>
          </cell>
          <cell r="E42">
            <v>184423</v>
          </cell>
          <cell r="F42">
            <v>-119865</v>
          </cell>
          <cell r="G42">
            <v>87039</v>
          </cell>
          <cell r="H42">
            <v>7765</v>
          </cell>
          <cell r="I42">
            <v>6878441</v>
          </cell>
          <cell r="J42">
            <v>-14969707.047251999</v>
          </cell>
          <cell r="K42">
            <v>14932075.403602</v>
          </cell>
          <cell r="L42">
            <v>0</v>
          </cell>
          <cell r="M42">
            <v>0</v>
          </cell>
          <cell r="N42">
            <v>6840809</v>
          </cell>
          <cell r="O42">
            <v>3827028</v>
          </cell>
          <cell r="P42">
            <v>0</v>
          </cell>
          <cell r="Q42">
            <v>-2124967</v>
          </cell>
        </row>
        <row r="44">
          <cell r="A44" t="str">
            <v>RESULTADO DE INVESTIMENTOS RELEVANTES</v>
          </cell>
        </row>
        <row r="45">
          <cell r="A45" t="str">
            <v xml:space="preserve">  REALIZAÇÃO DE RESERVA DE REAVALIAÇÃO</v>
          </cell>
          <cell r="B45">
            <v>0</v>
          </cell>
          <cell r="C45">
            <v>0</v>
          </cell>
          <cell r="D45">
            <v>0</v>
          </cell>
          <cell r="E45">
            <v>0</v>
          </cell>
          <cell r="F45">
            <v>0</v>
          </cell>
          <cell r="G45">
            <v>0</v>
          </cell>
          <cell r="H45">
            <v>0</v>
          </cell>
          <cell r="I45">
            <v>0</v>
          </cell>
          <cell r="J45">
            <v>0</v>
          </cell>
          <cell r="K45">
            <v>0</v>
          </cell>
          <cell r="L45">
            <v>0</v>
          </cell>
          <cell r="M45">
            <v>0</v>
          </cell>
          <cell r="N45">
            <v>0</v>
          </cell>
          <cell r="O45">
            <v>0</v>
          </cell>
        </row>
        <row r="46">
          <cell r="A46" t="str">
            <v xml:space="preserve">  GANHOS (PERDAS) CAMBIAIS PL. CONTROLADAS</v>
          </cell>
          <cell r="B46">
            <v>0</v>
          </cell>
          <cell r="C46">
            <v>0</v>
          </cell>
          <cell r="D46">
            <v>0</v>
          </cell>
          <cell r="E46">
            <v>8024</v>
          </cell>
          <cell r="F46">
            <v>0</v>
          </cell>
          <cell r="G46">
            <v>0</v>
          </cell>
          <cell r="H46">
            <v>0</v>
          </cell>
          <cell r="I46">
            <v>8024</v>
          </cell>
          <cell r="J46">
            <v>0</v>
          </cell>
          <cell r="K46">
            <v>0</v>
          </cell>
          <cell r="L46">
            <v>0</v>
          </cell>
          <cell r="M46">
            <v>0</v>
          </cell>
          <cell r="N46">
            <v>8024</v>
          </cell>
          <cell r="O46">
            <v>4489</v>
          </cell>
        </row>
        <row r="47">
          <cell r="A47" t="str">
            <v xml:space="preserve">  PARTICIPAÇÃO PAT.LÍQ. CONTROLADAS</v>
          </cell>
          <cell r="B47">
            <v>392895</v>
          </cell>
          <cell r="C47">
            <v>120329</v>
          </cell>
          <cell r="D47">
            <v>0</v>
          </cell>
          <cell r="E47">
            <v>0</v>
          </cell>
          <cell r="F47">
            <v>0</v>
          </cell>
          <cell r="G47">
            <v>0</v>
          </cell>
          <cell r="H47">
            <v>0</v>
          </cell>
          <cell r="I47">
            <v>513224</v>
          </cell>
          <cell r="J47">
            <v>-398039</v>
          </cell>
          <cell r="K47">
            <v>0</v>
          </cell>
          <cell r="L47">
            <v>0</v>
          </cell>
          <cell r="M47">
            <v>0</v>
          </cell>
          <cell r="N47">
            <v>115185</v>
          </cell>
          <cell r="O47">
            <v>64439</v>
          </cell>
          <cell r="P47">
            <v>0</v>
          </cell>
          <cell r="Q47">
            <v>341499</v>
          </cell>
        </row>
        <row r="48">
          <cell r="B48">
            <v>392895</v>
          </cell>
          <cell r="C48">
            <v>120329</v>
          </cell>
          <cell r="D48">
            <v>0</v>
          </cell>
          <cell r="E48">
            <v>8024</v>
          </cell>
          <cell r="F48">
            <v>0</v>
          </cell>
          <cell r="G48">
            <v>0</v>
          </cell>
          <cell r="H48">
            <v>0</v>
          </cell>
          <cell r="I48">
            <v>521248</v>
          </cell>
          <cell r="J48">
            <v>-398039</v>
          </cell>
          <cell r="K48">
            <v>0</v>
          </cell>
          <cell r="L48">
            <v>0</v>
          </cell>
          <cell r="M48">
            <v>0</v>
          </cell>
          <cell r="N48">
            <v>123209</v>
          </cell>
          <cell r="O48">
            <v>68928</v>
          </cell>
          <cell r="P48">
            <v>0</v>
          </cell>
          <cell r="Q48">
            <v>341499</v>
          </cell>
        </row>
        <row r="50">
          <cell r="A50" t="str">
            <v>RESULTADO ANTES DOS EFEITOS INFLACIONÁRIOS</v>
          </cell>
          <cell r="B50">
            <v>6761971</v>
          </cell>
          <cell r="C50">
            <v>360191</v>
          </cell>
          <cell r="D50">
            <v>110141</v>
          </cell>
          <cell r="E50">
            <v>192447</v>
          </cell>
          <cell r="F50">
            <v>-119865</v>
          </cell>
          <cell r="G50">
            <v>87039</v>
          </cell>
          <cell r="H50">
            <v>7765</v>
          </cell>
          <cell r="I50">
            <v>7399689</v>
          </cell>
          <cell r="J50">
            <v>-15367746.047251999</v>
          </cell>
          <cell r="K50">
            <v>14932075.403602</v>
          </cell>
          <cell r="L50">
            <v>0</v>
          </cell>
          <cell r="M50">
            <v>0</v>
          </cell>
          <cell r="N50">
            <v>6964018</v>
          </cell>
          <cell r="O50">
            <v>3895956</v>
          </cell>
          <cell r="P50">
            <v>0</v>
          </cell>
          <cell r="Q50">
            <v>-1783468</v>
          </cell>
        </row>
        <row r="53">
          <cell r="A53" t="str">
            <v>LUCRO OPERACIONAL ANTES DOS JUROS S/ CAP. PRÓPRIO</v>
          </cell>
          <cell r="B53">
            <v>6761971</v>
          </cell>
          <cell r="C53">
            <v>360191</v>
          </cell>
          <cell r="D53">
            <v>110141</v>
          </cell>
          <cell r="E53">
            <v>192447</v>
          </cell>
          <cell r="F53">
            <v>-119865</v>
          </cell>
          <cell r="G53">
            <v>87039</v>
          </cell>
          <cell r="H53">
            <v>7765</v>
          </cell>
          <cell r="I53">
            <v>7399689</v>
          </cell>
          <cell r="J53">
            <v>-15367746.047251999</v>
          </cell>
          <cell r="K53">
            <v>14932075.403602</v>
          </cell>
          <cell r="L53">
            <v>0</v>
          </cell>
          <cell r="M53">
            <v>0</v>
          </cell>
          <cell r="N53">
            <v>6964018</v>
          </cell>
          <cell r="O53">
            <v>3895956</v>
          </cell>
          <cell r="P53">
            <v>0</v>
          </cell>
          <cell r="Q53">
            <v>-1783468</v>
          </cell>
        </row>
        <row r="54">
          <cell r="A54" t="str">
            <v xml:space="preserve">    JUROS S/ CAPITAL PRÓPRIO</v>
          </cell>
        </row>
        <row r="55">
          <cell r="A55" t="str">
            <v xml:space="preserve">LUCRO OPERACIONAL </v>
          </cell>
          <cell r="B55">
            <v>6761971</v>
          </cell>
          <cell r="C55">
            <v>360191</v>
          </cell>
          <cell r="D55">
            <v>110141</v>
          </cell>
          <cell r="E55">
            <v>192447</v>
          </cell>
          <cell r="F55">
            <v>-119865</v>
          </cell>
          <cell r="G55">
            <v>87039</v>
          </cell>
          <cell r="H55">
            <v>7765</v>
          </cell>
          <cell r="I55">
            <v>7399689</v>
          </cell>
          <cell r="J55">
            <v>-15367746.047251999</v>
          </cell>
          <cell r="K55">
            <v>14932075.403602</v>
          </cell>
          <cell r="L55">
            <v>0</v>
          </cell>
          <cell r="M55">
            <v>0</v>
          </cell>
          <cell r="N55">
            <v>6964018</v>
          </cell>
          <cell r="O55">
            <v>3895956</v>
          </cell>
          <cell r="P55">
            <v>0</v>
          </cell>
          <cell r="Q55">
            <v>-1783468</v>
          </cell>
        </row>
        <row r="57">
          <cell r="A57" t="str">
            <v>RECEITAS/DESPESAS NÃO OPERACIONAIS</v>
          </cell>
        </row>
        <row r="58">
          <cell r="A58" t="str">
            <v xml:space="preserve">  RECEITAS EVENTUAIS</v>
          </cell>
          <cell r="B58">
            <v>0</v>
          </cell>
          <cell r="C58">
            <v>0</v>
          </cell>
          <cell r="D58">
            <v>4922</v>
          </cell>
          <cell r="E58">
            <v>0</v>
          </cell>
          <cell r="F58">
            <v>1403</v>
          </cell>
          <cell r="G58">
            <v>0</v>
          </cell>
          <cell r="H58">
            <v>0</v>
          </cell>
          <cell r="I58">
            <v>6325</v>
          </cell>
          <cell r="J58">
            <v>0</v>
          </cell>
          <cell r="K58">
            <v>0</v>
          </cell>
          <cell r="L58">
            <v>0</v>
          </cell>
          <cell r="M58">
            <v>0</v>
          </cell>
          <cell r="N58">
            <v>6325</v>
          </cell>
          <cell r="O58">
            <v>3538</v>
          </cell>
          <cell r="P58">
            <v>0</v>
          </cell>
          <cell r="Q58">
            <v>3628</v>
          </cell>
        </row>
        <row r="59">
          <cell r="A59" t="str">
            <v xml:space="preserve">  VARIAÇÕES PATRIMONIAIS, LÍQUIDA</v>
          </cell>
          <cell r="B59">
            <v>-13186</v>
          </cell>
          <cell r="C59">
            <v>-13</v>
          </cell>
          <cell r="D59">
            <v>0</v>
          </cell>
          <cell r="E59">
            <v>0</v>
          </cell>
          <cell r="F59">
            <v>0</v>
          </cell>
          <cell r="G59">
            <v>0</v>
          </cell>
          <cell r="H59">
            <v>0</v>
          </cell>
          <cell r="I59">
            <v>-13199</v>
          </cell>
          <cell r="J59">
            <v>0</v>
          </cell>
          <cell r="K59">
            <v>0</v>
          </cell>
          <cell r="L59">
            <v>0</v>
          </cell>
          <cell r="M59">
            <v>0</v>
          </cell>
          <cell r="N59">
            <v>-13199</v>
          </cell>
          <cell r="O59">
            <v>-7384</v>
          </cell>
        </row>
        <row r="60">
          <cell r="A60" t="str">
            <v xml:space="preserve">  PERDAS C/ CONTROLADAS</v>
          </cell>
          <cell r="B60">
            <v>0</v>
          </cell>
          <cell r="C60">
            <v>0</v>
          </cell>
          <cell r="D60">
            <v>0</v>
          </cell>
          <cell r="E60">
            <v>0</v>
          </cell>
          <cell r="F60">
            <v>0</v>
          </cell>
          <cell r="G60">
            <v>0</v>
          </cell>
          <cell r="H60">
            <v>0</v>
          </cell>
          <cell r="I60">
            <v>0</v>
          </cell>
          <cell r="J60">
            <v>0</v>
          </cell>
          <cell r="K60">
            <v>0</v>
          </cell>
          <cell r="L60">
            <v>0</v>
          </cell>
          <cell r="M60">
            <v>0</v>
          </cell>
          <cell r="N60">
            <v>0</v>
          </cell>
          <cell r="O60">
            <v>0</v>
          </cell>
        </row>
        <row r="61">
          <cell r="A61" t="str">
            <v xml:space="preserve">  GANHOS (PERDAS) CAP. EMPRESAS COLIGADAS</v>
          </cell>
          <cell r="B61">
            <v>0</v>
          </cell>
          <cell r="C61">
            <v>0</v>
          </cell>
          <cell r="D61">
            <v>0</v>
          </cell>
          <cell r="E61">
            <v>0</v>
          </cell>
          <cell r="F61">
            <v>0</v>
          </cell>
          <cell r="G61">
            <v>0</v>
          </cell>
          <cell r="H61">
            <v>0</v>
          </cell>
          <cell r="I61">
            <v>0</v>
          </cell>
          <cell r="J61">
            <v>0</v>
          </cell>
          <cell r="K61">
            <v>0</v>
          </cell>
          <cell r="L61">
            <v>0</v>
          </cell>
          <cell r="M61">
            <v>0</v>
          </cell>
          <cell r="N61">
            <v>0</v>
          </cell>
          <cell r="O61">
            <v>0</v>
          </cell>
        </row>
        <row r="62">
          <cell r="A62" t="str">
            <v xml:space="preserve">  GANHOS (PERDAS) CAMBIAIS DE INVEST. NO EXTERIOR</v>
          </cell>
          <cell r="B62">
            <v>0</v>
          </cell>
          <cell r="C62">
            <v>0</v>
          </cell>
          <cell r="D62">
            <v>0</v>
          </cell>
          <cell r="E62">
            <v>0</v>
          </cell>
          <cell r="F62">
            <v>0</v>
          </cell>
          <cell r="G62">
            <v>0</v>
          </cell>
          <cell r="H62">
            <v>0</v>
          </cell>
          <cell r="I62">
            <v>0</v>
          </cell>
          <cell r="J62">
            <v>0</v>
          </cell>
          <cell r="K62">
            <v>0</v>
          </cell>
          <cell r="L62">
            <v>0</v>
          </cell>
          <cell r="M62">
            <v>0</v>
          </cell>
          <cell r="N62">
            <v>0</v>
          </cell>
          <cell r="O62">
            <v>0</v>
          </cell>
        </row>
        <row r="63">
          <cell r="A63" t="str">
            <v xml:space="preserve">  PERDAS C/ GREVE</v>
          </cell>
          <cell r="B63">
            <v>0</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 xml:space="preserve">  PROVISÃO P/ PERDAS DE REALIZAÇÃO DE ATIVOS</v>
          </cell>
          <cell r="B64">
            <v>0</v>
          </cell>
          <cell r="C64">
            <v>0</v>
          </cell>
          <cell r="D64">
            <v>0</v>
          </cell>
          <cell r="E64">
            <v>-62960</v>
          </cell>
          <cell r="F64">
            <v>0</v>
          </cell>
          <cell r="G64">
            <v>0</v>
          </cell>
          <cell r="H64">
            <v>0</v>
          </cell>
          <cell r="I64">
            <v>-62960</v>
          </cell>
          <cell r="J64">
            <v>0</v>
          </cell>
          <cell r="K64">
            <v>0</v>
          </cell>
          <cell r="L64">
            <v>0</v>
          </cell>
          <cell r="M64">
            <v>0</v>
          </cell>
          <cell r="N64">
            <v>-62960</v>
          </cell>
          <cell r="O64">
            <v>-35222</v>
          </cell>
        </row>
        <row r="65">
          <cell r="A65" t="str">
            <v xml:space="preserve">  OUTRAS</v>
          </cell>
          <cell r="B65">
            <v>1769</v>
          </cell>
          <cell r="C65">
            <v>0</v>
          </cell>
          <cell r="D65">
            <v>-1041</v>
          </cell>
          <cell r="E65">
            <v>-772</v>
          </cell>
          <cell r="F65">
            <v>0</v>
          </cell>
          <cell r="G65">
            <v>0</v>
          </cell>
          <cell r="H65">
            <v>0</v>
          </cell>
          <cell r="I65">
            <v>-44</v>
          </cell>
          <cell r="J65">
            <v>0</v>
          </cell>
          <cell r="K65">
            <v>0</v>
          </cell>
          <cell r="L65">
            <v>0</v>
          </cell>
          <cell r="M65">
            <v>0</v>
          </cell>
          <cell r="N65">
            <v>-44</v>
          </cell>
          <cell r="O65">
            <v>-25</v>
          </cell>
          <cell r="P65">
            <v>0</v>
          </cell>
          <cell r="Q65">
            <v>1639</v>
          </cell>
          <cell r="R65">
            <v>55</v>
          </cell>
        </row>
        <row r="66">
          <cell r="B66">
            <v>-11417</v>
          </cell>
          <cell r="C66">
            <v>-13</v>
          </cell>
          <cell r="D66">
            <v>3881</v>
          </cell>
          <cell r="E66">
            <v>-63732</v>
          </cell>
          <cell r="F66">
            <v>1403</v>
          </cell>
          <cell r="G66">
            <v>0</v>
          </cell>
          <cell r="H66">
            <v>0</v>
          </cell>
          <cell r="I66">
            <v>-69878</v>
          </cell>
          <cell r="J66">
            <v>0</v>
          </cell>
          <cell r="K66">
            <v>0</v>
          </cell>
          <cell r="L66">
            <v>0</v>
          </cell>
          <cell r="M66">
            <v>0</v>
          </cell>
          <cell r="N66">
            <v>-69878</v>
          </cell>
          <cell r="O66">
            <v>-39093</v>
          </cell>
          <cell r="P66">
            <v>0</v>
          </cell>
          <cell r="Q66">
            <v>5267</v>
          </cell>
        </row>
        <row r="68">
          <cell r="A68" t="str">
            <v>RESULTADO ANTES DA CONTR. SOCIAL E  I. RENDA</v>
          </cell>
          <cell r="B68">
            <v>6750554</v>
          </cell>
          <cell r="C68">
            <v>360178</v>
          </cell>
          <cell r="D68">
            <v>114022</v>
          </cell>
          <cell r="E68">
            <v>128715</v>
          </cell>
          <cell r="F68">
            <v>-118462</v>
          </cell>
          <cell r="G68">
            <v>87039</v>
          </cell>
          <cell r="H68">
            <v>7765</v>
          </cell>
          <cell r="I68">
            <v>7329811</v>
          </cell>
          <cell r="J68">
            <v>-15367746.047251999</v>
          </cell>
          <cell r="K68">
            <v>14932075.403602</v>
          </cell>
          <cell r="L68">
            <v>0</v>
          </cell>
          <cell r="M68">
            <v>0</v>
          </cell>
          <cell r="N68">
            <v>6894140</v>
          </cell>
          <cell r="O68">
            <v>3856863</v>
          </cell>
          <cell r="P68">
            <v>0</v>
          </cell>
          <cell r="Q68">
            <v>-1778201</v>
          </cell>
        </row>
        <row r="70">
          <cell r="A70" t="str">
            <v>CONTRIBUIÇÃO SOCIAL</v>
          </cell>
          <cell r="B70">
            <v>-427782</v>
          </cell>
          <cell r="C70">
            <v>-2070</v>
          </cell>
          <cell r="D70">
            <v>-15403</v>
          </cell>
          <cell r="E70">
            <v>0</v>
          </cell>
          <cell r="F70">
            <v>0</v>
          </cell>
          <cell r="G70">
            <v>-9234</v>
          </cell>
          <cell r="H70">
            <v>0</v>
          </cell>
          <cell r="I70">
            <v>-454489</v>
          </cell>
          <cell r="J70">
            <v>0</v>
          </cell>
          <cell r="K70">
            <v>0</v>
          </cell>
          <cell r="L70">
            <v>0</v>
          </cell>
          <cell r="M70">
            <v>0</v>
          </cell>
          <cell r="N70">
            <v>-454489</v>
          </cell>
          <cell r="O70">
            <v>-254260</v>
          </cell>
        </row>
        <row r="71">
          <cell r="A71" t="str">
            <v>IMPOSTO DE RENDA</v>
          </cell>
          <cell r="B71">
            <v>-1156613</v>
          </cell>
          <cell r="C71">
            <v>-5688</v>
          </cell>
          <cell r="D71">
            <v>-40793</v>
          </cell>
          <cell r="E71">
            <v>-47622</v>
          </cell>
          <cell r="F71">
            <v>0</v>
          </cell>
          <cell r="G71">
            <v>-25639</v>
          </cell>
          <cell r="H71">
            <v>0</v>
          </cell>
          <cell r="I71">
            <v>-1276355</v>
          </cell>
          <cell r="J71">
            <v>0</v>
          </cell>
          <cell r="K71">
            <v>0</v>
          </cell>
          <cell r="L71">
            <v>0</v>
          </cell>
          <cell r="M71">
            <v>0</v>
          </cell>
          <cell r="N71">
            <v>-1276355</v>
          </cell>
          <cell r="O71">
            <v>-714045</v>
          </cell>
        </row>
        <row r="72">
          <cell r="A72" t="str">
            <v>IR  A DIFERIR</v>
          </cell>
          <cell r="B72">
            <v>-480213</v>
          </cell>
          <cell r="C72">
            <v>-54209</v>
          </cell>
          <cell r="D72">
            <v>6647</v>
          </cell>
          <cell r="E72">
            <v>-3748</v>
          </cell>
          <cell r="F72">
            <v>-12217</v>
          </cell>
          <cell r="G72">
            <v>0</v>
          </cell>
          <cell r="H72">
            <v>0</v>
          </cell>
          <cell r="I72">
            <v>-543740</v>
          </cell>
          <cell r="J72">
            <v>-338.50216</v>
          </cell>
          <cell r="K72">
            <v>35302.413072499992</v>
          </cell>
          <cell r="L72">
            <v>0</v>
          </cell>
          <cell r="M72">
            <v>0</v>
          </cell>
          <cell r="N72">
            <v>-508776</v>
          </cell>
          <cell r="O72">
            <v>-284630</v>
          </cell>
          <cell r="P72">
            <v>0</v>
          </cell>
          <cell r="Q72">
            <v>505487</v>
          </cell>
        </row>
        <row r="73">
          <cell r="A73" t="str">
            <v>CONTR. SOCIAL A DIFERIR</v>
          </cell>
          <cell r="B73">
            <v>-180022</v>
          </cell>
          <cell r="C73">
            <v>-17347</v>
          </cell>
          <cell r="D73">
            <v>2328</v>
          </cell>
          <cell r="E73">
            <v>0</v>
          </cell>
          <cell r="F73">
            <v>-3909</v>
          </cell>
          <cell r="G73">
            <v>0</v>
          </cell>
          <cell r="H73">
            <v>0</v>
          </cell>
          <cell r="I73">
            <v>-198950</v>
          </cell>
          <cell r="J73">
            <v>-122.02077759999997</v>
          </cell>
          <cell r="K73">
            <v>12708.908706099999</v>
          </cell>
          <cell r="L73">
            <v>0</v>
          </cell>
          <cell r="M73">
            <v>0</v>
          </cell>
          <cell r="N73">
            <v>-186363</v>
          </cell>
          <cell r="O73">
            <v>-104259</v>
          </cell>
          <cell r="P73">
            <v>0</v>
          </cell>
          <cell r="Q73">
            <v>165252</v>
          </cell>
          <cell r="R73">
            <v>-2425983</v>
          </cell>
        </row>
        <row r="75">
          <cell r="A75" t="str">
            <v>RESULTADO ANTES DA PARTICIPAÇÃO MINORITÁRIA</v>
          </cell>
          <cell r="B75">
            <v>4505924</v>
          </cell>
          <cell r="C75">
            <v>280864</v>
          </cell>
          <cell r="D75">
            <v>66801</v>
          </cell>
          <cell r="E75">
            <v>77345</v>
          </cell>
          <cell r="F75">
            <v>-134588</v>
          </cell>
          <cell r="G75">
            <v>52166</v>
          </cell>
          <cell r="H75">
            <v>7765</v>
          </cell>
          <cell r="I75">
            <v>4856277</v>
          </cell>
          <cell r="J75">
            <v>-15368206.570189599</v>
          </cell>
          <cell r="K75">
            <v>14980086.725380601</v>
          </cell>
          <cell r="L75">
            <v>0</v>
          </cell>
          <cell r="M75">
            <v>0</v>
          </cell>
          <cell r="N75">
            <v>4468157</v>
          </cell>
          <cell r="O75">
            <v>2499669</v>
          </cell>
          <cell r="P75">
            <v>0</v>
          </cell>
          <cell r="Q75">
            <v>-1107462</v>
          </cell>
        </row>
        <row r="76">
          <cell r="A76" t="str">
            <v>PARTICIPAÇÃO MINORITÁRIA</v>
          </cell>
          <cell r="B76">
            <v>0</v>
          </cell>
          <cell r="C76">
            <v>0</v>
          </cell>
          <cell r="D76">
            <v>0</v>
          </cell>
          <cell r="E76">
            <v>-1112</v>
          </cell>
          <cell r="F76">
            <v>79783</v>
          </cell>
          <cell r="G76">
            <v>0</v>
          </cell>
          <cell r="H76">
            <v>0</v>
          </cell>
          <cell r="I76">
            <v>78671</v>
          </cell>
          <cell r="J76">
            <v>-20369</v>
          </cell>
          <cell r="K76">
            <v>0</v>
          </cell>
          <cell r="L76">
            <v>0</v>
          </cell>
          <cell r="M76">
            <v>0</v>
          </cell>
          <cell r="N76">
            <v>58302</v>
          </cell>
          <cell r="O76">
            <v>32617</v>
          </cell>
          <cell r="P76">
            <v>0</v>
          </cell>
          <cell r="Q76">
            <v>44241</v>
          </cell>
        </row>
        <row r="78">
          <cell r="A78" t="str">
            <v>RESULTADO ANTES DA REVERSÃO JUROS CAP. PR.</v>
          </cell>
          <cell r="B78">
            <v>4505924</v>
          </cell>
          <cell r="C78">
            <v>280864</v>
          </cell>
          <cell r="D78">
            <v>66801</v>
          </cell>
          <cell r="E78">
            <v>76233</v>
          </cell>
          <cell r="F78">
            <v>-54805</v>
          </cell>
          <cell r="G78">
            <v>52166</v>
          </cell>
          <cell r="H78">
            <v>7765</v>
          </cell>
          <cell r="I78">
            <v>4934948</v>
          </cell>
          <cell r="J78">
            <v>-15388575.570189599</v>
          </cell>
          <cell r="K78">
            <v>14980086.725380601</v>
          </cell>
          <cell r="L78">
            <v>0</v>
          </cell>
          <cell r="M78">
            <v>0</v>
          </cell>
          <cell r="N78">
            <v>4526459</v>
          </cell>
          <cell r="O78">
            <v>2532286</v>
          </cell>
          <cell r="P78">
            <v>0</v>
          </cell>
          <cell r="Q78">
            <v>-1063221</v>
          </cell>
        </row>
        <row r="79">
          <cell r="A79" t="e">
            <v>#N/A</v>
          </cell>
          <cell r="B79">
            <v>0</v>
          </cell>
          <cell r="C79">
            <v>0</v>
          </cell>
          <cell r="D79">
            <v>0</v>
          </cell>
          <cell r="E79">
            <v>0</v>
          </cell>
          <cell r="F79">
            <v>0</v>
          </cell>
          <cell r="G79">
            <v>0</v>
          </cell>
          <cell r="H79">
            <v>0</v>
          </cell>
          <cell r="I79">
            <v>0</v>
          </cell>
          <cell r="J79">
            <v>0</v>
          </cell>
          <cell r="K79">
            <v>0</v>
          </cell>
          <cell r="L79">
            <v>0</v>
          </cell>
          <cell r="M79">
            <v>0</v>
          </cell>
          <cell r="N79">
            <v>0</v>
          </cell>
          <cell r="O79">
            <v>0</v>
          </cell>
        </row>
        <row r="80">
          <cell r="A80" t="str">
            <v>PARTICIPAÇÕES DE EMPREGADOS</v>
          </cell>
          <cell r="B80">
            <v>0</v>
          </cell>
          <cell r="C80">
            <v>0</v>
          </cell>
          <cell r="D80">
            <v>0</v>
          </cell>
          <cell r="E80">
            <v>0</v>
          </cell>
          <cell r="F80">
            <v>0</v>
          </cell>
          <cell r="G80">
            <v>0</v>
          </cell>
          <cell r="H80">
            <v>0</v>
          </cell>
          <cell r="I80">
            <v>0</v>
          </cell>
          <cell r="J80">
            <v>0</v>
          </cell>
          <cell r="K80">
            <v>0</v>
          </cell>
          <cell r="L80">
            <v>0</v>
          </cell>
          <cell r="M80">
            <v>0</v>
          </cell>
          <cell r="N80">
            <v>0</v>
          </cell>
          <cell r="O80">
            <v>0</v>
          </cell>
        </row>
        <row r="81">
          <cell r="I81">
            <v>0</v>
          </cell>
        </row>
        <row r="82">
          <cell r="A82" t="str">
            <v>PERDAS NA TRADUÇÃO</v>
          </cell>
          <cell r="B82">
            <v>0</v>
          </cell>
          <cell r="C82">
            <v>0</v>
          </cell>
          <cell r="D82">
            <v>0</v>
          </cell>
          <cell r="E82">
            <v>0</v>
          </cell>
          <cell r="F82">
            <v>0</v>
          </cell>
          <cell r="G82">
            <v>0</v>
          </cell>
          <cell r="H82">
            <v>0</v>
          </cell>
          <cell r="I82">
            <v>0</v>
          </cell>
          <cell r="J82">
            <v>0</v>
          </cell>
          <cell r="K82">
            <v>0</v>
          </cell>
          <cell r="L82">
            <v>0</v>
          </cell>
          <cell r="M82">
            <v>0</v>
          </cell>
          <cell r="N82">
            <v>0</v>
          </cell>
          <cell r="O82">
            <v>-1.2447552448138595</v>
          </cell>
        </row>
        <row r="83">
          <cell r="I83">
            <v>0</v>
          </cell>
        </row>
        <row r="84">
          <cell r="A84" t="str">
            <v>RESULTADO LÍQUIDO DO PERÍODO</v>
          </cell>
          <cell r="B84">
            <v>4505924</v>
          </cell>
          <cell r="C84">
            <v>280864</v>
          </cell>
          <cell r="D84">
            <v>66801</v>
          </cell>
          <cell r="E84">
            <v>76233</v>
          </cell>
          <cell r="F84">
            <v>-54805</v>
          </cell>
          <cell r="G84">
            <v>52166</v>
          </cell>
          <cell r="H84">
            <v>7765</v>
          </cell>
          <cell r="I84">
            <v>4934948</v>
          </cell>
          <cell r="J84">
            <v>-15388575.570189599</v>
          </cell>
          <cell r="K84">
            <v>14980086.725380601</v>
          </cell>
          <cell r="L84">
            <v>0</v>
          </cell>
          <cell r="M84">
            <v>0</v>
          </cell>
          <cell r="N84">
            <v>4526459</v>
          </cell>
          <cell r="O84">
            <v>2532284.7552447552</v>
          </cell>
          <cell r="P84">
            <v>0</v>
          </cell>
          <cell r="Q84">
            <v>-1063221</v>
          </cell>
        </row>
        <row r="85">
          <cell r="A85" t="str">
            <v>US$</v>
          </cell>
          <cell r="B85">
            <v>2503291.111111111</v>
          </cell>
          <cell r="C85">
            <v>156035.55555555556</v>
          </cell>
          <cell r="D85">
            <v>37111.666666666664</v>
          </cell>
          <cell r="E85">
            <v>42351.666666666664</v>
          </cell>
          <cell r="F85">
            <v>-30447.222222222223</v>
          </cell>
          <cell r="G85">
            <v>28981.111111111109</v>
          </cell>
          <cell r="H85">
            <v>0</v>
          </cell>
          <cell r="I85">
            <v>0</v>
          </cell>
          <cell r="J85">
            <v>-408488.84480899759</v>
          </cell>
          <cell r="K85">
            <v>0</v>
          </cell>
          <cell r="L85">
            <v>0</v>
          </cell>
          <cell r="M85">
            <v>0</v>
          </cell>
          <cell r="N85">
            <v>0.15519100241363049</v>
          </cell>
        </row>
        <row r="86">
          <cell r="A86" t="str">
            <v>RESULTADO LÍQUIDO DO PERÍODO - US$ MIL</v>
          </cell>
          <cell r="B86">
            <v>0</v>
          </cell>
          <cell r="C86">
            <v>0</v>
          </cell>
          <cell r="D86">
            <v>0</v>
          </cell>
          <cell r="E86">
            <v>0</v>
          </cell>
          <cell r="F86">
            <v>0</v>
          </cell>
          <cell r="G86">
            <v>0</v>
          </cell>
          <cell r="H86">
            <v>0</v>
          </cell>
          <cell r="I86">
            <v>0</v>
          </cell>
          <cell r="J86">
            <v>0</v>
          </cell>
          <cell r="K86">
            <v>0</v>
          </cell>
          <cell r="L86">
            <v>0</v>
          </cell>
          <cell r="M86">
            <v>0</v>
          </cell>
          <cell r="N86">
            <v>4.1676106753267085E-2</v>
          </cell>
          <cell r="O86">
            <v>2.3315304477352215E-2</v>
          </cell>
          <cell r="P86">
            <v>0</v>
          </cell>
          <cell r="Q86">
            <v>-9.7893103413320172E-3</v>
          </cell>
        </row>
        <row r="87">
          <cell r="A87" t="str">
            <v>LUCRO POR AÇÃO - R$ POR LOTE DE MIL AÇÕES</v>
          </cell>
          <cell r="B87">
            <v>0</v>
          </cell>
          <cell r="C87" t="e">
            <v>#DIV/0!</v>
          </cell>
          <cell r="D87">
            <v>0</v>
          </cell>
          <cell r="E87">
            <v>0</v>
          </cell>
          <cell r="F87">
            <v>0</v>
          </cell>
          <cell r="G87">
            <v>0</v>
          </cell>
          <cell r="H87">
            <v>0</v>
          </cell>
          <cell r="I87">
            <v>4934948</v>
          </cell>
        </row>
        <row r="88">
          <cell r="C88">
            <v>7.8803124889797953</v>
          </cell>
        </row>
        <row r="89">
          <cell r="F89">
            <v>-64412</v>
          </cell>
        </row>
        <row r="90">
          <cell r="A90" t="str">
            <v>RECONCILIAÇÃO DO LUCRO</v>
          </cell>
          <cell r="B90">
            <v>0</v>
          </cell>
          <cell r="C90">
            <v>0</v>
          </cell>
          <cell r="D90">
            <v>0</v>
          </cell>
          <cell r="E90">
            <v>0</v>
          </cell>
          <cell r="F90">
            <v>-9607</v>
          </cell>
          <cell r="G90">
            <v>0</v>
          </cell>
          <cell r="H90">
            <v>0</v>
          </cell>
          <cell r="I90">
            <v>0</v>
          </cell>
          <cell r="J90">
            <v>-418408</v>
          </cell>
        </row>
        <row r="91">
          <cell r="J91">
            <v>429024</v>
          </cell>
        </row>
        <row r="92">
          <cell r="A92" t="str">
            <v>LUCRO DA PETROBRAS</v>
          </cell>
          <cell r="B92">
            <v>4505924</v>
          </cell>
          <cell r="C92">
            <v>2503291.111111111</v>
          </cell>
          <cell r="D92">
            <v>0</v>
          </cell>
          <cell r="E92" t="str">
            <v>Cotação do US$ 30/06/2000</v>
          </cell>
          <cell r="F92">
            <v>0</v>
          </cell>
          <cell r="G92">
            <v>0</v>
          </cell>
          <cell r="H92">
            <v>0</v>
          </cell>
          <cell r="I92">
            <v>1.8</v>
          </cell>
          <cell r="J92">
            <v>10616</v>
          </cell>
        </row>
        <row r="93">
          <cell r="A93" t="str">
            <v>LUCRO NOS ESTOQUES LÍQUIDO DE IR</v>
          </cell>
          <cell r="B93">
            <v>-74001</v>
          </cell>
          <cell r="C93">
            <v>-41111.666666666664</v>
          </cell>
          <cell r="D93">
            <v>0</v>
          </cell>
          <cell r="E93" t="str">
            <v>Cotação do US$(médio) 30/06/2000</v>
          </cell>
          <cell r="F93">
            <v>0</v>
          </cell>
          <cell r="G93">
            <v>0</v>
          </cell>
          <cell r="H93">
            <v>0</v>
          </cell>
          <cell r="I93">
            <v>1.7875000000000001</v>
          </cell>
          <cell r="J93">
            <v>1009</v>
          </cell>
        </row>
        <row r="94">
          <cell r="A94" t="str">
            <v>REVERSÃO DE LUCROS NOS ESTOQUES DE 1998</v>
          </cell>
          <cell r="B94">
            <v>62417</v>
          </cell>
          <cell r="C94">
            <v>34676.111111111109</v>
          </cell>
          <cell r="D94">
            <v>0</v>
          </cell>
          <cell r="E94">
            <v>0</v>
          </cell>
          <cell r="F94">
            <v>0</v>
          </cell>
          <cell r="G94">
            <v>0</v>
          </cell>
          <cell r="H94">
            <v>0</v>
          </cell>
          <cell r="I94" t="str">
            <v xml:space="preserve"> </v>
          </cell>
        </row>
        <row r="95">
          <cell r="A95" t="str">
            <v>JUROS CAPITALIZADOS</v>
          </cell>
          <cell r="B95">
            <v>-19981</v>
          </cell>
          <cell r="C95">
            <v>-11100.555555555555</v>
          </cell>
        </row>
        <row r="96">
          <cell r="A96" t="str">
            <v>OUTRAS</v>
          </cell>
          <cell r="B96">
            <v>52100</v>
          </cell>
          <cell r="C96">
            <v>28944.444444444445</v>
          </cell>
          <cell r="D96" t="str">
            <v>diferença  resultado gaspetro</v>
          </cell>
          <cell r="E96">
            <v>0</v>
          </cell>
          <cell r="F96">
            <v>0</v>
          </cell>
          <cell r="G96" t="str">
            <v>outros</v>
          </cell>
          <cell r="H96">
            <v>0</v>
          </cell>
          <cell r="I96" t="str">
            <v>juros</v>
          </cell>
        </row>
        <row r="97">
          <cell r="C97">
            <v>0</v>
          </cell>
          <cell r="D97">
            <v>0</v>
          </cell>
          <cell r="E97">
            <v>0</v>
          </cell>
          <cell r="F97">
            <v>0</v>
          </cell>
          <cell r="G97">
            <v>9607</v>
          </cell>
          <cell r="H97" t="str">
            <v>dif. Pl gaspetro</v>
          </cell>
          <cell r="I97">
            <v>17502</v>
          </cell>
          <cell r="J97" t="str">
            <v>braspetro</v>
          </cell>
        </row>
        <row r="98">
          <cell r="A98" t="str">
            <v>LUCRO CONSOLIDADO</v>
          </cell>
          <cell r="B98">
            <v>4526459</v>
          </cell>
          <cell r="C98">
            <v>2514699.4444444445</v>
          </cell>
          <cell r="D98">
            <v>0</v>
          </cell>
          <cell r="E98">
            <v>0</v>
          </cell>
          <cell r="F98">
            <v>0</v>
          </cell>
          <cell r="G98">
            <v>39805</v>
          </cell>
          <cell r="H98" t="str">
            <v>reversão lucros</v>
          </cell>
          <cell r="I98">
            <v>1876</v>
          </cell>
          <cell r="J98" t="str">
            <v>gaspetro</v>
          </cell>
        </row>
        <row r="99">
          <cell r="G99">
            <v>978</v>
          </cell>
          <cell r="H99" t="str">
            <v>gaspetro</v>
          </cell>
          <cell r="I99">
            <v>-638</v>
          </cell>
          <cell r="J99" t="str">
            <v>gaspetro</v>
          </cell>
        </row>
        <row r="100">
          <cell r="A100" t="str">
            <v>Check</v>
          </cell>
          <cell r="B100">
            <v>0</v>
          </cell>
          <cell r="C100">
            <v>0</v>
          </cell>
          <cell r="D100">
            <v>0</v>
          </cell>
          <cell r="E100">
            <v>0</v>
          </cell>
          <cell r="F100">
            <v>0</v>
          </cell>
          <cell r="G100">
            <v>-333</v>
          </cell>
          <cell r="H100" t="str">
            <v>gaspetro</v>
          </cell>
          <cell r="I100">
            <v>1880</v>
          </cell>
          <cell r="J100" t="str">
            <v>gaspetro</v>
          </cell>
        </row>
        <row r="101">
          <cell r="G101">
            <v>2252</v>
          </cell>
          <cell r="H101" t="str">
            <v>gaspetro</v>
          </cell>
          <cell r="I101">
            <v>-639</v>
          </cell>
          <cell r="J101" t="str">
            <v>gaspetro</v>
          </cell>
        </row>
        <row r="102">
          <cell r="D102" t="str">
            <v>DIFERENÇA RESULTADO braspetro</v>
          </cell>
          <cell r="E102">
            <v>0</v>
          </cell>
          <cell r="F102">
            <v>0</v>
          </cell>
          <cell r="G102">
            <v>-704</v>
          </cell>
          <cell r="H102" t="str">
            <v>gaspetro</v>
          </cell>
          <cell r="I102">
            <v>19981</v>
          </cell>
        </row>
        <row r="103">
          <cell r="D103" t="str">
            <v>ELIM</v>
          </cell>
          <cell r="E103">
            <v>76233</v>
          </cell>
          <cell r="F103">
            <v>0</v>
          </cell>
          <cell r="G103">
            <v>495</v>
          </cell>
          <cell r="H103" t="str">
            <v>lucros afret.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V98"/>
      <sheetName val="cta estoques"/>
      <sheetName val="CTA"/>
      <sheetName val="AJUSTE RES"/>
      <sheetName val="RESGAAP"/>
      <sheetName val="RESMES"/>
      <sheetName val="BAL"/>
      <sheetName val="indices-US"/>
      <sheetName val="INDICES-BR"/>
      <sheetName val="ADM_Áreas_Milhares"/>
      <sheetName val="ELIMINAÇÕES"/>
    </sheetNames>
    <sheetDataSet>
      <sheetData sheetId="0"/>
      <sheetData sheetId="1"/>
      <sheetData sheetId="2"/>
      <sheetData sheetId="3"/>
      <sheetData sheetId="4" refreshError="1">
        <row r="44">
          <cell r="G44">
            <v>613133.2764565926</v>
          </cell>
        </row>
      </sheetData>
      <sheetData sheetId="5"/>
      <sheetData sheetId="6" refreshError="1">
        <row r="35">
          <cell r="G35">
            <v>856550</v>
          </cell>
        </row>
        <row r="45">
          <cell r="G45">
            <v>4443302</v>
          </cell>
        </row>
        <row r="80">
          <cell r="G80">
            <v>13271.283196823031</v>
          </cell>
        </row>
        <row r="91">
          <cell r="G91">
            <v>34612</v>
          </cell>
        </row>
        <row r="92">
          <cell r="G92">
            <v>-2269694</v>
          </cell>
        </row>
      </sheetData>
      <sheetData sheetId="7"/>
      <sheetData sheetId="8"/>
      <sheetData sheetId="9"/>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99"/>
      <sheetName val="TESTE"/>
      <sheetName val="JUN99"/>
      <sheetName val="dez"/>
      <sheetName val="sise"/>
      <sheetName val="MAR 00"/>
      <sheetName val="DESEMPENHO JUN00"/>
      <sheetName val="BAL"/>
    </sheetNames>
    <sheetDataSet>
      <sheetData sheetId="0"/>
      <sheetData sheetId="1"/>
      <sheetData sheetId="2" refreshError="1">
        <row r="17">
          <cell r="O17" t="str">
            <v>U$  milhões</v>
          </cell>
        </row>
        <row r="18">
          <cell r="O18" t="str">
            <v>Aporte de Capital</v>
          </cell>
          <cell r="P18" t="str">
            <v>Retorno (dividendos e outros)</v>
          </cell>
        </row>
        <row r="19">
          <cell r="N19" t="str">
            <v>PETROQUISA</v>
          </cell>
          <cell r="O19">
            <v>455</v>
          </cell>
          <cell r="P19">
            <v>1038</v>
          </cell>
        </row>
        <row r="20">
          <cell r="N20" t="str">
            <v>BR</v>
          </cell>
          <cell r="O20">
            <v>180</v>
          </cell>
          <cell r="P20">
            <v>778</v>
          </cell>
        </row>
        <row r="21">
          <cell r="N21" t="str">
            <v>BRASPETRO</v>
          </cell>
          <cell r="O21">
            <v>1218</v>
          </cell>
          <cell r="P21">
            <v>361</v>
          </cell>
        </row>
        <row r="22">
          <cell r="N22" t="str">
            <v>GASPETRO</v>
          </cell>
          <cell r="O22">
            <v>1714</v>
          </cell>
          <cell r="P22">
            <v>159</v>
          </cell>
        </row>
      </sheetData>
      <sheetData sheetId="3"/>
      <sheetData sheetId="4"/>
      <sheetData sheetId="5"/>
      <sheetData sheetId="6"/>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_Áreas_Milhares"/>
      <sheetName val="INDICES-US"/>
      <sheetName val="ELIM. VENDAS - FINANC."/>
      <sheetName val="LANÇ.ELIMIN."/>
      <sheetName val="Bal-Res USGAAP"/>
      <sheetName val="Elim_PL"/>
      <sheetName val="Rec.P.L."/>
      <sheetName val="Rec. res. "/>
      <sheetName val="Macros"/>
      <sheetName val="INDICES-BR"/>
      <sheetName val="DOM.RESUL.-PAT.LIQ.CONS."/>
      <sheetName val="dez"/>
      <sheetName val="JUN9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Endividamento - 2002"/>
      <sheetName val="Endividamento - Atualização"/>
      <sheetName val="Endividam"/>
      <sheetName val="Dados para Comentários"/>
      <sheetName val="Balanço"/>
      <sheetName val="DRE"/>
      <sheetName val="Fluxo de caixa"/>
      <sheetName val="RDE - Resumo"/>
      <sheetName val="Receita e Lucro"/>
      <sheetName val="Margens"/>
      <sheetName val="ROA"/>
      <sheetName val="ROE"/>
      <sheetName val="ROCE"/>
      <sheetName val="EBITDA"/>
      <sheetName val="Endividamento"/>
      <sheetName val="Endividamento (2)"/>
      <sheetName val="Endividamento (3)"/>
      <sheetName val="Endividamento 2003"/>
      <sheetName val="Grade Endiv"/>
      <sheetName val="ADM_Áreas_Milhares"/>
      <sheetName val="Definições"/>
      <sheetName val="RESGAAP"/>
      <sheetName val="BAL"/>
    </sheetNames>
    <sheetDataSet>
      <sheetData sheetId="0"/>
      <sheetData sheetId="1"/>
      <sheetData sheetId="2"/>
      <sheetData sheetId="3"/>
      <sheetData sheetId="4"/>
      <sheetData sheetId="5"/>
      <sheetData sheetId="6"/>
      <sheetData sheetId="7"/>
      <sheetData sheetId="8"/>
      <sheetData sheetId="9" refreshError="1">
        <row r="7">
          <cell r="C7" t="str">
            <v>ROB</v>
          </cell>
          <cell r="L7" t="str">
            <v>LO no mês</v>
          </cell>
          <cell r="O7" t="str">
            <v>LL</v>
          </cell>
        </row>
        <row r="8">
          <cell r="C8">
            <v>10752</v>
          </cell>
          <cell r="L8">
            <v>2717</v>
          </cell>
          <cell r="O8">
            <v>1999</v>
          </cell>
        </row>
        <row r="9">
          <cell r="C9">
            <v>11547</v>
          </cell>
          <cell r="L9">
            <v>3349</v>
          </cell>
          <cell r="O9">
            <v>2256</v>
          </cell>
        </row>
        <row r="10">
          <cell r="C10">
            <v>11066</v>
          </cell>
          <cell r="L10">
            <v>2425</v>
          </cell>
          <cell r="O10">
            <v>1290</v>
          </cell>
        </row>
        <row r="11">
          <cell r="C11">
            <v>10016</v>
          </cell>
          <cell r="L11">
            <v>2564</v>
          </cell>
          <cell r="O11">
            <v>1532</v>
          </cell>
        </row>
        <row r="12">
          <cell r="C12">
            <v>12443</v>
          </cell>
          <cell r="L12">
            <v>2369</v>
          </cell>
          <cell r="O12">
            <v>1692</v>
          </cell>
        </row>
        <row r="13">
          <cell r="C13">
            <v>10012</v>
          </cell>
          <cell r="L13">
            <v>1679</v>
          </cell>
          <cell r="O13">
            <v>603</v>
          </cell>
        </row>
        <row r="14">
          <cell r="C14">
            <v>0</v>
          </cell>
          <cell r="L14">
            <v>0</v>
          </cell>
          <cell r="O14">
            <v>0</v>
          </cell>
        </row>
        <row r="15">
          <cell r="C15">
            <v>0</v>
          </cell>
          <cell r="L15">
            <v>0</v>
          </cell>
          <cell r="O15">
            <v>0</v>
          </cell>
        </row>
        <row r="16">
          <cell r="C16">
            <v>0</v>
          </cell>
          <cell r="L16">
            <v>0</v>
          </cell>
          <cell r="O16">
            <v>0</v>
          </cell>
        </row>
        <row r="17">
          <cell r="C17">
            <v>0</v>
          </cell>
          <cell r="L17">
            <v>0</v>
          </cell>
          <cell r="O17">
            <v>0</v>
          </cell>
        </row>
        <row r="18">
          <cell r="C18">
            <v>0</v>
          </cell>
          <cell r="L18">
            <v>0</v>
          </cell>
          <cell r="O18">
            <v>0</v>
          </cell>
        </row>
        <row r="19">
          <cell r="C19">
            <v>0</v>
          </cell>
          <cell r="L19">
            <v>0</v>
          </cell>
          <cell r="O19">
            <v>0</v>
          </cell>
        </row>
      </sheetData>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IMINAÇÕES"/>
      <sheetName val="Receita e Lucro"/>
      <sheetName val="dez"/>
    </sheetNames>
    <sheetDataSet>
      <sheetData sheetId="0" refreshError="1">
        <row r="283">
          <cell r="J283">
            <v>35016</v>
          </cell>
        </row>
        <row r="288">
          <cell r="H288">
            <v>-19634</v>
          </cell>
        </row>
      </sheetData>
      <sheetData sheetId="1" refreshError="1"/>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NDAS_P_SUBSIDIÁRIA"/>
      <sheetName val="1 sum"/>
      <sheetName val="integral"/>
      <sheetName val="tabela"/>
      <sheetName val="bal"/>
      <sheetName val="ush"/>
      <sheetName val="base filtrada doc. pagto"/>
      <sheetName val="ABRIL 2000"/>
      <sheetName val="den96"/>
      <sheetName val="valores"/>
      <sheetName val="K 1.4 - Itens Totalm. Deprec."/>
      <sheetName val=" Funding flow"/>
      <sheetName val="6140"/>
      <sheetName val="B13"/>
      <sheetName val="Metalúrgica"/>
      <sheetName val="ce"/>
      <sheetName val="Índices"/>
      <sheetName val="BP vs TS"/>
      <sheetName val="7901"/>
      <sheetName val="Revestimento"/>
      <sheetName val="D1 - PRA"/>
      <sheetName val="FF3"/>
      <sheetName val="Valores 30 11 2007"/>
      <sheetName val="D - PRA"/>
      <sheetName val="Aquisição"/>
      <sheetName val="Remeasurement Balance"/>
      <sheetName val="1.2Base_Previa"/>
      <sheetName val="ag. tractor"/>
      <sheetName val="GERREAL"/>
      <sheetName val="ACT 00"/>
      <sheetName val="Custo X Mercado"/>
      <sheetName val="E1.3 - Totalização"/>
      <sheetName val="N2 1"/>
      <sheetName val="T-OPEN"/>
      <sheetName val="Bancos 31-03"/>
      <sheetName val="Base"/>
      <sheetName val="ELIMINAÇÕES"/>
      <sheetName val="Lista"/>
      <sheetName val="NBC Max"/>
      <sheetName val="RELATA VÉIO"/>
      <sheetName val="D1.1 - PRA"/>
      <sheetName val="MovJan"/>
      <sheetName val="Bal032002"/>
      <sheetName val="COTAÇÃO URTJLP"/>
      <sheetName val="INFO"/>
      <sheetName val="Determinação dos Parâmetros"/>
      <sheetName val="Resumo"/>
      <sheetName val="Dep Moedas Est"/>
      <sheetName val="Aging"/>
      <sheetName val="OUT02.REPORT"/>
      <sheetName val="COMPLETO"/>
      <sheetName val="ROs (12)"/>
      <sheetName val="cvdtodosprodago-00"/>
      <sheetName val="Premissas"/>
      <sheetName val="Janeiro 2005"/>
      <sheetName val="E4.1"/>
      <sheetName val="Assumptions - General"/>
      <sheetName val="DS"/>
      <sheetName val="Taxas"/>
      <sheetName val="Proyectos 2004 PAIS"/>
      <sheetName val="Entradas"/>
      <sheetName val="base_filtrada_doc__pagto"/>
      <sheetName val="ABRIL_2000"/>
      <sheetName val="K_1_4_-_Itens_Totalm__Deprec_"/>
      <sheetName val="_Funding_flow"/>
      <sheetName val="D1_-_PRA"/>
      <sheetName val="Valores_30_11_2007"/>
      <sheetName val="D_-_PRA"/>
      <sheetName val="BP_vs_TS"/>
      <sheetName val="Remeasurement_Balance"/>
      <sheetName val="1_2Base_Previa"/>
      <sheetName val="ag__tractor"/>
      <sheetName val="Custo_X_Mercado"/>
      <sheetName val="ACT_00"/>
      <sheetName val="E1_3_-_Totalização"/>
      <sheetName val="N2_1"/>
      <sheetName val="Bancos_31-03"/>
      <sheetName val="NBC_Max"/>
      <sheetName val="RELATA_VÉIO"/>
      <sheetName val="D1_1_-_PRA"/>
      <sheetName val="COTAÇÃO_URTJLP"/>
      <sheetName val="Determinação_dos_Parâmetros"/>
      <sheetName val="Dep_Moedas_Est"/>
      <sheetName val="OUT02_REPORT"/>
      <sheetName val="Adiantamentos Agosto"/>
      <sheetName val="UFIR"/>
      <sheetName val="DADOS"/>
      <sheetName val="Plan1"/>
      <sheetName val="TABELAS"/>
      <sheetName val="ISO Code"/>
      <sheetName val="tabla"/>
      <sheetName val="CG00VEND"/>
      <sheetName val="Debt Sum"/>
      <sheetName val="JUN99"/>
      <sheetName val="E1.1"/>
      <sheetName val="Orçado - Velho"/>
      <sheetName val="N"/>
      <sheetName val="EBITRECS"/>
      <sheetName val="5X3"/>
      <sheetName val="Diversos Deb"/>
      <sheetName val="Teste Drpc"/>
      <sheetName val="C1398T96"/>
      <sheetName val="Deter. Parâmetro-Global Folha"/>
      <sheetName val="mzo 97"/>
      <sheetName val="D1"/>
      <sheetName val="Matriz de covariância"/>
      <sheetName val="Lead"/>
      <sheetName val="Links"/>
      <sheetName val="base_filtrada_doc__pagto1"/>
      <sheetName val="ABRIL_20001"/>
      <sheetName val="D1_-_PRA1"/>
      <sheetName val="Remeasurement_Balance1"/>
      <sheetName val="1_2Base_Previa1"/>
      <sheetName val="K_1_4_-_Itens_Totalm__Deprec_1"/>
      <sheetName val="_Funding_flow1"/>
      <sheetName val="Valores_30_11_20071"/>
      <sheetName val="D_-_PRA1"/>
      <sheetName val="BP_vs_TS1"/>
      <sheetName val="ag__tractor1"/>
      <sheetName val="Custo_X_Mercado1"/>
      <sheetName val="ACT_001"/>
      <sheetName val="E1_3_-_Totalização1"/>
      <sheetName val="N2_11"/>
      <sheetName val="Dep_Moedas_Est1"/>
      <sheetName val="COTAÇÃO_URTJLP1"/>
      <sheetName val="Bancos_31-031"/>
      <sheetName val="NBC_Max1"/>
      <sheetName val="RELATA_VÉIO1"/>
      <sheetName val="D1_1_-_PRA1"/>
      <sheetName val="Determinação_dos_Parâmetros1"/>
      <sheetName val="OUT02_REPORT1"/>
      <sheetName val="ROs_(12)"/>
      <sheetName val="Janeiro_2005"/>
      <sheetName val="E4_1"/>
      <sheetName val="Assumptions_-_General"/>
      <sheetName val="ISO_Code"/>
      <sheetName val="Teste de Adições"/>
      <sheetName val="RIS_TECNICHE"/>
      <sheetName val="e&amp;o por dep"/>
      <sheetName val="VALE  REFEIÇÃO"/>
      <sheetName val="E1_1"/>
      <sheetName val="Proyectos_2004_PAIS"/>
      <sheetName val="P&amp;L"/>
      <sheetName val="Anexo &quot;H&quot;"/>
      <sheetName val="Promedios"/>
      <sheetName val="P3 - Concil. Bancária 30.09.06"/>
      <sheetName val="Forecast US$"/>
      <sheetName val="INTELSAT"/>
      <sheetName val="Changelog"/>
      <sheetName val="Teste"/>
      <sheetName val="Sensib"/>
      <sheetName val="XREF"/>
      <sheetName val="PDD-Movimentação"/>
      <sheetName val="Conteúdo - real"/>
      <sheetName val="Proyectos_2004_PAIS1"/>
      <sheetName val="Adiantamentos_Agosto"/>
      <sheetName val="Teste_de_Adições"/>
      <sheetName val="e&amp;o_por_dep"/>
      <sheetName val="Deter__Parâmetro-Global_Folha"/>
      <sheetName val="Teste_Drpc"/>
      <sheetName val="Tickmarks "/>
      <sheetName val="TXCETIP"/>
      <sheetName val="sapactivexlhiddensheet"/>
      <sheetName val="TermoPE"/>
      <sheetName val="Inventário PA"/>
      <sheetName val="Mexico Detail"/>
      <sheetName val="Sen"/>
      <sheetName val="REF"/>
      <sheetName val="CLIENTES"/>
      <sheetName val="tabela tpo x ctas."/>
      <sheetName val="VEA Fiscal"/>
      <sheetName val="ANEXO 13"/>
      <sheetName val="SCG"/>
      <sheetName val="rec_dif"/>
      <sheetName val="Trial_Balance_MRC"/>
      <sheetName val="Real_Teste_orig"/>
      <sheetName val="31-Bl2-VP contrato"/>
      <sheetName val="Painel de Controle"/>
      <sheetName val="Relatórios-REF"/>
      <sheetName val="Table"/>
      <sheetName val="05,06 E 07"/>
      <sheetName val="ASSUM"/>
      <sheetName val="Total_por_item"/>
      <sheetName val="102007"/>
      <sheetName val="Base PA (moeda real dez-2007)"/>
      <sheetName val="SAB 101 FEV"/>
      <sheetName val="PORTFOLIO -BRAZIL"/>
      <sheetName val="EdComercial"/>
      <sheetName val="Inputs"/>
      <sheetName val="Raz"/>
      <sheetName val="Fluxo"/>
      <sheetName val="PAS - Deprec."/>
      <sheetName val="Cotação"/>
      <sheetName val="Trial Balance"/>
      <sheetName val="Parâmetro de receita"/>
      <sheetName val="1º semestre 99"/>
      <sheetName val="Janeiro"/>
      <sheetName val="fevereiro"/>
      <sheetName val="Abril"/>
      <sheetName val="Maio"/>
      <sheetName val="Junho"/>
      <sheetName val="Julho"/>
      <sheetName val="Segment 4 Bid Sheet"/>
      <sheetName val="Param"/>
      <sheetName val="DPGeral"/>
      <sheetName val="ATIVO"/>
      <sheetName val="Sensibilidades"/>
      <sheetName val="Fluxo ufg"/>
      <sheetName val="Remeasurement_Balance2"/>
      <sheetName val="base_filtrada_doc__pagto2"/>
      <sheetName val="ABRIL_20002"/>
      <sheetName val="D1_-_PRA2"/>
      <sheetName val="1_2Base_Previa2"/>
      <sheetName val="E1_3_-_Totalização2"/>
      <sheetName val="K_1_4_-_Itens_Totalm__Deprec_2"/>
      <sheetName val="_Funding_flow2"/>
      <sheetName val="BP_vs_TS2"/>
      <sheetName val="Valores_30_11_20072"/>
      <sheetName val="D_-_PRA2"/>
      <sheetName val="Custo_X_Mercado2"/>
      <sheetName val="ag__tractor2"/>
      <sheetName val="N2_12"/>
      <sheetName val="ACT_002"/>
      <sheetName val="COTAÇÃO_URTJLP2"/>
      <sheetName val="Janeiro_20051"/>
      <sheetName val="Dep_Moedas_Est2"/>
      <sheetName val="Determinação_dos_Parâmetros2"/>
      <sheetName val="RELATA_VÉIO2"/>
      <sheetName val="E4_11"/>
      <sheetName val="Assumptions_-_General1"/>
      <sheetName val="Bancos_31-032"/>
      <sheetName val="NBC_Max2"/>
      <sheetName val="D1_1_-_PRA2"/>
      <sheetName val="OUT02_REPORT2"/>
      <sheetName val="ROs_(12)1"/>
      <sheetName val="ISO_Code1"/>
      <sheetName val="Orçado_-_Velho"/>
      <sheetName val="mzo_97"/>
      <sheetName val="#REF"/>
      <sheetName val="COMPARATIVO"/>
      <sheetName val="Cotações"/>
      <sheetName val="BNDES"/>
      <sheetName val="Vicom"/>
      <sheetName val="T.C."/>
      <sheetName val="M-Central_impr"/>
      <sheetName val="inss terceiros a recolher "/>
      <sheetName val="1tri"/>
      <sheetName val="Demonstração (2)"/>
      <sheetName val="1_sum"/>
      <sheetName val="base_filtrada_doc__pagto3"/>
      <sheetName val="ABRIL_20003"/>
      <sheetName val="K_1_4_-_Itens_Totalm__Deprec_3"/>
      <sheetName val="_Funding_flow3"/>
      <sheetName val="BP_vs_TS3"/>
      <sheetName val="D1_-_PRA3"/>
      <sheetName val="Valores_30_11_20073"/>
      <sheetName val="D_-_PRA3"/>
      <sheetName val="Remeasurement_Balance3"/>
      <sheetName val="1_2Base_Previa3"/>
      <sheetName val="ag__tractor3"/>
      <sheetName val="ACT_003"/>
      <sheetName val="Custo_X_Mercado3"/>
      <sheetName val="E1_3_-_Totalização3"/>
      <sheetName val="N2_13"/>
      <sheetName val="Bancos_31-033"/>
      <sheetName val="NBC_Max3"/>
      <sheetName val="RELATA_VÉIO3"/>
      <sheetName val="D1_1_-_PRA3"/>
      <sheetName val="COTAÇÃO_URTJLP3"/>
      <sheetName val="Determinação_dos_Parâmetros3"/>
      <sheetName val="Dep_Moedas_Est3"/>
      <sheetName val="OUT02_REPORT3"/>
      <sheetName val="ROs_(12)2"/>
      <sheetName val="Janeiro_20052"/>
      <sheetName val="E4_12"/>
      <sheetName val="Assumptions_-_General2"/>
      <sheetName val="Proyectos_2004_PAIS2"/>
      <sheetName val="Adiantamentos_Agosto1"/>
      <sheetName val="ISO_Code2"/>
      <sheetName val="Debt_Sum"/>
      <sheetName val="E1_11"/>
      <sheetName val="Orçado_-_Velho1"/>
      <sheetName val="Diversos_Deb"/>
      <sheetName val="Teste_Drpc1"/>
      <sheetName val="Deter__Parâmetro-Global_Folha1"/>
      <sheetName val="mzo_971"/>
      <sheetName val="Matriz_de_covariância"/>
      <sheetName val="Teste_de_Adições1"/>
      <sheetName val="e&amp;o_por_dep1"/>
      <sheetName val="VALE__REFEIÇÃO"/>
      <sheetName val="Anexo_&quot;H&quot;"/>
      <sheetName val="P3_-_Concil__Bancária_30_09_06"/>
      <sheetName val="Forecast_US$"/>
      <sheetName val="Conteúdo_-_real"/>
      <sheetName val="Mexico_Detail"/>
      <sheetName val="tabela_tpo_x_ctas_"/>
      <sheetName val="VEA_Fiscal"/>
      <sheetName val="ANEXO_13"/>
      <sheetName val="31-Bl2-VP_contrato"/>
      <sheetName val="Painel_de_Controle"/>
      <sheetName val="05,06_E_07"/>
      <sheetName val="PORTFOLIO_-BRAZIL"/>
      <sheetName val="Tickmarks_"/>
      <sheetName val="Inventário_PA"/>
      <sheetName val="Segment_4_Bid_Sheet"/>
      <sheetName val="Base_PA_(moeda_real_dez-2007)"/>
      <sheetName val="PAS_-_Deprec_"/>
      <sheetName val="Parâmetro_de_receita"/>
      <sheetName val="Trial_Balance"/>
      <sheetName val="SAB_101_FEV"/>
      <sheetName val="1º_semestre_99"/>
      <sheetName val="Fluxo_ufg"/>
      <sheetName val="T_C_"/>
      <sheetName val="inss_terceiros_a_recolher_"/>
      <sheetName val="Intertemporais PIS e COFINS"/>
      <sheetName val="Forum-jan02"/>
      <sheetName val="Cofins 1%"/>
      <sheetName val="Mensagem"/>
      <sheetName val="Setcomer"/>
      <sheetName val="Start"/>
      <sheetName val="Tab.Translate"/>
      <sheetName val="CIEN"/>
      <sheetName val="Res.Autor.Motivo"/>
      <sheetName val="Res.Devolv.Motivo"/>
      <sheetName val="Calc"/>
      <sheetName val="ENTRADA"/>
      <sheetName val="Geral"/>
      <sheetName val="Market"/>
      <sheetName val="Deferred Tax"/>
      <sheetName val="input 1"/>
      <sheetName val="Apl.Financ."/>
      <sheetName val="Plan-Bônus"/>
      <sheetName val="DRE"/>
      <sheetName val="dez"/>
      <sheetName val="DFLSUBS"/>
      <sheetName val="Cálculo Encargos - MN"/>
      <sheetName val="Financeiro LP"/>
      <sheetName val="Financeiro CP"/>
      <sheetName val="Financeiro Encargos"/>
      <sheetName val="RIEP_INC_98"/>
      <sheetName val="Gross Margin"/>
      <sheetName val="_fg12"/>
      <sheetName val="Uno1242"/>
      <sheetName val="UST"/>
      <sheetName val="parám."/>
      <sheetName val="Saldo Orçamentário"/>
      <sheetName val="PRESidi"/>
      <sheetName val="Tab_Translate"/>
      <sheetName val="Cofins_1%"/>
      <sheetName val="Res_Autor_Motivo"/>
      <sheetName val="Res_Devolv_Motivo"/>
      <sheetName val="Deferred_Tax"/>
      <sheetName val="Apl_Financ_"/>
      <sheetName val="input_1"/>
      <sheetName val="Precios"/>
      <sheetName val="MUTAÇÕES"/>
      <sheetName val="Passivo"/>
      <sheetName val="VAREX0698"/>
      <sheetName val="P_L"/>
      <sheetName val="Configurações Gerais"/>
      <sheetName val="DB R&amp;D ITA 02-06"/>
      <sheetName val="sheet1"/>
      <sheetName val="DATA"/>
      <sheetName val="Cálculo_Encargos_-_MN"/>
      <sheetName val="Financeiro_LP"/>
      <sheetName val="Financeiro_CP"/>
      <sheetName val="Financeiro_Encargos"/>
      <sheetName val="Suporte"/>
      <sheetName val="A4"/>
      <sheetName val="regulagem"/>
      <sheetName val="Tdb_Bdg"/>
      <sheetName val="CONS-LS"/>
      <sheetName val="CRONOGRAMA"/>
      <sheetName val="ICATU"/>
      <sheetName val="DB_R&amp;D_ITA_02-06"/>
      <sheetName val="Gross_Margin"/>
      <sheetName val="Input"/>
      <sheetName val="BAL08"/>
      <sheetName val="base_filtrada_doc__pagto4"/>
      <sheetName val="ABRIL_20004"/>
      <sheetName val="D1_-_PRA4"/>
      <sheetName val="Remeasurement_Balance4"/>
      <sheetName val="K_1_4_-_Itens_Totalm__Deprec_4"/>
      <sheetName val="_Funding_flow4"/>
      <sheetName val="BP_vs_TS4"/>
      <sheetName val="Valores_30_11_20074"/>
      <sheetName val="D_-_PRA4"/>
      <sheetName val="1_2Base_Previa4"/>
      <sheetName val="E1_3_-_Totalização4"/>
      <sheetName val="Custo_X_Mercado4"/>
      <sheetName val="ag__tractor4"/>
      <sheetName val="N2_14"/>
      <sheetName val="Dep_Moedas_Est4"/>
      <sheetName val="Determinação_dos_Parâmetros4"/>
      <sheetName val="ACT_004"/>
      <sheetName val="COTAÇÃO_URTJLP4"/>
      <sheetName val="RELATA_VÉIO4"/>
      <sheetName val="Bancos_31-034"/>
      <sheetName val="NBC_Max4"/>
      <sheetName val="D1_1_-_PRA4"/>
      <sheetName val="OUT02_REPORT4"/>
      <sheetName val="ROs_(12)3"/>
      <sheetName val="Janeiro_20053"/>
      <sheetName val="E4_13"/>
      <sheetName val="Assumptions_-_General3"/>
      <sheetName val="ISO_Code3"/>
      <sheetName val="Proyectos_2004_PAIS3"/>
      <sheetName val="Adiantamentos_Agosto2"/>
      <sheetName val="Teste_Drpc2"/>
      <sheetName val="Deter__Parâmetro-Global_Folha2"/>
      <sheetName val="Teste_de_Adições2"/>
      <sheetName val="e&amp;o_por_dep2"/>
      <sheetName val="VALE__REFEIÇÃO1"/>
      <sheetName val="mzo_972"/>
      <sheetName val="E1_12"/>
      <sheetName val="Orçado_-_Velho2"/>
      <sheetName val="Diversos_Deb1"/>
      <sheetName val="Anexo_&quot;H&quot;1"/>
      <sheetName val="Painel_de_Controle1"/>
      <sheetName val="VEA_Fiscal1"/>
      <sheetName val="31-Bl2-VP_contrato1"/>
      <sheetName val="P3_-_Concil__Bancária_30_09_061"/>
      <sheetName val="Forecast_US$1"/>
      <sheetName val="Mexico_Detail1"/>
      <sheetName val="tabela_tpo_x_ctas_1"/>
      <sheetName val="Matriz_de_covariância1"/>
      <sheetName val="SAB_101_FEV1"/>
      <sheetName val="Conteúdo_-_real1"/>
      <sheetName val="ANEXO_131"/>
      <sheetName val="PORTFOLIO_-BRAZIL1"/>
      <sheetName val="05,06_E_071"/>
      <sheetName val="Tickmarks_1"/>
      <sheetName val="Base_PA_(moeda_real_dez-2007)1"/>
      <sheetName val="Trial_Balance1"/>
      <sheetName val="PAS_-_Deprec_1"/>
      <sheetName val="Parâmetro_de_receita1"/>
      <sheetName val="Fluxo_ufg1"/>
      <sheetName val="Segment_4_Bid_Sheet1"/>
      <sheetName val="1º_semestre_991"/>
      <sheetName val="Inventário_PA1"/>
      <sheetName val="1_sum1"/>
      <sheetName val="inss_terceiros_a_recolher_1"/>
      <sheetName val="T_C_1"/>
      <sheetName val="Cofins_1%1"/>
      <sheetName val="Tab_Translate1"/>
      <sheetName val="Deferred_Tax1"/>
      <sheetName val="Res_Autor_Motivo1"/>
      <sheetName val="Res_Devolv_Motivo1"/>
      <sheetName val="Apl_Financ_1"/>
      <sheetName val="input_11"/>
      <sheetName val="Debt_Sum1"/>
      <sheetName val="Cálculo_Encargos_-_MN1"/>
      <sheetName val="Financeiro_LP1"/>
      <sheetName val="Financeiro_CP1"/>
      <sheetName val="Financeiro_Encargos1"/>
      <sheetName val="Gross_Margin1"/>
      <sheetName val="parám_"/>
      <sheetName val="Intertemporais_PIS_e_COFINS"/>
      <sheetName val="Saldo_Orçamentário"/>
      <sheetName val="DB_R&amp;D_ITA_02-061"/>
      <sheetName val="Configurações_Gerais"/>
      <sheetName val="Remeasurement_Balance6"/>
      <sheetName val="base_filtrada_doc__pagto6"/>
      <sheetName val="ABRIL_20006"/>
      <sheetName val="D1_-_PRA6"/>
      <sheetName val="1_2Base_Previa6"/>
      <sheetName val="E1_3_-_Totalização6"/>
      <sheetName val="K_1_4_-_Itens_Totalm__Deprec_6"/>
      <sheetName val="_Funding_flow6"/>
      <sheetName val="BP_vs_TS6"/>
      <sheetName val="Valores_30_11_20076"/>
      <sheetName val="D_-_PRA6"/>
      <sheetName val="Custo_X_Mercado6"/>
      <sheetName val="ag__tractor6"/>
      <sheetName val="N2_16"/>
      <sheetName val="ACT_006"/>
      <sheetName val="COTAÇÃO_URTJLP6"/>
      <sheetName val="Dep_Moedas_Est6"/>
      <sheetName val="Bancos_31-036"/>
      <sheetName val="Determinação_dos_Parâmetros6"/>
      <sheetName val="NBC_Max6"/>
      <sheetName val="RELATA_VÉIO6"/>
      <sheetName val="Janeiro_20055"/>
      <sheetName val="E4_15"/>
      <sheetName val="Assumptions_-_General5"/>
      <sheetName val="D1_1_-_PRA6"/>
      <sheetName val="OUT02_REPORT6"/>
      <sheetName val="Proyectos_2004_PAIS5"/>
      <sheetName val="ROs_(12)5"/>
      <sheetName val="Adiantamentos_Agosto4"/>
      <sheetName val="ISO_Code5"/>
      <sheetName val="Deter__Parâmetro-Global_Folha4"/>
      <sheetName val="E1_14"/>
      <sheetName val="Orçado_-_Velho4"/>
      <sheetName val="Teste_Drpc4"/>
      <sheetName val="Teste_de_Adições4"/>
      <sheetName val="e&amp;o_por_dep4"/>
      <sheetName val="VALE__REFEIÇÃO3"/>
      <sheetName val="mzo_974"/>
      <sheetName val="Matriz_de_covariância3"/>
      <sheetName val="Diversos_Deb3"/>
      <sheetName val="Anexo_&quot;H&quot;3"/>
      <sheetName val="VEA_Fiscal3"/>
      <sheetName val="Forecast_US$3"/>
      <sheetName val="P3_-_Concil__Bancária_30_09_063"/>
      <sheetName val="31-Bl2-VP_contrato3"/>
      <sheetName val="Painel_de_Controle3"/>
      <sheetName val="Mexico_Detail3"/>
      <sheetName val="tabela_tpo_x_ctas_3"/>
      <sheetName val="ANEXO_133"/>
      <sheetName val="Conteúdo_-_real3"/>
      <sheetName val="Tickmarks_3"/>
      <sheetName val="Base_PA_(moeda_real_dez-2007)3"/>
      <sheetName val="SAB_101_FEV3"/>
      <sheetName val="PORTFOLIO_-BRAZIL3"/>
      <sheetName val="05,06_E_073"/>
      <sheetName val="PAS_-_Deprec_3"/>
      <sheetName val="Parâmetro_de_receita3"/>
      <sheetName val="Trial_Balance3"/>
      <sheetName val="1º_semestre_993"/>
      <sheetName val="Inventário_PA3"/>
      <sheetName val="Fluxo_ufg3"/>
      <sheetName val="Segment_4_Bid_Sheet3"/>
      <sheetName val="1_sum3"/>
      <sheetName val="inss_terceiros_a_recolher_3"/>
      <sheetName val="T_C_3"/>
      <sheetName val="Cofins_1%3"/>
      <sheetName val="Tab_Translate3"/>
      <sheetName val="Deferred_Tax3"/>
      <sheetName val="Res_Autor_Motivo3"/>
      <sheetName val="Res_Devolv_Motivo3"/>
      <sheetName val="Apl_Financ_3"/>
      <sheetName val="input_13"/>
      <sheetName val="Debt_Sum3"/>
      <sheetName val="Gross_Margin3"/>
      <sheetName val="Cálculo_Encargos_-_MN3"/>
      <sheetName val="Financeiro_LP3"/>
      <sheetName val="Financeiro_CP3"/>
      <sheetName val="Financeiro_Encargos3"/>
      <sheetName val="Intertemporais_PIS_e_COFINS2"/>
      <sheetName val="parám_2"/>
      <sheetName val="DB_R&amp;D_ITA_02-063"/>
      <sheetName val="Saldo_Orçamentário2"/>
      <sheetName val="Configurações_Gerais2"/>
      <sheetName val="base_filtrada_doc__pagto5"/>
      <sheetName val="ABRIL_20005"/>
      <sheetName val="Remeasurement_Balance5"/>
      <sheetName val="D1_-_PRA5"/>
      <sheetName val="1_2Base_Previa5"/>
      <sheetName val="K_1_4_-_Itens_Totalm__Deprec_5"/>
      <sheetName val="BP_vs_TS5"/>
      <sheetName val="_Funding_flow5"/>
      <sheetName val="Valores_30_11_20075"/>
      <sheetName val="D_-_PRA5"/>
      <sheetName val="E1_3_-_Totalização5"/>
      <sheetName val="Custo_X_Mercado5"/>
      <sheetName val="ag__tractor5"/>
      <sheetName val="N2_15"/>
      <sheetName val="ACT_005"/>
      <sheetName val="COTAÇÃO_URTJLP5"/>
      <sheetName val="Dep_Moedas_Est5"/>
      <sheetName val="Determinação_dos_Parâmetros5"/>
      <sheetName val="Bancos_31-035"/>
      <sheetName val="NBC_Max5"/>
      <sheetName val="RELATA_VÉIO5"/>
      <sheetName val="D1_1_-_PRA5"/>
      <sheetName val="Proyectos_2004_PAIS4"/>
      <sheetName val="OUT02_REPORT5"/>
      <sheetName val="ROs_(12)4"/>
      <sheetName val="Janeiro_20054"/>
      <sheetName val="E4_14"/>
      <sheetName val="Assumptions_-_General4"/>
      <sheetName val="ISO_Code4"/>
      <sheetName val="Adiantamentos_Agosto3"/>
      <sheetName val="Teste_de_Adições3"/>
      <sheetName val="e&amp;o_por_dep3"/>
      <sheetName val="Deter__Parâmetro-Global_Folha3"/>
      <sheetName val="E1_13"/>
      <sheetName val="Teste_Drpc3"/>
      <sheetName val="mzo_973"/>
      <sheetName val="VALE__REFEIÇÃO2"/>
      <sheetName val="Orçado_-_Velho3"/>
      <sheetName val="Forecast_US$2"/>
      <sheetName val="P3_-_Concil__Bancária_30_09_062"/>
      <sheetName val="Mexico_Detail2"/>
      <sheetName val="Anexo_&quot;H&quot;2"/>
      <sheetName val="tabela_tpo_x_ctas_2"/>
      <sheetName val="VEA_Fiscal2"/>
      <sheetName val="ANEXO_132"/>
      <sheetName val="Diversos_Deb2"/>
      <sheetName val="Matriz_de_covariância2"/>
      <sheetName val="Conteúdo_-_real2"/>
      <sheetName val="31-Bl2-VP_contrato2"/>
      <sheetName val="Painel_de_Controle2"/>
      <sheetName val="05,06_E_072"/>
      <sheetName val="Tickmarks_2"/>
      <sheetName val="PORTFOLIO_-BRAZIL2"/>
      <sheetName val="SAB_101_FEV2"/>
      <sheetName val="Base_PA_(moeda_real_dez-2007)2"/>
      <sheetName val="PAS_-_Deprec_2"/>
      <sheetName val="Trial_Balance2"/>
      <sheetName val="Parâmetro_de_receita2"/>
      <sheetName val="Inventário_PA2"/>
      <sheetName val="Fluxo_ufg2"/>
      <sheetName val="Segment_4_Bid_Sheet2"/>
      <sheetName val="1º_semestre_992"/>
      <sheetName val="T_C_2"/>
      <sheetName val="1_sum2"/>
      <sheetName val="inss_terceiros_a_recolher_2"/>
      <sheetName val="Tab_Translate2"/>
      <sheetName val="Cofins_1%2"/>
      <sheetName val="Res_Autor_Motivo2"/>
      <sheetName val="Res_Devolv_Motivo2"/>
      <sheetName val="Deferred_Tax2"/>
      <sheetName val="Apl_Financ_2"/>
      <sheetName val="input_12"/>
      <sheetName val="Debt_Sum2"/>
      <sheetName val="Gross_Margin2"/>
      <sheetName val="Cálculo_Encargos_-_MN2"/>
      <sheetName val="Financeiro_LP2"/>
      <sheetName val="Financeiro_CP2"/>
      <sheetName val="Financeiro_Encargos2"/>
      <sheetName val="Configurações_Gerais1"/>
      <sheetName val="DB_R&amp;D_ITA_02-062"/>
      <sheetName val="parám_1"/>
      <sheetName val="Saldo_Orçamentário1"/>
      <sheetName val="Intertemporais_PIS_e_COFINS1"/>
      <sheetName val="A"/>
      <sheetName val="B - Book Principal"/>
      <sheetName val="C - Premissas"/>
      <sheetName val="MDF"/>
      <sheetName val="D - Backup"/>
    </sheetNames>
    <sheetDataSet>
      <sheetData sheetId="0" refreshError="1">
        <row r="2">
          <cell r="B2" t="str">
            <v>PETROBRAS - PETRÓLEO BRASILEIRO S.A.</v>
          </cell>
        </row>
        <row r="4">
          <cell r="B4" t="str">
            <v>VENDAS BRUTAS - SUBSIDIÁRIAS</v>
          </cell>
        </row>
        <row r="6">
          <cell r="C6" t="str">
            <v>JAN</v>
          </cell>
          <cell r="D6" t="str">
            <v>FEV</v>
          </cell>
          <cell r="E6" t="str">
            <v>MAR</v>
          </cell>
          <cell r="F6" t="str">
            <v>1º TRIM</v>
          </cell>
          <cell r="G6" t="str">
            <v>ABR</v>
          </cell>
          <cell r="H6" t="str">
            <v>MAI</v>
          </cell>
          <cell r="I6" t="str">
            <v>JUN</v>
          </cell>
          <cell r="J6" t="str">
            <v>2º TRIM</v>
          </cell>
          <cell r="K6" t="str">
            <v>1º SEM</v>
          </cell>
          <cell r="L6" t="str">
            <v>JUL</v>
          </cell>
          <cell r="M6" t="str">
            <v>AGO</v>
          </cell>
          <cell r="N6" t="str">
            <v>SET</v>
          </cell>
          <cell r="O6" t="str">
            <v>3º TRIM</v>
          </cell>
          <cell r="P6" t="str">
            <v>OUT</v>
          </cell>
          <cell r="Q6" t="str">
            <v>NOV</v>
          </cell>
          <cell r="R6" t="str">
            <v>DEZ</v>
          </cell>
          <cell r="S6" t="str">
            <v>4º TRIM</v>
          </cell>
          <cell r="T6" t="str">
            <v>2º SEM</v>
          </cell>
          <cell r="U6" t="str">
            <v>T O T A L</v>
          </cell>
        </row>
        <row r="7">
          <cell r="B7" t="str">
            <v>A - MERCADO INTERNO</v>
          </cell>
          <cell r="C7" t="str">
            <v/>
          </cell>
          <cell r="D7" t="str">
            <v/>
          </cell>
          <cell r="E7" t="str">
            <v/>
          </cell>
          <cell r="F7" t="str">
            <v/>
          </cell>
        </row>
        <row r="8">
          <cell r="B8" t="str">
            <v>Petrobras Dist.  BR</v>
          </cell>
          <cell r="C8">
            <v>452253</v>
          </cell>
          <cell r="D8">
            <v>432798</v>
          </cell>
          <cell r="E8">
            <v>440109</v>
          </cell>
          <cell r="F8">
            <v>1325160</v>
          </cell>
          <cell r="G8">
            <v>493616</v>
          </cell>
          <cell r="H8">
            <v>506895</v>
          </cell>
          <cell r="I8">
            <v>484911</v>
          </cell>
          <cell r="J8">
            <v>0</v>
          </cell>
          <cell r="K8">
            <v>1325160</v>
          </cell>
          <cell r="L8">
            <v>515320</v>
          </cell>
          <cell r="M8">
            <v>496509</v>
          </cell>
          <cell r="N8">
            <v>504769</v>
          </cell>
          <cell r="O8">
            <v>0</v>
          </cell>
          <cell r="P8">
            <v>558512</v>
          </cell>
          <cell r="Q8">
            <v>524648</v>
          </cell>
          <cell r="R8">
            <v>535856</v>
          </cell>
          <cell r="S8">
            <v>0</v>
          </cell>
          <cell r="T8">
            <v>0</v>
          </cell>
          <cell r="U8">
            <v>1325160</v>
          </cell>
        </row>
        <row r="9">
          <cell r="B9" t="str">
            <v>Ajuste</v>
          </cell>
          <cell r="C9">
            <v>-30687</v>
          </cell>
          <cell r="D9">
            <v>-31185</v>
          </cell>
          <cell r="E9">
            <v>-35653</v>
          </cell>
          <cell r="F9">
            <v>-97525</v>
          </cell>
          <cell r="G9">
            <v>493616</v>
          </cell>
          <cell r="H9">
            <v>506895</v>
          </cell>
          <cell r="I9">
            <v>484911</v>
          </cell>
          <cell r="J9">
            <v>0</v>
          </cell>
          <cell r="K9">
            <v>-97525</v>
          </cell>
          <cell r="L9">
            <v>515320</v>
          </cell>
          <cell r="M9">
            <v>496509</v>
          </cell>
          <cell r="N9">
            <v>504769</v>
          </cell>
          <cell r="O9">
            <v>0</v>
          </cell>
          <cell r="P9">
            <v>0</v>
          </cell>
          <cell r="Q9">
            <v>0</v>
          </cell>
          <cell r="R9">
            <v>0</v>
          </cell>
          <cell r="S9">
            <v>0</v>
          </cell>
          <cell r="T9">
            <v>0</v>
          </cell>
          <cell r="U9">
            <v>-97525</v>
          </cell>
        </row>
        <row r="10">
          <cell r="B10" t="str">
            <v>Sub-total</v>
          </cell>
          <cell r="C10">
            <v>421566</v>
          </cell>
          <cell r="D10">
            <v>401613</v>
          </cell>
          <cell r="E10">
            <v>404456</v>
          </cell>
          <cell r="F10">
            <v>1227635</v>
          </cell>
          <cell r="G10">
            <v>0</v>
          </cell>
          <cell r="H10">
            <v>0</v>
          </cell>
          <cell r="I10">
            <v>0</v>
          </cell>
          <cell r="J10">
            <v>0</v>
          </cell>
          <cell r="K10">
            <v>1227635</v>
          </cell>
          <cell r="L10">
            <v>0</v>
          </cell>
          <cell r="M10">
            <v>0</v>
          </cell>
          <cell r="N10">
            <v>0</v>
          </cell>
          <cell r="O10">
            <v>0</v>
          </cell>
          <cell r="P10">
            <v>0</v>
          </cell>
          <cell r="Q10">
            <v>0</v>
          </cell>
          <cell r="R10">
            <v>0</v>
          </cell>
          <cell r="S10">
            <v>0</v>
          </cell>
          <cell r="T10">
            <v>0</v>
          </cell>
          <cell r="U10">
            <v>1227635</v>
          </cell>
        </row>
        <row r="11">
          <cell r="B11" t="str">
            <v>B - MERCADO EXTERNO</v>
          </cell>
        </row>
        <row r="12">
          <cell r="B12" t="str">
            <v>B - MERCADO EXTERNO</v>
          </cell>
          <cell r="C12">
            <v>32036</v>
          </cell>
          <cell r="D12">
            <v>13061</v>
          </cell>
          <cell r="E12">
            <v>21647</v>
          </cell>
          <cell r="F12">
            <v>66744</v>
          </cell>
          <cell r="G12">
            <v>20826</v>
          </cell>
          <cell r="H12">
            <v>47657</v>
          </cell>
          <cell r="I12">
            <v>23667</v>
          </cell>
          <cell r="J12">
            <v>92150</v>
          </cell>
          <cell r="K12">
            <v>158894</v>
          </cell>
          <cell r="L12">
            <v>39929</v>
          </cell>
          <cell r="M12">
            <v>26817</v>
          </cell>
          <cell r="N12">
            <v>43400</v>
          </cell>
          <cell r="O12">
            <v>110146</v>
          </cell>
          <cell r="P12">
            <v>15286</v>
          </cell>
          <cell r="Q12">
            <v>23950</v>
          </cell>
          <cell r="R12">
            <v>23349</v>
          </cell>
          <cell r="S12">
            <v>0</v>
          </cell>
          <cell r="T12">
            <v>110146</v>
          </cell>
          <cell r="U12">
            <v>269040</v>
          </cell>
        </row>
        <row r="13">
          <cell r="B13" t="str">
            <v>Brasoil</v>
          </cell>
          <cell r="C13">
            <v>32036</v>
          </cell>
          <cell r="D13">
            <v>13061</v>
          </cell>
          <cell r="E13">
            <v>21647</v>
          </cell>
          <cell r="F13">
            <v>66744</v>
          </cell>
          <cell r="G13">
            <v>20826</v>
          </cell>
          <cell r="H13">
            <v>47657</v>
          </cell>
          <cell r="I13">
            <v>23667</v>
          </cell>
          <cell r="J13">
            <v>0</v>
          </cell>
          <cell r="K13">
            <v>66744</v>
          </cell>
          <cell r="L13">
            <v>39929</v>
          </cell>
          <cell r="M13">
            <v>26817</v>
          </cell>
          <cell r="N13">
            <v>43400</v>
          </cell>
          <cell r="O13">
            <v>0</v>
          </cell>
          <cell r="P13">
            <v>0</v>
          </cell>
          <cell r="Q13">
            <v>0</v>
          </cell>
          <cell r="R13">
            <v>0</v>
          </cell>
          <cell r="S13">
            <v>0</v>
          </cell>
          <cell r="T13">
            <v>0</v>
          </cell>
          <cell r="U13">
            <v>66744</v>
          </cell>
        </row>
        <row r="14">
          <cell r="B14" t="str">
            <v>Sub-total</v>
          </cell>
          <cell r="C14">
            <v>32036</v>
          </cell>
          <cell r="D14">
            <v>13061</v>
          </cell>
          <cell r="E14">
            <v>21647</v>
          </cell>
          <cell r="F14">
            <v>66744</v>
          </cell>
          <cell r="G14">
            <v>0</v>
          </cell>
          <cell r="H14">
            <v>0</v>
          </cell>
          <cell r="I14">
            <v>0</v>
          </cell>
          <cell r="J14">
            <v>0</v>
          </cell>
          <cell r="K14">
            <v>66744</v>
          </cell>
          <cell r="L14">
            <v>0</v>
          </cell>
          <cell r="M14">
            <v>0</v>
          </cell>
          <cell r="N14">
            <v>0</v>
          </cell>
          <cell r="O14">
            <v>0</v>
          </cell>
          <cell r="P14">
            <v>0</v>
          </cell>
          <cell r="Q14">
            <v>0</v>
          </cell>
          <cell r="R14">
            <v>0</v>
          </cell>
          <cell r="S14">
            <v>0</v>
          </cell>
          <cell r="T14">
            <v>0</v>
          </cell>
          <cell r="U14">
            <v>66744</v>
          </cell>
        </row>
        <row r="15">
          <cell r="B15" t="str">
            <v>C - PRESTAÇÃO DE SERVIÇOS</v>
          </cell>
        </row>
        <row r="16">
          <cell r="B16" t="str">
            <v>C - PRESTAÇÃO DE SERVIÇOS</v>
          </cell>
          <cell r="C16">
            <v>0</v>
          </cell>
          <cell r="D16">
            <v>0</v>
          </cell>
          <cell r="E16">
            <v>145</v>
          </cell>
          <cell r="F16">
            <v>145</v>
          </cell>
          <cell r="G16">
            <v>484</v>
          </cell>
          <cell r="H16">
            <v>138</v>
          </cell>
          <cell r="I16">
            <v>222</v>
          </cell>
          <cell r="J16">
            <v>844</v>
          </cell>
          <cell r="K16">
            <v>989</v>
          </cell>
          <cell r="L16">
            <v>286</v>
          </cell>
          <cell r="M16">
            <v>241.5</v>
          </cell>
          <cell r="N16">
            <v>488.6</v>
          </cell>
          <cell r="O16">
            <v>1016.1</v>
          </cell>
          <cell r="P16">
            <v>1103</v>
          </cell>
          <cell r="Q16">
            <v>292</v>
          </cell>
          <cell r="R16">
            <v>286</v>
          </cell>
          <cell r="S16">
            <v>0</v>
          </cell>
          <cell r="T16">
            <v>1016.1</v>
          </cell>
          <cell r="U16">
            <v>2005.1</v>
          </cell>
        </row>
        <row r="17">
          <cell r="B17" t="str">
            <v>Petrobrás Dist.  BR</v>
          </cell>
          <cell r="C17">
            <v>0</v>
          </cell>
          <cell r="D17">
            <v>0</v>
          </cell>
          <cell r="E17">
            <v>145</v>
          </cell>
          <cell r="F17">
            <v>145</v>
          </cell>
          <cell r="G17">
            <v>484</v>
          </cell>
          <cell r="H17">
            <v>138</v>
          </cell>
          <cell r="I17">
            <v>222</v>
          </cell>
          <cell r="J17">
            <v>0</v>
          </cell>
          <cell r="K17">
            <v>145</v>
          </cell>
          <cell r="L17">
            <v>286</v>
          </cell>
          <cell r="M17">
            <v>241.5</v>
          </cell>
          <cell r="N17">
            <v>488.6</v>
          </cell>
          <cell r="O17">
            <v>0</v>
          </cell>
          <cell r="P17">
            <v>0</v>
          </cell>
          <cell r="Q17">
            <v>0</v>
          </cell>
          <cell r="R17">
            <v>0</v>
          </cell>
          <cell r="S17">
            <v>0</v>
          </cell>
          <cell r="T17">
            <v>0</v>
          </cell>
          <cell r="U17">
            <v>145</v>
          </cell>
        </row>
        <row r="18">
          <cell r="B18" t="str">
            <v>Sub-total</v>
          </cell>
          <cell r="C18">
            <v>0</v>
          </cell>
          <cell r="D18">
            <v>0</v>
          </cell>
          <cell r="E18">
            <v>145</v>
          </cell>
          <cell r="F18">
            <v>145</v>
          </cell>
          <cell r="G18">
            <v>0</v>
          </cell>
          <cell r="H18">
            <v>0</v>
          </cell>
          <cell r="I18">
            <v>0</v>
          </cell>
          <cell r="J18">
            <v>0</v>
          </cell>
          <cell r="K18">
            <v>145</v>
          </cell>
          <cell r="L18">
            <v>0</v>
          </cell>
          <cell r="M18">
            <v>0</v>
          </cell>
          <cell r="N18">
            <v>0</v>
          </cell>
          <cell r="O18">
            <v>0</v>
          </cell>
          <cell r="P18">
            <v>0</v>
          </cell>
          <cell r="Q18">
            <v>0</v>
          </cell>
          <cell r="R18">
            <v>0</v>
          </cell>
          <cell r="S18">
            <v>0</v>
          </cell>
          <cell r="T18">
            <v>0</v>
          </cell>
          <cell r="U18">
            <v>145</v>
          </cell>
        </row>
        <row r="19">
          <cell r="B19" t="str">
            <v>T O T A L</v>
          </cell>
          <cell r="C19">
            <v>473228</v>
          </cell>
          <cell r="D19">
            <v>435158</v>
          </cell>
          <cell r="E19">
            <v>450754</v>
          </cell>
          <cell r="F19">
            <v>1359140</v>
          </cell>
          <cell r="G19">
            <v>514926</v>
          </cell>
          <cell r="H19">
            <v>554690</v>
          </cell>
          <cell r="I19">
            <v>508800</v>
          </cell>
          <cell r="J19">
            <v>1578416</v>
          </cell>
          <cell r="K19">
            <v>2937556</v>
          </cell>
          <cell r="L19">
            <v>555535</v>
          </cell>
          <cell r="M19">
            <v>523567.5</v>
          </cell>
          <cell r="N19">
            <v>548657.6</v>
          </cell>
          <cell r="O19">
            <v>1627760.1</v>
          </cell>
          <cell r="P19">
            <v>0</v>
          </cell>
          <cell r="Q19">
            <v>0</v>
          </cell>
          <cell r="R19">
            <v>0</v>
          </cell>
          <cell r="S19">
            <v>0</v>
          </cell>
          <cell r="T19">
            <v>1627760.1</v>
          </cell>
          <cell r="U19">
            <v>4565316.0999999996</v>
          </cell>
        </row>
        <row r="20">
          <cell r="B20" t="str">
            <v>T O T A L</v>
          </cell>
          <cell r="C20">
            <v>453602</v>
          </cell>
          <cell r="D20">
            <v>414674</v>
          </cell>
          <cell r="E20">
            <v>426248</v>
          </cell>
          <cell r="F20">
            <v>1294524</v>
          </cell>
          <cell r="G20">
            <v>0</v>
          </cell>
          <cell r="H20">
            <v>0</v>
          </cell>
          <cell r="I20">
            <v>0</v>
          </cell>
          <cell r="J20">
            <v>0</v>
          </cell>
          <cell r="K20">
            <v>1294524</v>
          </cell>
          <cell r="L20">
            <v>0</v>
          </cell>
          <cell r="M20">
            <v>0</v>
          </cell>
          <cell r="N20">
            <v>0</v>
          </cell>
          <cell r="O20">
            <v>0</v>
          </cell>
          <cell r="P20">
            <v>0</v>
          </cell>
          <cell r="Q20">
            <v>0</v>
          </cell>
          <cell r="R20">
            <v>0</v>
          </cell>
          <cell r="S20">
            <v>0</v>
          </cell>
          <cell r="T20">
            <v>0</v>
          </cell>
          <cell r="U20">
            <v>1294524</v>
          </cell>
        </row>
        <row r="21">
          <cell r="B21" t="str">
            <v>E - ENCARGOS</v>
          </cell>
          <cell r="C21" t="str">
            <v/>
          </cell>
          <cell r="D21" t="str">
            <v/>
          </cell>
          <cell r="E21" t="str">
            <v/>
          </cell>
          <cell r="F21" t="str">
            <v/>
          </cell>
          <cell r="G21" t="str">
            <v/>
          </cell>
          <cell r="H21" t="str">
            <v/>
          </cell>
          <cell r="I21" t="str">
            <v/>
          </cell>
          <cell r="J21" t="str">
            <v/>
          </cell>
          <cell r="K21" t="str">
            <v/>
          </cell>
          <cell r="L21" t="str">
            <v/>
          </cell>
          <cell r="M21" t="str">
            <v/>
          </cell>
          <cell r="N21" t="str">
            <v/>
          </cell>
          <cell r="O21" t="str">
            <v/>
          </cell>
          <cell r="P21" t="str">
            <v/>
          </cell>
          <cell r="Q21" t="str">
            <v/>
          </cell>
          <cell r="R21" t="str">
            <v/>
          </cell>
          <cell r="S21" t="str">
            <v/>
          </cell>
          <cell r="T21" t="str">
            <v/>
          </cell>
          <cell r="U21" t="str">
            <v/>
          </cell>
        </row>
        <row r="22">
          <cell r="B22" t="str">
            <v>E - ENCARGOS</v>
          </cell>
          <cell r="C22" t="str">
            <v/>
          </cell>
          <cell r="D22" t="str">
            <v/>
          </cell>
          <cell r="E22" t="str">
            <v/>
          </cell>
          <cell r="F22" t="str">
            <v/>
          </cell>
          <cell r="G22" t="str">
            <v/>
          </cell>
          <cell r="H22" t="str">
            <v/>
          </cell>
          <cell r="I22" t="str">
            <v/>
          </cell>
          <cell r="J22" t="str">
            <v/>
          </cell>
          <cell r="K22" t="str">
            <v/>
          </cell>
          <cell r="L22" t="str">
            <v/>
          </cell>
          <cell r="M22" t="str">
            <v/>
          </cell>
          <cell r="N22" t="str">
            <v/>
          </cell>
          <cell r="O22" t="str">
            <v/>
          </cell>
          <cell r="P22" t="str">
            <v/>
          </cell>
          <cell r="Q22" t="str">
            <v/>
          </cell>
          <cell r="R22" t="str">
            <v/>
          </cell>
          <cell r="S22" t="str">
            <v/>
          </cell>
          <cell r="T22" t="str">
            <v/>
          </cell>
          <cell r="U22" t="str">
            <v/>
          </cell>
        </row>
        <row r="23">
          <cell r="B23" t="str">
            <v>1. IPI</v>
          </cell>
          <cell r="C23">
            <v>63975</v>
          </cell>
          <cell r="D23">
            <v>60204</v>
          </cell>
          <cell r="E23">
            <v>59092</v>
          </cell>
          <cell r="F23">
            <v>0</v>
          </cell>
          <cell r="G23">
            <v>83516</v>
          </cell>
          <cell r="H23">
            <v>80817</v>
          </cell>
          <cell r="I23">
            <v>80750</v>
          </cell>
          <cell r="J23">
            <v>0</v>
          </cell>
          <cell r="K23">
            <v>0</v>
          </cell>
          <cell r="L23">
            <v>88723</v>
          </cell>
          <cell r="M23">
            <v>78874</v>
          </cell>
          <cell r="N23">
            <v>82293</v>
          </cell>
          <cell r="O23">
            <v>0</v>
          </cell>
          <cell r="P23">
            <v>90281</v>
          </cell>
          <cell r="Q23">
            <v>85767</v>
          </cell>
          <cell r="R23">
            <v>109550</v>
          </cell>
          <cell r="S23">
            <v>0</v>
          </cell>
          <cell r="T23">
            <v>0</v>
          </cell>
          <cell r="U23">
            <v>0</v>
          </cell>
        </row>
        <row r="24">
          <cell r="B24" t="str">
            <v>2. F U P</v>
          </cell>
          <cell r="C24">
            <v>63975</v>
          </cell>
          <cell r="D24">
            <v>60204</v>
          </cell>
          <cell r="E24">
            <v>59092</v>
          </cell>
          <cell r="F24">
            <v>183271</v>
          </cell>
          <cell r="G24">
            <v>76112</v>
          </cell>
          <cell r="H24">
            <v>73797</v>
          </cell>
          <cell r="I24">
            <v>68841</v>
          </cell>
          <cell r="J24">
            <v>0</v>
          </cell>
          <cell r="K24">
            <v>183271</v>
          </cell>
          <cell r="L24">
            <v>70323</v>
          </cell>
          <cell r="M24">
            <v>70523</v>
          </cell>
          <cell r="N24">
            <v>68409</v>
          </cell>
          <cell r="O24">
            <v>0</v>
          </cell>
          <cell r="P24">
            <v>78984</v>
          </cell>
          <cell r="Q24">
            <v>69230</v>
          </cell>
          <cell r="R24">
            <v>72238</v>
          </cell>
          <cell r="S24">
            <v>0</v>
          </cell>
          <cell r="T24">
            <v>0</v>
          </cell>
          <cell r="U24">
            <v>183271</v>
          </cell>
        </row>
        <row r="25">
          <cell r="B25" t="str">
            <v>3. I C M S</v>
          </cell>
          <cell r="C25">
            <v>60123</v>
          </cell>
          <cell r="D25">
            <v>58047</v>
          </cell>
          <cell r="E25">
            <v>61596</v>
          </cell>
          <cell r="F25">
            <v>179766</v>
          </cell>
          <cell r="G25">
            <v>-9007</v>
          </cell>
          <cell r="H25">
            <v>-10841</v>
          </cell>
          <cell r="I25">
            <v>-9775</v>
          </cell>
          <cell r="J25">
            <v>0</v>
          </cell>
          <cell r="K25">
            <v>179766</v>
          </cell>
          <cell r="L25">
            <v>-10819</v>
          </cell>
          <cell r="M25">
            <v>-10557</v>
          </cell>
          <cell r="N25">
            <v>-11054</v>
          </cell>
          <cell r="O25">
            <v>0</v>
          </cell>
          <cell r="P25">
            <v>-11462</v>
          </cell>
          <cell r="Q25">
            <v>-11579</v>
          </cell>
          <cell r="R25">
            <v>-5475</v>
          </cell>
          <cell r="S25">
            <v>0</v>
          </cell>
          <cell r="T25">
            <v>0</v>
          </cell>
          <cell r="U25">
            <v>179766</v>
          </cell>
        </row>
        <row r="26">
          <cell r="B26" t="str">
            <v>5. F U P A</v>
          </cell>
          <cell r="C26">
            <v>-11176</v>
          </cell>
          <cell r="D26">
            <v>-11130</v>
          </cell>
          <cell r="E26">
            <v>-11561</v>
          </cell>
          <cell r="F26">
            <v>-33867</v>
          </cell>
          <cell r="G26">
            <v>3208</v>
          </cell>
          <cell r="H26">
            <v>3295</v>
          </cell>
          <cell r="I26">
            <v>3152</v>
          </cell>
          <cell r="J26">
            <v>0</v>
          </cell>
          <cell r="K26">
            <v>-33867</v>
          </cell>
          <cell r="L26">
            <v>3380</v>
          </cell>
          <cell r="M26">
            <v>3227</v>
          </cell>
          <cell r="N26">
            <v>3280.9</v>
          </cell>
          <cell r="O26">
            <v>0</v>
          </cell>
          <cell r="P26">
            <v>3630</v>
          </cell>
          <cell r="Q26">
            <v>3407</v>
          </cell>
          <cell r="R26">
            <v>3483</v>
          </cell>
          <cell r="S26">
            <v>0</v>
          </cell>
          <cell r="T26">
            <v>0</v>
          </cell>
          <cell r="U26">
            <v>-33867</v>
          </cell>
        </row>
        <row r="27">
          <cell r="B27" t="str">
            <v>6. P A S E P</v>
          </cell>
          <cell r="C27">
            <v>2868</v>
          </cell>
          <cell r="D27">
            <v>2744</v>
          </cell>
          <cell r="E27">
            <v>2788</v>
          </cell>
          <cell r="F27">
            <v>8400</v>
          </cell>
          <cell r="G27">
            <v>9872</v>
          </cell>
          <cell r="H27">
            <v>10138</v>
          </cell>
          <cell r="I27">
            <v>9699</v>
          </cell>
          <cell r="J27">
            <v>0</v>
          </cell>
          <cell r="K27">
            <v>8400</v>
          </cell>
          <cell r="L27">
            <v>10401.200000000001</v>
          </cell>
          <cell r="M27">
            <v>9930.4</v>
          </cell>
          <cell r="N27">
            <v>10095.299999999999</v>
          </cell>
          <cell r="O27">
            <v>0</v>
          </cell>
          <cell r="P27">
            <v>11170</v>
          </cell>
          <cell r="Q27">
            <v>10483</v>
          </cell>
          <cell r="R27">
            <v>10717</v>
          </cell>
          <cell r="S27">
            <v>0</v>
          </cell>
          <cell r="T27">
            <v>0</v>
          </cell>
          <cell r="U27">
            <v>8400</v>
          </cell>
        </row>
        <row r="28">
          <cell r="B28" t="str">
            <v>7. C O F I N S</v>
          </cell>
          <cell r="C28">
            <v>8824</v>
          </cell>
          <cell r="D28">
            <v>8442</v>
          </cell>
          <cell r="E28">
            <v>8579</v>
          </cell>
          <cell r="F28">
            <v>25845</v>
          </cell>
          <cell r="G28">
            <v>1</v>
          </cell>
          <cell r="H28">
            <v>2</v>
          </cell>
          <cell r="I28">
            <v>2</v>
          </cell>
          <cell r="J28">
            <v>0</v>
          </cell>
          <cell r="K28">
            <v>25845</v>
          </cell>
          <cell r="L28">
            <v>2.4</v>
          </cell>
          <cell r="M28">
            <v>1.2</v>
          </cell>
          <cell r="N28">
            <v>1.6</v>
          </cell>
          <cell r="O28">
            <v>0</v>
          </cell>
          <cell r="P28">
            <v>27</v>
          </cell>
          <cell r="Q28">
            <v>2</v>
          </cell>
          <cell r="R28">
            <v>2</v>
          </cell>
          <cell r="S28">
            <v>0</v>
          </cell>
          <cell r="T28">
            <v>0</v>
          </cell>
          <cell r="U28">
            <v>25845</v>
          </cell>
        </row>
        <row r="29">
          <cell r="B29" t="str">
            <v>8. Outros</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row>
        <row r="30">
          <cell r="B30" t="str">
            <v>T O T A L</v>
          </cell>
          <cell r="C30">
            <v>124614</v>
          </cell>
          <cell r="D30">
            <v>118307</v>
          </cell>
          <cell r="E30">
            <v>120497</v>
          </cell>
          <cell r="F30">
            <v>363418</v>
          </cell>
          <cell r="G30">
            <v>163702</v>
          </cell>
          <cell r="H30">
            <v>157208</v>
          </cell>
          <cell r="I30">
            <v>152669</v>
          </cell>
          <cell r="J30">
            <v>473579</v>
          </cell>
          <cell r="K30">
            <v>836997</v>
          </cell>
          <cell r="L30">
            <v>162010.6</v>
          </cell>
          <cell r="M30">
            <v>151998.6</v>
          </cell>
          <cell r="N30">
            <v>153025.79999999999</v>
          </cell>
          <cell r="O30">
            <v>467035.00000000006</v>
          </cell>
          <cell r="P30">
            <v>0</v>
          </cell>
          <cell r="Q30">
            <v>0</v>
          </cell>
          <cell r="R30">
            <v>0</v>
          </cell>
          <cell r="S30">
            <v>0</v>
          </cell>
          <cell r="T30">
            <v>467035.00000000006</v>
          </cell>
          <cell r="U30">
            <v>1304031.9999999998</v>
          </cell>
        </row>
        <row r="31">
          <cell r="B31" t="str">
            <v>T O T A L</v>
          </cell>
          <cell r="C31">
            <v>124614</v>
          </cell>
          <cell r="D31">
            <v>118307</v>
          </cell>
          <cell r="E31">
            <v>120494</v>
          </cell>
          <cell r="F31">
            <v>363415</v>
          </cell>
          <cell r="G31">
            <v>0</v>
          </cell>
          <cell r="H31">
            <v>0</v>
          </cell>
          <cell r="I31">
            <v>0</v>
          </cell>
          <cell r="J31">
            <v>0</v>
          </cell>
          <cell r="K31">
            <v>363415</v>
          </cell>
          <cell r="L31">
            <v>0</v>
          </cell>
          <cell r="M31">
            <v>0</v>
          </cell>
          <cell r="N31">
            <v>0</v>
          </cell>
          <cell r="O31">
            <v>0</v>
          </cell>
          <cell r="P31">
            <v>0</v>
          </cell>
          <cell r="Q31">
            <v>0</v>
          </cell>
          <cell r="R31">
            <v>0</v>
          </cell>
          <cell r="S31">
            <v>0</v>
          </cell>
          <cell r="T31">
            <v>0</v>
          </cell>
          <cell r="U31">
            <v>363415</v>
          </cell>
        </row>
        <row r="32">
          <cell r="B32" t="str">
            <v>F - VENDAS LIQUIDAS</v>
          </cell>
          <cell r="C32">
            <v>348614</v>
          </cell>
          <cell r="D32">
            <v>316851</v>
          </cell>
          <cell r="E32">
            <v>330257</v>
          </cell>
          <cell r="F32">
            <v>995722</v>
          </cell>
          <cell r="G32">
            <v>351224</v>
          </cell>
          <cell r="H32">
            <v>397482</v>
          </cell>
          <cell r="I32">
            <v>356131</v>
          </cell>
          <cell r="J32">
            <v>1104837</v>
          </cell>
          <cell r="K32">
            <v>2100559</v>
          </cell>
          <cell r="L32">
            <v>393524.4</v>
          </cell>
          <cell r="M32">
            <v>371568.9</v>
          </cell>
          <cell r="N32">
            <v>395631.8</v>
          </cell>
          <cell r="O32">
            <v>1160725.1000000001</v>
          </cell>
          <cell r="P32">
            <v>0</v>
          </cell>
          <cell r="Q32">
            <v>0</v>
          </cell>
          <cell r="R32">
            <v>0</v>
          </cell>
          <cell r="S32">
            <v>0</v>
          </cell>
          <cell r="T32">
            <v>1160725.1000000001</v>
          </cell>
          <cell r="U32">
            <v>3261284.0999999996</v>
          </cell>
        </row>
        <row r="33">
          <cell r="B33" t="str">
            <v>F - VENDAS LIQUIDAS</v>
          </cell>
          <cell r="C33">
            <v>328988</v>
          </cell>
          <cell r="D33">
            <v>296367</v>
          </cell>
          <cell r="E33">
            <v>305754</v>
          </cell>
          <cell r="F33">
            <v>931109</v>
          </cell>
          <cell r="G33">
            <v>0</v>
          </cell>
          <cell r="H33">
            <v>0</v>
          </cell>
          <cell r="I33">
            <v>0</v>
          </cell>
          <cell r="J33">
            <v>0</v>
          </cell>
          <cell r="K33">
            <v>931109</v>
          </cell>
          <cell r="L33">
            <v>0</v>
          </cell>
          <cell r="M33">
            <v>0</v>
          </cell>
          <cell r="N33">
            <v>0</v>
          </cell>
          <cell r="O33">
            <v>0</v>
          </cell>
          <cell r="P33">
            <v>0</v>
          </cell>
          <cell r="Q33">
            <v>0</v>
          </cell>
          <cell r="R33">
            <v>0</v>
          </cell>
          <cell r="S33">
            <v>0</v>
          </cell>
          <cell r="T33">
            <v>0</v>
          </cell>
          <cell r="U33">
            <v>931109</v>
          </cell>
        </row>
        <row r="45">
          <cell r="B45" t="str">
            <v>PETROBRAS - PETRÓLEO BRASILEIRO S.A.</v>
          </cell>
        </row>
        <row r="46">
          <cell r="B46" t="str">
            <v>PETROBRAS - PETRÓLEO BRASILEIRO S.A.</v>
          </cell>
        </row>
        <row r="47">
          <cell r="B47" t="str">
            <v>VENDAS BRUTAS - SUBSIDIÁRIAS - VALORES CORRIGIDOS</v>
          </cell>
        </row>
        <row r="48">
          <cell r="B48" t="str">
            <v>VENDAS BRUTAS - SUBSIDIÁRIAS - VALORES CORRIGIDOS</v>
          </cell>
        </row>
        <row r="49">
          <cell r="C49" t="str">
            <v>JAN</v>
          </cell>
          <cell r="D49" t="str">
            <v>FEV</v>
          </cell>
          <cell r="E49" t="str">
            <v>MAR</v>
          </cell>
          <cell r="F49" t="str">
            <v>1º TRIM</v>
          </cell>
          <cell r="G49" t="str">
            <v>ABR</v>
          </cell>
          <cell r="H49" t="str">
            <v>MAI</v>
          </cell>
          <cell r="I49" t="str">
            <v>JUN</v>
          </cell>
          <cell r="J49" t="str">
            <v>2º TRIM</v>
          </cell>
          <cell r="K49" t="str">
            <v>1º SEM</v>
          </cell>
          <cell r="L49" t="str">
            <v>JUL</v>
          </cell>
          <cell r="M49" t="str">
            <v>AGO</v>
          </cell>
          <cell r="N49" t="str">
            <v>SET</v>
          </cell>
          <cell r="O49" t="str">
            <v>3º TRIM</v>
          </cell>
          <cell r="P49" t="str">
            <v>OUT</v>
          </cell>
          <cell r="Q49" t="str">
            <v>NOV</v>
          </cell>
          <cell r="R49" t="str">
            <v>DEZ</v>
          </cell>
          <cell r="S49" t="str">
            <v>4º TRIM</v>
          </cell>
          <cell r="T49" t="str">
            <v>2º SEM</v>
          </cell>
          <cell r="U49" t="str">
            <v>T O T A L</v>
          </cell>
        </row>
        <row r="50">
          <cell r="B50" t="str">
            <v>A - MERCADO INTERNO</v>
          </cell>
          <cell r="C50" t="str">
            <v>JAN</v>
          </cell>
          <cell r="D50" t="str">
            <v>FEV</v>
          </cell>
          <cell r="E50" t="str">
            <v>MAR</v>
          </cell>
          <cell r="F50" t="str">
            <v>1º TRIM</v>
          </cell>
          <cell r="G50" t="str">
            <v>ABR</v>
          </cell>
          <cell r="H50" t="str">
            <v>MAI</v>
          </cell>
          <cell r="I50" t="str">
            <v>JUN</v>
          </cell>
          <cell r="J50" t="str">
            <v>2º TRIM</v>
          </cell>
          <cell r="K50" t="str">
            <v>1º SEM</v>
          </cell>
          <cell r="L50" t="str">
            <v>JUL</v>
          </cell>
          <cell r="M50" t="str">
            <v>AGO</v>
          </cell>
          <cell r="N50" t="str">
            <v>SET</v>
          </cell>
          <cell r="O50" t="str">
            <v>3º TRIM</v>
          </cell>
          <cell r="P50" t="str">
            <v>OUT</v>
          </cell>
          <cell r="Q50" t="str">
            <v>NOV</v>
          </cell>
          <cell r="R50" t="str">
            <v>DEZ</v>
          </cell>
          <cell r="S50" t="str">
            <v>4º TRIM</v>
          </cell>
          <cell r="T50" t="str">
            <v>2º SEM</v>
          </cell>
          <cell r="U50" t="str">
            <v>T O T A L</v>
          </cell>
        </row>
        <row r="51">
          <cell r="B51" t="str">
            <v>A - MERCADO INTERNO</v>
          </cell>
          <cell r="C51" t="str">
            <v/>
          </cell>
          <cell r="D51" t="str">
            <v/>
          </cell>
          <cell r="E51" t="str">
            <v/>
          </cell>
          <cell r="F51" t="str">
            <v/>
          </cell>
          <cell r="G51">
            <v>510882</v>
          </cell>
          <cell r="H51">
            <v>520183</v>
          </cell>
          <cell r="I51">
            <v>490007</v>
          </cell>
          <cell r="J51">
            <v>1521072</v>
          </cell>
          <cell r="K51">
            <v>2879902</v>
          </cell>
          <cell r="L51">
            <v>455904</v>
          </cell>
          <cell r="M51">
            <v>439262</v>
          </cell>
          <cell r="N51">
            <v>446569</v>
          </cell>
          <cell r="O51">
            <v>1341735</v>
          </cell>
          <cell r="P51">
            <v>0</v>
          </cell>
          <cell r="Q51">
            <v>0</v>
          </cell>
          <cell r="R51">
            <v>0</v>
          </cell>
          <cell r="S51">
            <v>0</v>
          </cell>
          <cell r="T51">
            <v>1341735</v>
          </cell>
          <cell r="U51">
            <v>4221637</v>
          </cell>
        </row>
        <row r="52">
          <cell r="B52" t="str">
            <v>Petrobras Dist.  BR</v>
          </cell>
          <cell r="C52">
            <v>466497</v>
          </cell>
          <cell r="D52">
            <v>437869</v>
          </cell>
          <cell r="E52">
            <v>441970</v>
          </cell>
          <cell r="F52">
            <v>1346336</v>
          </cell>
          <cell r="G52">
            <v>0</v>
          </cell>
          <cell r="H52">
            <v>0</v>
          </cell>
          <cell r="I52">
            <v>0</v>
          </cell>
          <cell r="J52">
            <v>0</v>
          </cell>
          <cell r="K52">
            <v>1346336</v>
          </cell>
          <cell r="L52">
            <v>0</v>
          </cell>
          <cell r="M52">
            <v>0</v>
          </cell>
          <cell r="N52">
            <v>0</v>
          </cell>
          <cell r="O52">
            <v>0</v>
          </cell>
          <cell r="P52">
            <v>0</v>
          </cell>
          <cell r="Q52">
            <v>0</v>
          </cell>
          <cell r="R52">
            <v>0</v>
          </cell>
          <cell r="S52">
            <v>0</v>
          </cell>
          <cell r="T52">
            <v>0</v>
          </cell>
          <cell r="U52">
            <v>1346336</v>
          </cell>
        </row>
        <row r="53">
          <cell r="B53" t="str">
            <v>Ajuste</v>
          </cell>
          <cell r="C53">
            <v>-31653</v>
          </cell>
          <cell r="D53">
            <v>-31550</v>
          </cell>
          <cell r="E53">
            <v>-35804</v>
          </cell>
          <cell r="F53">
            <v>-99007</v>
          </cell>
          <cell r="G53">
            <v>0</v>
          </cell>
          <cell r="H53">
            <v>0</v>
          </cell>
          <cell r="I53">
            <v>0</v>
          </cell>
          <cell r="J53">
            <v>0</v>
          </cell>
          <cell r="K53">
            <v>-99007</v>
          </cell>
          <cell r="L53">
            <v>0</v>
          </cell>
          <cell r="M53">
            <v>0</v>
          </cell>
          <cell r="N53">
            <v>0</v>
          </cell>
          <cell r="O53">
            <v>0</v>
          </cell>
          <cell r="P53">
            <v>0</v>
          </cell>
          <cell r="Q53">
            <v>0</v>
          </cell>
          <cell r="R53">
            <v>0</v>
          </cell>
          <cell r="S53">
            <v>0</v>
          </cell>
          <cell r="T53">
            <v>0</v>
          </cell>
          <cell r="U53">
            <v>-99007</v>
          </cell>
        </row>
        <row r="54">
          <cell r="B54" t="str">
            <v>Sub-total</v>
          </cell>
          <cell r="C54">
            <v>434844</v>
          </cell>
          <cell r="D54">
            <v>406319</v>
          </cell>
          <cell r="E54">
            <v>406166</v>
          </cell>
          <cell r="F54">
            <v>1247329</v>
          </cell>
          <cell r="G54">
            <v>0</v>
          </cell>
          <cell r="H54">
            <v>0</v>
          </cell>
          <cell r="I54">
            <v>0</v>
          </cell>
          <cell r="J54">
            <v>0</v>
          </cell>
          <cell r="K54">
            <v>1247329</v>
          </cell>
          <cell r="L54">
            <v>0</v>
          </cell>
          <cell r="M54">
            <v>0</v>
          </cell>
          <cell r="N54">
            <v>0</v>
          </cell>
          <cell r="O54">
            <v>0</v>
          </cell>
          <cell r="P54">
            <v>0</v>
          </cell>
          <cell r="Q54">
            <v>0</v>
          </cell>
          <cell r="R54">
            <v>0</v>
          </cell>
          <cell r="S54">
            <v>0</v>
          </cell>
          <cell r="T54">
            <v>0</v>
          </cell>
          <cell r="U54">
            <v>1247329</v>
          </cell>
        </row>
        <row r="55">
          <cell r="B55" t="str">
            <v>Brasoil</v>
          </cell>
          <cell r="C55">
            <v>34201</v>
          </cell>
          <cell r="D55">
            <v>13676</v>
          </cell>
          <cell r="E55">
            <v>22499</v>
          </cell>
          <cell r="F55">
            <v>70376</v>
          </cell>
          <cell r="G55">
            <v>21554</v>
          </cell>
          <cell r="H55">
            <v>48906</v>
          </cell>
          <cell r="I55">
            <v>23916</v>
          </cell>
          <cell r="J55">
            <v>94376</v>
          </cell>
          <cell r="K55">
            <v>164752</v>
          </cell>
          <cell r="L55">
            <v>35325</v>
          </cell>
          <cell r="M55">
            <v>23725</v>
          </cell>
          <cell r="N55">
            <v>38396</v>
          </cell>
          <cell r="O55">
            <v>97446</v>
          </cell>
          <cell r="P55">
            <v>0</v>
          </cell>
          <cell r="Q55">
            <v>0</v>
          </cell>
          <cell r="R55">
            <v>0</v>
          </cell>
          <cell r="S55">
            <v>0</v>
          </cell>
          <cell r="T55">
            <v>97446</v>
          </cell>
          <cell r="U55">
            <v>262198</v>
          </cell>
        </row>
        <row r="56">
          <cell r="B56" t="str">
            <v>B - MERCADO EXTERNO</v>
          </cell>
          <cell r="C56">
            <v>34201</v>
          </cell>
          <cell r="D56">
            <v>13676</v>
          </cell>
          <cell r="E56">
            <v>22499</v>
          </cell>
          <cell r="F56">
            <v>70376</v>
          </cell>
          <cell r="G56">
            <v>21554</v>
          </cell>
          <cell r="H56">
            <v>48906</v>
          </cell>
          <cell r="I56">
            <v>23916</v>
          </cell>
          <cell r="J56">
            <v>94376</v>
          </cell>
          <cell r="K56">
            <v>164752</v>
          </cell>
          <cell r="L56">
            <v>35325</v>
          </cell>
          <cell r="M56">
            <v>23725</v>
          </cell>
          <cell r="N56">
            <v>38396</v>
          </cell>
          <cell r="O56">
            <v>97446</v>
          </cell>
          <cell r="P56">
            <v>0</v>
          </cell>
          <cell r="Q56">
            <v>0</v>
          </cell>
          <cell r="R56">
            <v>0</v>
          </cell>
          <cell r="S56">
            <v>0</v>
          </cell>
          <cell r="T56">
            <v>97446</v>
          </cell>
          <cell r="U56">
            <v>262198</v>
          </cell>
        </row>
        <row r="57">
          <cell r="B57" t="str">
            <v>Brasoil</v>
          </cell>
          <cell r="C57">
            <v>33045</v>
          </cell>
          <cell r="D57">
            <v>13214</v>
          </cell>
          <cell r="E57">
            <v>21739</v>
          </cell>
          <cell r="F57">
            <v>67998</v>
          </cell>
          <cell r="G57">
            <v>0</v>
          </cell>
          <cell r="H57">
            <v>0</v>
          </cell>
          <cell r="I57">
            <v>0</v>
          </cell>
          <cell r="J57">
            <v>0</v>
          </cell>
          <cell r="K57">
            <v>67998</v>
          </cell>
          <cell r="L57">
            <v>0</v>
          </cell>
          <cell r="M57">
            <v>0</v>
          </cell>
          <cell r="N57">
            <v>0</v>
          </cell>
          <cell r="O57">
            <v>0</v>
          </cell>
          <cell r="P57">
            <v>0</v>
          </cell>
          <cell r="Q57">
            <v>0</v>
          </cell>
          <cell r="R57">
            <v>0</v>
          </cell>
          <cell r="S57">
            <v>0</v>
          </cell>
          <cell r="T57">
            <v>0</v>
          </cell>
          <cell r="U57">
            <v>67998</v>
          </cell>
        </row>
        <row r="58">
          <cell r="B58" t="str">
            <v>Sub-total</v>
          </cell>
          <cell r="C58">
            <v>33045</v>
          </cell>
          <cell r="D58">
            <v>13214</v>
          </cell>
          <cell r="E58">
            <v>21739</v>
          </cell>
          <cell r="F58">
            <v>67998</v>
          </cell>
          <cell r="G58">
            <v>0</v>
          </cell>
          <cell r="H58">
            <v>0</v>
          </cell>
          <cell r="I58">
            <v>0</v>
          </cell>
          <cell r="J58">
            <v>0</v>
          </cell>
          <cell r="K58">
            <v>67998</v>
          </cell>
          <cell r="L58">
            <v>0</v>
          </cell>
          <cell r="M58">
            <v>0</v>
          </cell>
          <cell r="N58">
            <v>0</v>
          </cell>
          <cell r="O58">
            <v>0</v>
          </cell>
          <cell r="P58">
            <v>0</v>
          </cell>
          <cell r="Q58">
            <v>0</v>
          </cell>
          <cell r="R58">
            <v>0</v>
          </cell>
          <cell r="S58">
            <v>0</v>
          </cell>
          <cell r="T58">
            <v>0</v>
          </cell>
          <cell r="U58">
            <v>67998</v>
          </cell>
        </row>
        <row r="59">
          <cell r="B59" t="str">
            <v>Petrobrás Dist.  BR</v>
          </cell>
          <cell r="C59">
            <v>0</v>
          </cell>
          <cell r="D59">
            <v>0</v>
          </cell>
          <cell r="E59">
            <v>151</v>
          </cell>
          <cell r="F59">
            <v>151</v>
          </cell>
          <cell r="G59">
            <v>501</v>
          </cell>
          <cell r="H59">
            <v>142</v>
          </cell>
          <cell r="I59">
            <v>224</v>
          </cell>
          <cell r="J59">
            <v>867</v>
          </cell>
          <cell r="K59">
            <v>1018</v>
          </cell>
          <cell r="L59">
            <v>253</v>
          </cell>
          <cell r="M59">
            <v>214</v>
          </cell>
          <cell r="N59">
            <v>432</v>
          </cell>
          <cell r="O59">
            <v>899</v>
          </cell>
          <cell r="P59">
            <v>0</v>
          </cell>
          <cell r="Q59">
            <v>0</v>
          </cell>
          <cell r="R59">
            <v>0</v>
          </cell>
          <cell r="S59">
            <v>0</v>
          </cell>
          <cell r="T59">
            <v>899</v>
          </cell>
          <cell r="U59">
            <v>1917</v>
          </cell>
        </row>
        <row r="60">
          <cell r="B60" t="str">
            <v>C - PRESTAÇÃO DE SERVIÇOS</v>
          </cell>
          <cell r="C60">
            <v>0</v>
          </cell>
          <cell r="D60">
            <v>0</v>
          </cell>
          <cell r="E60">
            <v>151</v>
          </cell>
          <cell r="F60">
            <v>151</v>
          </cell>
          <cell r="G60">
            <v>501</v>
          </cell>
          <cell r="H60">
            <v>142</v>
          </cell>
          <cell r="I60">
            <v>224</v>
          </cell>
          <cell r="J60">
            <v>867</v>
          </cell>
          <cell r="K60">
            <v>1018</v>
          </cell>
          <cell r="L60">
            <v>253</v>
          </cell>
          <cell r="M60">
            <v>214</v>
          </cell>
          <cell r="N60">
            <v>432</v>
          </cell>
          <cell r="O60">
            <v>899</v>
          </cell>
          <cell r="P60">
            <v>0</v>
          </cell>
          <cell r="Q60">
            <v>0</v>
          </cell>
          <cell r="R60">
            <v>0</v>
          </cell>
          <cell r="S60">
            <v>0</v>
          </cell>
          <cell r="T60">
            <v>899</v>
          </cell>
          <cell r="U60">
            <v>1917</v>
          </cell>
        </row>
        <row r="61">
          <cell r="B61" t="str">
            <v>Petrobrás Dist.  BR</v>
          </cell>
          <cell r="C61">
            <v>0</v>
          </cell>
          <cell r="D61">
            <v>0</v>
          </cell>
          <cell r="E61">
            <v>146</v>
          </cell>
          <cell r="F61">
            <v>146</v>
          </cell>
          <cell r="G61">
            <v>0</v>
          </cell>
          <cell r="H61">
            <v>0</v>
          </cell>
          <cell r="I61">
            <v>0</v>
          </cell>
          <cell r="J61">
            <v>0</v>
          </cell>
          <cell r="K61">
            <v>146</v>
          </cell>
          <cell r="L61">
            <v>0</v>
          </cell>
          <cell r="M61">
            <v>0</v>
          </cell>
          <cell r="N61">
            <v>0</v>
          </cell>
          <cell r="O61">
            <v>0</v>
          </cell>
          <cell r="P61">
            <v>0</v>
          </cell>
          <cell r="Q61">
            <v>0</v>
          </cell>
          <cell r="R61">
            <v>0</v>
          </cell>
          <cell r="S61">
            <v>0</v>
          </cell>
          <cell r="T61">
            <v>0</v>
          </cell>
          <cell r="U61">
            <v>146</v>
          </cell>
        </row>
        <row r="62">
          <cell r="B62" t="str">
            <v>Sub-total</v>
          </cell>
          <cell r="C62">
            <v>0</v>
          </cell>
          <cell r="D62">
            <v>0</v>
          </cell>
          <cell r="E62">
            <v>146</v>
          </cell>
          <cell r="F62">
            <v>146</v>
          </cell>
          <cell r="G62">
            <v>0</v>
          </cell>
          <cell r="H62">
            <v>0</v>
          </cell>
          <cell r="I62">
            <v>0</v>
          </cell>
          <cell r="J62">
            <v>0</v>
          </cell>
          <cell r="K62">
            <v>146</v>
          </cell>
          <cell r="L62">
            <v>0</v>
          </cell>
          <cell r="M62">
            <v>0</v>
          </cell>
          <cell r="N62">
            <v>0</v>
          </cell>
          <cell r="O62">
            <v>0</v>
          </cell>
          <cell r="P62">
            <v>0</v>
          </cell>
          <cell r="Q62">
            <v>0</v>
          </cell>
          <cell r="R62">
            <v>0</v>
          </cell>
          <cell r="S62">
            <v>0</v>
          </cell>
          <cell r="T62">
            <v>0</v>
          </cell>
          <cell r="U62">
            <v>146</v>
          </cell>
        </row>
        <row r="64">
          <cell r="B64" t="str">
            <v>T O T A L</v>
          </cell>
          <cell r="C64">
            <v>467889</v>
          </cell>
          <cell r="D64">
            <v>419533</v>
          </cell>
          <cell r="E64">
            <v>428051</v>
          </cell>
          <cell r="F64">
            <v>1315473</v>
          </cell>
          <cell r="G64">
            <v>0</v>
          </cell>
          <cell r="H64">
            <v>0</v>
          </cell>
          <cell r="I64">
            <v>0</v>
          </cell>
          <cell r="J64">
            <v>0</v>
          </cell>
          <cell r="K64">
            <v>1315473</v>
          </cell>
          <cell r="L64">
            <v>0</v>
          </cell>
          <cell r="M64">
            <v>0</v>
          </cell>
          <cell r="N64">
            <v>0</v>
          </cell>
          <cell r="O64">
            <v>0</v>
          </cell>
          <cell r="P64">
            <v>0</v>
          </cell>
          <cell r="Q64">
            <v>0</v>
          </cell>
          <cell r="R64">
            <v>0</v>
          </cell>
          <cell r="S64">
            <v>0</v>
          </cell>
          <cell r="T64">
            <v>0</v>
          </cell>
          <cell r="U64">
            <v>1315473</v>
          </cell>
        </row>
        <row r="65">
          <cell r="B65" t="str">
            <v>1. IPI</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row>
        <row r="66">
          <cell r="B66" t="str">
            <v>E - ENCARGOS</v>
          </cell>
          <cell r="C66" t="str">
            <v/>
          </cell>
          <cell r="D66" t="str">
            <v/>
          </cell>
          <cell r="E66" t="str">
            <v/>
          </cell>
          <cell r="F66" t="str">
            <v/>
          </cell>
          <cell r="G66" t="str">
            <v/>
          </cell>
          <cell r="H66" t="str">
            <v/>
          </cell>
          <cell r="I66" t="str">
            <v/>
          </cell>
          <cell r="J66" t="str">
            <v/>
          </cell>
          <cell r="K66" t="str">
            <v/>
          </cell>
          <cell r="L66" t="str">
            <v/>
          </cell>
          <cell r="M66" t="str">
            <v/>
          </cell>
          <cell r="N66" t="str">
            <v/>
          </cell>
          <cell r="O66" t="str">
            <v/>
          </cell>
          <cell r="P66" t="str">
            <v/>
          </cell>
          <cell r="Q66" t="str">
            <v/>
          </cell>
          <cell r="R66" t="str">
            <v/>
          </cell>
          <cell r="S66" t="str">
            <v/>
          </cell>
          <cell r="T66" t="str">
            <v/>
          </cell>
          <cell r="U66" t="str">
            <v/>
          </cell>
        </row>
        <row r="67">
          <cell r="B67" t="str">
            <v>1. IPI</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row>
        <row r="68">
          <cell r="B68" t="str">
            <v>2. F U P</v>
          </cell>
          <cell r="C68">
            <v>65990</v>
          </cell>
          <cell r="D68">
            <v>60909</v>
          </cell>
          <cell r="E68">
            <v>59342</v>
          </cell>
          <cell r="F68">
            <v>186241</v>
          </cell>
          <cell r="G68">
            <v>0</v>
          </cell>
          <cell r="H68">
            <v>0</v>
          </cell>
          <cell r="I68">
            <v>0</v>
          </cell>
          <cell r="J68">
            <v>0</v>
          </cell>
          <cell r="K68">
            <v>186241</v>
          </cell>
          <cell r="L68">
            <v>0</v>
          </cell>
          <cell r="M68">
            <v>0</v>
          </cell>
          <cell r="N68">
            <v>0</v>
          </cell>
          <cell r="O68">
            <v>0</v>
          </cell>
          <cell r="P68">
            <v>0</v>
          </cell>
          <cell r="Q68">
            <v>0</v>
          </cell>
          <cell r="R68">
            <v>0</v>
          </cell>
          <cell r="S68">
            <v>0</v>
          </cell>
          <cell r="T68">
            <v>0</v>
          </cell>
          <cell r="U68">
            <v>186241</v>
          </cell>
        </row>
        <row r="69">
          <cell r="B69" t="str">
            <v>3. I C M S</v>
          </cell>
          <cell r="C69">
            <v>62017</v>
          </cell>
          <cell r="D69">
            <v>58727</v>
          </cell>
          <cell r="E69">
            <v>61857</v>
          </cell>
          <cell r="F69">
            <v>182601</v>
          </cell>
          <cell r="G69">
            <v>0</v>
          </cell>
          <cell r="H69">
            <v>0</v>
          </cell>
          <cell r="I69">
            <v>0</v>
          </cell>
          <cell r="J69">
            <v>0</v>
          </cell>
          <cell r="K69">
            <v>182601</v>
          </cell>
          <cell r="L69">
            <v>0</v>
          </cell>
          <cell r="M69">
            <v>0</v>
          </cell>
          <cell r="N69">
            <v>0</v>
          </cell>
          <cell r="O69">
            <v>0</v>
          </cell>
          <cell r="P69">
            <v>0</v>
          </cell>
          <cell r="Q69">
            <v>0</v>
          </cell>
          <cell r="R69">
            <v>0</v>
          </cell>
          <cell r="S69">
            <v>0</v>
          </cell>
          <cell r="T69">
            <v>0</v>
          </cell>
          <cell r="U69">
            <v>182601</v>
          </cell>
        </row>
        <row r="70">
          <cell r="B70" t="str">
            <v>5. F U P A</v>
          </cell>
          <cell r="C70">
            <v>-11528</v>
          </cell>
          <cell r="D70">
            <v>-11260</v>
          </cell>
          <cell r="E70">
            <v>-11610</v>
          </cell>
          <cell r="F70">
            <v>-34398</v>
          </cell>
          <cell r="G70">
            <v>0</v>
          </cell>
          <cell r="H70">
            <v>0</v>
          </cell>
          <cell r="I70">
            <v>0</v>
          </cell>
          <cell r="J70">
            <v>0</v>
          </cell>
          <cell r="K70">
            <v>-34398</v>
          </cell>
          <cell r="L70">
            <v>0</v>
          </cell>
          <cell r="M70">
            <v>0</v>
          </cell>
          <cell r="N70">
            <v>0</v>
          </cell>
          <cell r="O70">
            <v>0</v>
          </cell>
          <cell r="P70">
            <v>0</v>
          </cell>
          <cell r="Q70">
            <v>0</v>
          </cell>
          <cell r="R70">
            <v>0</v>
          </cell>
          <cell r="S70">
            <v>0</v>
          </cell>
          <cell r="T70">
            <v>0</v>
          </cell>
          <cell r="U70">
            <v>-34398</v>
          </cell>
        </row>
        <row r="71">
          <cell r="B71" t="str">
            <v>6. P A S E P</v>
          </cell>
          <cell r="C71">
            <v>2958</v>
          </cell>
          <cell r="D71">
            <v>2776</v>
          </cell>
          <cell r="E71">
            <v>2800</v>
          </cell>
          <cell r="F71">
            <v>8534</v>
          </cell>
          <cell r="G71">
            <v>0</v>
          </cell>
          <cell r="H71">
            <v>0</v>
          </cell>
          <cell r="I71">
            <v>0</v>
          </cell>
          <cell r="J71">
            <v>0</v>
          </cell>
          <cell r="K71">
            <v>8534</v>
          </cell>
          <cell r="L71">
            <v>0</v>
          </cell>
          <cell r="M71">
            <v>0</v>
          </cell>
          <cell r="N71">
            <v>0</v>
          </cell>
          <cell r="O71">
            <v>0</v>
          </cell>
          <cell r="P71">
            <v>0</v>
          </cell>
          <cell r="Q71">
            <v>0</v>
          </cell>
          <cell r="R71">
            <v>0</v>
          </cell>
          <cell r="S71">
            <v>0</v>
          </cell>
          <cell r="T71">
            <v>0</v>
          </cell>
          <cell r="U71">
            <v>8534</v>
          </cell>
        </row>
        <row r="72">
          <cell r="B72" t="str">
            <v>7. C O F I N S</v>
          </cell>
          <cell r="C72">
            <v>9102</v>
          </cell>
          <cell r="D72">
            <v>8541</v>
          </cell>
          <cell r="E72">
            <v>8615</v>
          </cell>
          <cell r="F72">
            <v>26258</v>
          </cell>
          <cell r="G72">
            <v>0</v>
          </cell>
          <cell r="H72">
            <v>0</v>
          </cell>
          <cell r="I72">
            <v>0</v>
          </cell>
          <cell r="J72">
            <v>0</v>
          </cell>
          <cell r="K72">
            <v>26258</v>
          </cell>
          <cell r="L72">
            <v>0</v>
          </cell>
          <cell r="M72">
            <v>0</v>
          </cell>
          <cell r="N72">
            <v>0</v>
          </cell>
          <cell r="O72">
            <v>0</v>
          </cell>
          <cell r="P72">
            <v>0</v>
          </cell>
          <cell r="Q72">
            <v>0</v>
          </cell>
          <cell r="R72">
            <v>0</v>
          </cell>
          <cell r="S72">
            <v>0</v>
          </cell>
          <cell r="T72">
            <v>0</v>
          </cell>
          <cell r="U72">
            <v>26258</v>
          </cell>
        </row>
        <row r="73">
          <cell r="B73" t="str">
            <v>8. Outros</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row>
        <row r="75">
          <cell r="B75" t="str">
            <v>T O T A L</v>
          </cell>
          <cell r="C75">
            <v>128539</v>
          </cell>
          <cell r="D75">
            <v>119693</v>
          </cell>
          <cell r="E75">
            <v>121004</v>
          </cell>
          <cell r="F75">
            <v>369236</v>
          </cell>
          <cell r="G75">
            <v>0</v>
          </cell>
          <cell r="H75">
            <v>0</v>
          </cell>
          <cell r="I75">
            <v>0</v>
          </cell>
          <cell r="J75">
            <v>0</v>
          </cell>
          <cell r="K75">
            <v>369236</v>
          </cell>
          <cell r="L75">
            <v>0</v>
          </cell>
          <cell r="M75">
            <v>0</v>
          </cell>
          <cell r="N75">
            <v>0</v>
          </cell>
          <cell r="O75">
            <v>0</v>
          </cell>
          <cell r="P75">
            <v>0</v>
          </cell>
          <cell r="Q75">
            <v>0</v>
          </cell>
          <cell r="R75">
            <v>0</v>
          </cell>
          <cell r="S75">
            <v>0</v>
          </cell>
          <cell r="T75">
            <v>0</v>
          </cell>
          <cell r="U75">
            <v>369236</v>
          </cell>
        </row>
        <row r="77">
          <cell r="B77" t="str">
            <v>F - VENDAS LIQUIDAS</v>
          </cell>
          <cell r="C77">
            <v>339350</v>
          </cell>
          <cell r="D77">
            <v>299840</v>
          </cell>
          <cell r="E77">
            <v>307047</v>
          </cell>
          <cell r="F77">
            <v>946237</v>
          </cell>
          <cell r="G77">
            <v>0</v>
          </cell>
          <cell r="H77">
            <v>0</v>
          </cell>
          <cell r="I77">
            <v>0</v>
          </cell>
          <cell r="J77">
            <v>0</v>
          </cell>
          <cell r="K77">
            <v>946237</v>
          </cell>
          <cell r="L77">
            <v>0</v>
          </cell>
          <cell r="M77">
            <v>0</v>
          </cell>
          <cell r="N77">
            <v>0</v>
          </cell>
          <cell r="O77">
            <v>0</v>
          </cell>
          <cell r="P77">
            <v>0</v>
          </cell>
          <cell r="Q77">
            <v>0</v>
          </cell>
          <cell r="R77">
            <v>0</v>
          </cell>
          <cell r="S77">
            <v>0</v>
          </cell>
          <cell r="T77">
            <v>0</v>
          </cell>
          <cell r="U77">
            <v>946237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sheetData sheetId="364"/>
      <sheetData sheetId="365"/>
      <sheetData sheetId="366"/>
      <sheetData sheetId="367" refreshError="1"/>
      <sheetData sheetId="368" refreshError="1"/>
      <sheetData sheetId="369" refreshError="1"/>
      <sheetData sheetId="370" refreshError="1"/>
      <sheetData sheetId="371" refreshError="1"/>
      <sheetData sheetId="372" refreshError="1"/>
      <sheetData sheetId="373" refreshError="1"/>
      <sheetData sheetId="374"/>
      <sheetData sheetId="375"/>
      <sheetData sheetId="376" refreshError="1"/>
      <sheetData sheetId="377" refreshError="1"/>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refreshError="1"/>
      <sheetData sheetId="628" refreshError="1"/>
      <sheetData sheetId="629" refreshError="1"/>
      <sheetData sheetId="630" refreshError="1"/>
      <sheetData sheetId="63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vo"/>
      <sheetName val="Passivo"/>
      <sheetName val="DRE"/>
      <sheetName val="DFC"/>
      <sheetName val="Segmentado mar18"/>
      <sheetName val="Segmentado mar17"/>
    </sheetNames>
    <sheetDataSet>
      <sheetData sheetId="0"/>
      <sheetData sheetId="1"/>
      <sheetData sheetId="2">
        <row r="4">
          <cell r="C4">
            <v>22499</v>
          </cell>
        </row>
        <row r="5">
          <cell r="C5">
            <v>-20982</v>
          </cell>
        </row>
        <row r="6">
          <cell r="C6">
            <v>1517</v>
          </cell>
        </row>
        <row r="8">
          <cell r="C8">
            <v>-708</v>
          </cell>
        </row>
        <row r="9">
          <cell r="C9">
            <v>-190</v>
          </cell>
        </row>
        <row r="10">
          <cell r="C10">
            <v>-27</v>
          </cell>
        </row>
        <row r="11">
          <cell r="C11">
            <v>-135</v>
          </cell>
        </row>
        <row r="13">
          <cell r="C13">
            <v>457</v>
          </cell>
        </row>
        <row r="15">
          <cell r="C15">
            <v>-94</v>
          </cell>
        </row>
        <row r="16">
          <cell r="C16">
            <v>84</v>
          </cell>
        </row>
        <row r="17">
          <cell r="C17">
            <v>-36</v>
          </cell>
        </row>
        <row r="19">
          <cell r="C19">
            <v>-1</v>
          </cell>
        </row>
        <row r="20">
          <cell r="C20">
            <v>410</v>
          </cell>
        </row>
        <row r="22">
          <cell r="C22">
            <v>-1</v>
          </cell>
        </row>
        <row r="23">
          <cell r="C23">
            <v>-162</v>
          </cell>
        </row>
        <row r="25">
          <cell r="C25">
            <v>247</v>
          </cell>
        </row>
      </sheetData>
      <sheetData sheetId="3"/>
      <sheetData sheetId="4"/>
      <sheetData sheetId="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vo"/>
      <sheetName val="Passivo"/>
      <sheetName val="DRE"/>
      <sheetName val="DFC"/>
      <sheetName val="Segmentado set18"/>
      <sheetName val="Segmentado trim18"/>
      <sheetName val="Segmentado set17"/>
      <sheetName val="Segmentado trim17"/>
      <sheetName val="Reconciliação"/>
    </sheetNames>
    <sheetDataSet>
      <sheetData sheetId="0"/>
      <sheetData sheetId="1"/>
      <sheetData sheetId="2">
        <row r="4">
          <cell r="D4">
            <v>26455</v>
          </cell>
        </row>
        <row r="5">
          <cell r="D5">
            <v>-24936</v>
          </cell>
        </row>
      </sheetData>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_Áreas_Milhares"/>
      <sheetName val="INDICES-US"/>
      <sheetName val="ELIM. VENDAS - FINANC."/>
      <sheetName val="LANÇ.ELIMIN."/>
      <sheetName val="Bal-Res USGAAP"/>
      <sheetName val="Elim_PL"/>
      <sheetName val="Rec.P.L."/>
      <sheetName val="Rec. res. "/>
      <sheetName val="Macros"/>
      <sheetName val="INDICES-BR"/>
      <sheetName val="DOM.RESUL.-PAT.LIQ.CONS."/>
      <sheetName val="dez"/>
      <sheetName val="JUN9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1. Volume"/>
      <sheetName val="2. DRE"/>
      <sheetName val="3. Balanço Patrimonial"/>
      <sheetName val="4. DFC"/>
      <sheetName val="5. Resultado por Segmento"/>
      <sheetName val="6. Reconciliação"/>
      <sheetName val="7. Reconciliação EBITDA"/>
      <sheetName val="8. Investimentos (Capex)"/>
      <sheetName val="9. Despesa por natureza"/>
      <sheetName val="10. Hedge"/>
      <sheetName val="11. Endividamento"/>
      <sheetName val="12. Macroeconomia"/>
      <sheetName val="12. ESG"/>
      <sheetName val="13.Dividendos"/>
      <sheetName val="14. Consenso"/>
      <sheetName val="15. Ressalva"/>
    </sheetNames>
    <sheetDataSet>
      <sheetData sheetId="0"/>
      <sheetData sheetId="1"/>
      <sheetData sheetId="2"/>
      <sheetData sheetId="3"/>
      <sheetData sheetId="4"/>
      <sheetData sheetId="5">
        <row r="26">
          <cell r="AB26">
            <v>-312</v>
          </cell>
        </row>
        <row r="42">
          <cell r="AG42">
            <v>-413</v>
          </cell>
        </row>
      </sheetData>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1. Volume"/>
      <sheetName val="2. DRE"/>
      <sheetName val="3. Balanço Patrimonial"/>
      <sheetName val="4. DFC"/>
      <sheetName val="5. Resultado por Segmento"/>
      <sheetName val="6. Reconciliação"/>
      <sheetName val="7. Reconciliação EBITDA"/>
      <sheetName val="8. Investimentos (Capex)"/>
      <sheetName val="9. Despesa por natureza"/>
      <sheetName val="10. Hedge"/>
      <sheetName val="11. Endividamento"/>
      <sheetName val="12. Macroeconomia"/>
      <sheetName val="12. ESG"/>
      <sheetName val="13.Dividendos"/>
      <sheetName val="14. Consenso"/>
      <sheetName val="15. Ressalva"/>
    </sheetNames>
    <sheetDataSet>
      <sheetData sheetId="0"/>
      <sheetData sheetId="1">
        <row r="8">
          <cell r="AE8">
            <v>9173.3000000000011</v>
          </cell>
        </row>
      </sheetData>
      <sheetData sheetId="2"/>
      <sheetData sheetId="3"/>
      <sheetData sheetId="4"/>
      <sheetData sheetId="5">
        <row r="26">
          <cell r="Z26">
            <v>-257</v>
          </cell>
          <cell r="AA26">
            <v>-278</v>
          </cell>
          <cell r="AB26">
            <v>-312</v>
          </cell>
          <cell r="AC26">
            <v>-307</v>
          </cell>
          <cell r="AE26">
            <v>-294</v>
          </cell>
          <cell r="AF26">
            <v>-316</v>
          </cell>
          <cell r="AG26">
            <v>-329</v>
          </cell>
          <cell r="AH26">
            <v>-303</v>
          </cell>
        </row>
        <row r="27">
          <cell r="Z27">
            <v>-306</v>
          </cell>
          <cell r="AA27">
            <v>-368</v>
          </cell>
          <cell r="AB27">
            <v>-419</v>
          </cell>
          <cell r="AC27">
            <v>-402</v>
          </cell>
          <cell r="AE27">
            <v>-378</v>
          </cell>
          <cell r="AF27">
            <v>-386</v>
          </cell>
          <cell r="AG27">
            <v>-421</v>
          </cell>
          <cell r="AH27">
            <v>-403</v>
          </cell>
        </row>
        <row r="28">
          <cell r="Z28">
            <v>-41</v>
          </cell>
          <cell r="AA28">
            <v>-33</v>
          </cell>
          <cell r="AB28">
            <v>-52</v>
          </cell>
          <cell r="AC28">
            <v>-54</v>
          </cell>
          <cell r="AE28">
            <v>-70</v>
          </cell>
          <cell r="AF28">
            <v>-32</v>
          </cell>
          <cell r="AG28">
            <v>-40</v>
          </cell>
          <cell r="AH28">
            <v>-62</v>
          </cell>
        </row>
        <row r="31">
          <cell r="Z31">
            <v>-7</v>
          </cell>
          <cell r="AA31">
            <v>-2</v>
          </cell>
          <cell r="AB31">
            <v>0</v>
          </cell>
          <cell r="AC31">
            <v>-2</v>
          </cell>
          <cell r="AE31">
            <v>-8</v>
          </cell>
          <cell r="AF31">
            <v>-1</v>
          </cell>
          <cell r="AG31">
            <v>-5</v>
          </cell>
          <cell r="AH31">
            <v>-2</v>
          </cell>
        </row>
        <row r="32">
          <cell r="Z32">
            <v>-4</v>
          </cell>
          <cell r="AA32">
            <v>-1</v>
          </cell>
          <cell r="AB32">
            <v>-1</v>
          </cell>
          <cell r="AC32">
            <v>-1</v>
          </cell>
          <cell r="AE32">
            <v>-4</v>
          </cell>
          <cell r="AF32">
            <v>-2</v>
          </cell>
          <cell r="AG32">
            <v>-1</v>
          </cell>
          <cell r="AH32">
            <v>-2</v>
          </cell>
        </row>
        <row r="33">
          <cell r="Z33">
            <v>-3</v>
          </cell>
          <cell r="AA33">
            <v>-4</v>
          </cell>
          <cell r="AB33">
            <v>-6</v>
          </cell>
          <cell r="AC33">
            <v>-20</v>
          </cell>
          <cell r="AE33">
            <v>-7</v>
          </cell>
          <cell r="AF33">
            <v>-7</v>
          </cell>
          <cell r="AG33">
            <v>-7</v>
          </cell>
          <cell r="AH33">
            <v>-44</v>
          </cell>
        </row>
        <row r="36">
          <cell r="Z36">
            <v>-356</v>
          </cell>
          <cell r="AA36">
            <v>-337</v>
          </cell>
          <cell r="AB36">
            <v>194</v>
          </cell>
          <cell r="AC36">
            <v>-104</v>
          </cell>
          <cell r="AE36">
            <v>-122</v>
          </cell>
          <cell r="AF36">
            <v>-66</v>
          </cell>
          <cell r="AG36">
            <v>-161</v>
          </cell>
          <cell r="AH36">
            <v>1605</v>
          </cell>
        </row>
        <row r="37">
          <cell r="Z37">
            <v>-251</v>
          </cell>
          <cell r="AA37">
            <v>-154</v>
          </cell>
          <cell r="AB37">
            <v>111</v>
          </cell>
          <cell r="AC37">
            <v>-246</v>
          </cell>
          <cell r="AE37">
            <v>43</v>
          </cell>
          <cell r="AF37">
            <v>39</v>
          </cell>
          <cell r="AG37">
            <v>55</v>
          </cell>
          <cell r="AH37">
            <v>1545</v>
          </cell>
        </row>
        <row r="38">
          <cell r="Z38">
            <v>-23</v>
          </cell>
          <cell r="AA38">
            <v>-23</v>
          </cell>
          <cell r="AB38">
            <v>117</v>
          </cell>
          <cell r="AC38">
            <v>909</v>
          </cell>
          <cell r="AE38">
            <v>-8</v>
          </cell>
          <cell r="AF38">
            <v>-37</v>
          </cell>
          <cell r="AG38">
            <v>-3</v>
          </cell>
          <cell r="AH38">
            <v>-7</v>
          </cell>
        </row>
        <row r="42">
          <cell r="AH42">
            <v>-50</v>
          </cell>
        </row>
      </sheetData>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Índice"/>
      <sheetName val="1. Volume"/>
      <sheetName val="2. DRE"/>
      <sheetName val="3. Balanço Patrimonial"/>
      <sheetName val="4. DFC"/>
      <sheetName val="5. Resultado por Segmento"/>
      <sheetName val="6. Reconciliação"/>
      <sheetName val="7. Reconciliação EBITDA"/>
      <sheetName val="8. Investimentos (Capex)"/>
      <sheetName val="9. Despesa por natureza"/>
      <sheetName val="10. Hedge"/>
      <sheetName val="11. Endividamento"/>
      <sheetName val="12. Macroeconomia"/>
      <sheetName val="12. ESG"/>
      <sheetName val="13.Dividendos"/>
      <sheetName val="14. Consenso"/>
      <sheetName val="15. Ressalva"/>
    </sheetNames>
    <sheetDataSet>
      <sheetData sheetId="0"/>
      <sheetData sheetId="1">
        <row r="8">
          <cell r="AG8">
            <v>8599.1999999999989</v>
          </cell>
        </row>
      </sheetData>
      <sheetData sheetId="2"/>
      <sheetData sheetId="3">
        <row r="11">
          <cell r="AG11">
            <v>5476</v>
          </cell>
        </row>
        <row r="42">
          <cell r="AG42">
            <v>0</v>
          </cell>
        </row>
        <row r="43">
          <cell r="AG43">
            <v>2831</v>
          </cell>
        </row>
        <row r="46">
          <cell r="AG46">
            <v>120</v>
          </cell>
        </row>
        <row r="64">
          <cell r="AG64">
            <v>12071</v>
          </cell>
        </row>
        <row r="65">
          <cell r="AG65">
            <v>625</v>
          </cell>
        </row>
      </sheetData>
      <sheetData sheetId="4"/>
      <sheetData sheetId="5">
        <row r="26">
          <cell r="AJ26">
            <v>-318</v>
          </cell>
        </row>
        <row r="27">
          <cell r="AJ27">
            <v>-394</v>
          </cell>
        </row>
        <row r="28">
          <cell r="AJ28">
            <v>-37</v>
          </cell>
        </row>
        <row r="31">
          <cell r="AJ31">
            <v>-11</v>
          </cell>
        </row>
        <row r="32">
          <cell r="AJ32">
            <v>-5</v>
          </cell>
        </row>
        <row r="33">
          <cell r="AJ33">
            <v>-8</v>
          </cell>
        </row>
        <row r="36">
          <cell r="AJ36">
            <v>-135</v>
          </cell>
        </row>
        <row r="37">
          <cell r="AJ37">
            <v>62</v>
          </cell>
        </row>
        <row r="38">
          <cell r="AJ38">
            <v>505</v>
          </cell>
        </row>
        <row r="42">
          <cell r="AJ42">
            <v>-334</v>
          </cell>
        </row>
      </sheetData>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Índice"/>
      <sheetName val="1. Volume"/>
      <sheetName val="2. DRE"/>
      <sheetName val="3. Balanço Patrimonial"/>
      <sheetName val="4. DFC"/>
      <sheetName val="5. Resultado por Segmento"/>
      <sheetName val="6. Reconciliação"/>
      <sheetName val="7. Reconciliação EBITDA"/>
      <sheetName val="8. Investimentos (Capex)"/>
      <sheetName val="9. Despesa por natureza"/>
      <sheetName val="10. Hedge"/>
      <sheetName val="11. Endividamento"/>
      <sheetName val="12. Macroeconomia"/>
      <sheetName val="12. ESG"/>
      <sheetName val="13.Dividendos"/>
      <sheetName val="14. Consenso"/>
      <sheetName val="15. Ressalva"/>
    </sheetNames>
    <sheetDataSet>
      <sheetData sheetId="0" refreshError="1"/>
      <sheetData sheetId="1">
        <row r="8">
          <cell r="AH8">
            <v>8819.5087737355007</v>
          </cell>
        </row>
      </sheetData>
      <sheetData sheetId="2" refreshError="1"/>
      <sheetData sheetId="3">
        <row r="11">
          <cell r="AH11">
            <v>8225</v>
          </cell>
        </row>
        <row r="42">
          <cell r="AH42">
            <v>0</v>
          </cell>
        </row>
        <row r="43">
          <cell r="AH43">
            <v>3902</v>
          </cell>
        </row>
        <row r="46">
          <cell r="AH46">
            <v>82</v>
          </cell>
        </row>
        <row r="64">
          <cell r="AH64">
            <v>14431</v>
          </cell>
        </row>
        <row r="65">
          <cell r="AH65">
            <v>291</v>
          </cell>
        </row>
      </sheetData>
      <sheetData sheetId="4" refreshError="1"/>
      <sheetData sheetId="5">
        <row r="26">
          <cell r="AK26">
            <v>-298</v>
          </cell>
        </row>
        <row r="27">
          <cell r="AK27">
            <v>-393</v>
          </cell>
        </row>
        <row r="28">
          <cell r="AK28">
            <v>-59</v>
          </cell>
        </row>
        <row r="31">
          <cell r="AK31">
            <v>-1</v>
          </cell>
        </row>
        <row r="32">
          <cell r="AK32">
            <v>-2</v>
          </cell>
        </row>
        <row r="33">
          <cell r="AK33">
            <v>-5</v>
          </cell>
        </row>
        <row r="36">
          <cell r="AK36">
            <v>-1</v>
          </cell>
        </row>
        <row r="37">
          <cell r="AK37">
            <v>68</v>
          </cell>
        </row>
        <row r="38">
          <cell r="AK38">
            <v>39</v>
          </cell>
        </row>
        <row r="42">
          <cell r="AK42">
            <v>-213</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7">
          <cell r="L7">
            <v>43101</v>
          </cell>
          <cell r="M7">
            <v>43466</v>
          </cell>
          <cell r="N7">
            <v>43831</v>
          </cell>
          <cell r="O7">
            <v>44197</v>
          </cell>
          <cell r="P7">
            <v>44562</v>
          </cell>
          <cell r="Q7">
            <v>44927</v>
          </cell>
          <cell r="R7">
            <v>45292</v>
          </cell>
        </row>
        <row r="9">
          <cell r="L9">
            <v>1092160222.76</v>
          </cell>
          <cell r="M9">
            <v>3145747899.0500002</v>
          </cell>
          <cell r="N9">
            <v>1148849830.8499999</v>
          </cell>
          <cell r="O9">
            <v>2859130055.4100003</v>
          </cell>
          <cell r="P9">
            <v>520849828.954</v>
          </cell>
          <cell r="Q9">
            <v>434993081.63999999</v>
          </cell>
          <cell r="R9">
            <v>1604581530.0600002</v>
          </cell>
        </row>
        <row r="12">
          <cell r="L12">
            <v>2017</v>
          </cell>
          <cell r="M12">
            <v>1092160222.76</v>
          </cell>
        </row>
        <row r="13">
          <cell r="L13">
            <v>2018</v>
          </cell>
          <cell r="M13">
            <v>3145747899.0500002</v>
          </cell>
        </row>
        <row r="14">
          <cell r="L14">
            <v>2019</v>
          </cell>
          <cell r="M14">
            <v>1148849830.8499999</v>
          </cell>
        </row>
        <row r="15">
          <cell r="L15">
            <v>2020</v>
          </cell>
          <cell r="M15">
            <v>2327304908.9700003</v>
          </cell>
        </row>
        <row r="16">
          <cell r="L16">
            <v>2021</v>
          </cell>
          <cell r="M16">
            <v>663674975.38999999</v>
          </cell>
        </row>
        <row r="17">
          <cell r="L17">
            <v>2022</v>
          </cell>
          <cell r="M17">
            <v>823993081.64400005</v>
          </cell>
        </row>
        <row r="18">
          <cell r="L18">
            <v>2023</v>
          </cell>
          <cell r="M18">
            <v>1604581530.0600002</v>
          </cell>
        </row>
      </sheetData>
      <sheetData sheetId="15" refreshError="1"/>
      <sheetData sheetId="1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1. Volume"/>
      <sheetName val="2. DRE"/>
      <sheetName val="3. Balanço Patrimonial"/>
      <sheetName val="4. DFC"/>
      <sheetName val="5. Resultado por Segmento"/>
      <sheetName val="6. Reconciliação"/>
      <sheetName val="7. Reconciliação EBITDA"/>
      <sheetName val="8. Investimentos (Capex)"/>
      <sheetName val="9. Despesa por natureza"/>
      <sheetName val="10. Hedge"/>
      <sheetName val="11. Endividamento"/>
      <sheetName val="12. Macroeconomia"/>
      <sheetName val="12. ESG"/>
      <sheetName val="13.Dividendos"/>
      <sheetName val="14. Consenso"/>
      <sheetName val="15. Ressalva"/>
    </sheetNames>
    <sheetDataSet>
      <sheetData sheetId="0" refreshError="1"/>
      <sheetData sheetId="1">
        <row r="8">
          <cell r="Z8">
            <v>10049.747080808997</v>
          </cell>
        </row>
      </sheetData>
      <sheetData sheetId="2" refreshError="1"/>
      <sheetData sheetId="3" refreshError="1"/>
      <sheetData sheetId="4" refreshError="1"/>
      <sheetData sheetId="5">
        <row r="26">
          <cell r="AE26">
            <v>-294</v>
          </cell>
        </row>
        <row r="40">
          <cell r="C40">
            <v>-2</v>
          </cell>
          <cell r="D40">
            <v>3</v>
          </cell>
          <cell r="E40">
            <v>-1</v>
          </cell>
          <cell r="F40">
            <v>-2</v>
          </cell>
          <cell r="G40">
            <v>0</v>
          </cell>
          <cell r="H40">
            <v>1</v>
          </cell>
          <cell r="I40">
            <v>-1</v>
          </cell>
          <cell r="J40">
            <v>-1</v>
          </cell>
          <cell r="K40">
            <v>0</v>
          </cell>
          <cell r="L40">
            <v>-1</v>
          </cell>
          <cell r="M40">
            <v>1</v>
          </cell>
          <cell r="N40">
            <v>1</v>
          </cell>
          <cell r="O40">
            <v>0</v>
          </cell>
          <cell r="P40">
            <v>0</v>
          </cell>
          <cell r="Q40">
            <v>1</v>
          </cell>
          <cell r="R40">
            <v>-1</v>
          </cell>
          <cell r="S40">
            <v>-1</v>
          </cell>
          <cell r="T40">
            <v>-1</v>
          </cell>
          <cell r="U40">
            <v>12</v>
          </cell>
          <cell r="V40">
            <v>7</v>
          </cell>
          <cell r="W40">
            <v>2</v>
          </cell>
          <cell r="X40">
            <v>76</v>
          </cell>
          <cell r="Y40">
            <v>27</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1. Volume"/>
      <sheetName val="2. DRE"/>
      <sheetName val="3. Balanço Patrimonial"/>
      <sheetName val="4. DFC"/>
      <sheetName val="5. Resultado por Segmento"/>
      <sheetName val="6. Reconciliação"/>
      <sheetName val="7. Reconciliação EBITDA"/>
      <sheetName val="8. Investimentos (Capex)"/>
      <sheetName val="9. Despesa por natureza"/>
      <sheetName val="10. Hedge"/>
      <sheetName val="11. Endividamento"/>
      <sheetName val="12. Macroeconomia"/>
      <sheetName val="12. ESG"/>
      <sheetName val="13.Dividendos"/>
      <sheetName val="14. Consenso"/>
      <sheetName val="15. Ressalva"/>
    </sheetNames>
    <sheetDataSet>
      <sheetData sheetId="0"/>
      <sheetData sheetId="1">
        <row r="8">
          <cell r="Z8">
            <v>10049.747080808997</v>
          </cell>
        </row>
      </sheetData>
      <sheetData sheetId="2"/>
      <sheetData sheetId="3">
        <row r="44">
          <cell r="Z44">
            <v>1674</v>
          </cell>
        </row>
        <row r="47">
          <cell r="Z47">
            <v>128</v>
          </cell>
        </row>
        <row r="65">
          <cell r="Z65">
            <v>14883</v>
          </cell>
        </row>
        <row r="66">
          <cell r="Z66">
            <v>706</v>
          </cell>
        </row>
      </sheetData>
      <sheetData sheetId="4"/>
      <sheetData sheetId="5"/>
      <sheetData sheetId="6"/>
      <sheetData sheetId="7"/>
      <sheetData sheetId="8"/>
      <sheetData sheetId="9"/>
      <sheetData sheetId="10"/>
      <sheetData sheetId="11"/>
      <sheetData sheetId="12"/>
      <sheetData sheetId="13"/>
      <sheetData sheetId="14">
        <row r="6">
          <cell r="L6">
            <v>43101</v>
          </cell>
        </row>
        <row r="10">
          <cell r="Q10">
            <v>1092160222.76</v>
          </cell>
          <cell r="R10"/>
        </row>
        <row r="11">
          <cell r="Q11">
            <v>3145747899.0500002</v>
          </cell>
          <cell r="R11"/>
        </row>
        <row r="12">
          <cell r="Q12">
            <v>1148849830.8499999</v>
          </cell>
          <cell r="R12"/>
        </row>
        <row r="13">
          <cell r="Q13">
            <v>2327304908.9700003</v>
          </cell>
          <cell r="R13"/>
        </row>
        <row r="14">
          <cell r="Q14">
            <v>663674975.38999999</v>
          </cell>
          <cell r="R14"/>
        </row>
        <row r="15">
          <cell r="Q15">
            <v>823993081.63999999</v>
          </cell>
        </row>
        <row r="16">
          <cell r="Q16">
            <v>1604581530.0600002</v>
          </cell>
        </row>
      </sheetData>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MENU"/>
      <sheetName val="SAS"/>
      <sheetName val="ENDIVIDAMENTO"/>
      <sheetName val="CRÍTICAS"/>
      <sheetName val="ORGAOS"/>
      <sheetName val="QUADRO_51"/>
      <sheetName val="Módulo2"/>
      <sheetName val="NAT ENDIVTO"/>
      <sheetName val="AJSAS"/>
      <sheetName val="PCONTAS"/>
      <sheetName val="MACROS"/>
    </sheetNames>
    <sheetDataSet>
      <sheetData sheetId="0"/>
      <sheetData sheetId="1"/>
      <sheetData sheetId="2"/>
      <sheetData sheetId="3"/>
      <sheetData sheetId="4"/>
      <sheetData sheetId="5"/>
      <sheetData sheetId="6"/>
      <sheetData sheetId="7" refreshError="1"/>
      <sheetData sheetId="8"/>
      <sheetData sheetId="9"/>
      <sheetData sheetId="10"/>
      <sheetData sheetId="11" refreshError="1">
        <row r="1">
          <cell r="BN1" t="str">
            <v>IRPMENU</v>
          </cell>
          <cell r="BO1" t="str">
            <v>IRPQUADRO51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P (publicado)"/>
      <sheetName val="Pontos de Atenção"/>
      <sheetName val="BP"/>
      <sheetName val="BP (2) (publicado)"/>
      <sheetName val="BP (2)"/>
      <sheetName val="DRE"/>
      <sheetName val="LL por ação"/>
      <sheetName val="DMPL"/>
      <sheetName val="DRA"/>
      <sheetName val="DFC"/>
      <sheetName val="DMPL (2)"/>
      <sheetName val="DVA"/>
      <sheetName val="DVA 2"/>
      <sheetName val="Plan1"/>
      <sheetName val="Nota 25 - DFC-Suplementares"/>
      <sheetName val="Refazimento - BP"/>
      <sheetName val="Informações complementares DF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Jan 07"/>
      <sheetName val="01.2007"/>
      <sheetName val="ADM_Áreas_Milhares"/>
    </sheetNames>
    <sheetDataSet>
      <sheetData sheetId="0" refreshError="1">
        <row r="2">
          <cell r="A2" t="str">
            <v>2104000004Reclas</v>
          </cell>
          <cell r="B2" t="str">
            <v>2104000004</v>
          </cell>
          <cell r="C2" t="str">
            <v>SA</v>
          </cell>
          <cell r="D2" t="str">
            <v>100100062</v>
          </cell>
          <cell r="E2" t="str">
            <v>Reclas</v>
          </cell>
          <cell r="F2" t="str">
            <v>2007/01</v>
          </cell>
          <cell r="G2" t="str">
            <v>I.R s/ Juros s/ Capital Próprio</v>
          </cell>
          <cell r="H2" t="str">
            <v>Z228</v>
          </cell>
          <cell r="I2">
            <v>39113</v>
          </cell>
          <cell r="J2">
            <v>39113</v>
          </cell>
          <cell r="K2">
            <v>161260779.38</v>
          </cell>
          <cell r="L2">
            <v>161260779.38</v>
          </cell>
          <cell r="M2" t="str">
            <v>BRL</v>
          </cell>
          <cell r="N2">
            <v>161260779.38</v>
          </cell>
        </row>
        <row r="3">
          <cell r="A3" t="str">
            <v>2104000004Reclas</v>
          </cell>
          <cell r="B3" t="str">
            <v>2104000004</v>
          </cell>
          <cell r="C3" t="str">
            <v>SA</v>
          </cell>
          <cell r="D3" t="str">
            <v>100100080</v>
          </cell>
          <cell r="E3" t="str">
            <v>Reclas</v>
          </cell>
          <cell r="F3" t="str">
            <v>2007/01</v>
          </cell>
          <cell r="G3" t="str">
            <v>I. R. s/ Juros s/ Capital próprio</v>
          </cell>
          <cell r="H3" t="str">
            <v>Z228</v>
          </cell>
          <cell r="I3">
            <v>39113</v>
          </cell>
          <cell r="J3">
            <v>39113</v>
          </cell>
          <cell r="K3">
            <v>358357287.5</v>
          </cell>
          <cell r="L3">
            <v>358357287.5</v>
          </cell>
          <cell r="M3" t="str">
            <v>BRL</v>
          </cell>
          <cell r="N3">
            <v>358357287.5</v>
          </cell>
        </row>
        <row r="4">
          <cell r="A4" t="str">
            <v>2104000003Atual</v>
          </cell>
          <cell r="B4" t="str">
            <v>2104000003</v>
          </cell>
          <cell r="C4" t="str">
            <v>JB</v>
          </cell>
          <cell r="D4" t="str">
            <v>100527888</v>
          </cell>
          <cell r="E4" t="str">
            <v>Atual</v>
          </cell>
          <cell r="F4" t="str">
            <v>2007/01</v>
          </cell>
          <cell r="G4" t="str">
            <v>Atualiz Selic Divid-Terc -Prov 12/06 sem data pgt</v>
          </cell>
          <cell r="H4" t="str">
            <v>BRE3</v>
          </cell>
          <cell r="I4">
            <v>39113</v>
          </cell>
          <cell r="J4">
            <v>39113</v>
          </cell>
          <cell r="K4">
            <v>-3955127.59</v>
          </cell>
          <cell r="L4">
            <v>3955127.59</v>
          </cell>
          <cell r="M4" t="str">
            <v>BRL</v>
          </cell>
          <cell r="N4">
            <v>-3955127.59</v>
          </cell>
        </row>
        <row r="5">
          <cell r="A5" t="str">
            <v>2104000006Atual</v>
          </cell>
          <cell r="B5" t="str">
            <v>2104000006</v>
          </cell>
          <cell r="C5" t="str">
            <v>JB</v>
          </cell>
          <cell r="D5" t="str">
            <v>100527888</v>
          </cell>
          <cell r="E5" t="str">
            <v>Atual</v>
          </cell>
          <cell r="F5" t="str">
            <v>2007/01</v>
          </cell>
          <cell r="G5" t="str">
            <v>Atualiz Selic JCP-Terc -Prov 12/06 sem data pgto</v>
          </cell>
          <cell r="H5" t="str">
            <v>BRE3</v>
          </cell>
          <cell r="I5">
            <v>39113</v>
          </cell>
          <cell r="J5">
            <v>39113</v>
          </cell>
          <cell r="K5">
            <v>-14571522.699999999</v>
          </cell>
          <cell r="L5">
            <v>14571522.699999999</v>
          </cell>
          <cell r="M5" t="str">
            <v>BRL</v>
          </cell>
          <cell r="N5">
            <v>-14571522.699999999</v>
          </cell>
        </row>
        <row r="6">
          <cell r="A6" t="str">
            <v>2104000006Atual</v>
          </cell>
          <cell r="B6" t="str">
            <v>2104000006</v>
          </cell>
          <cell r="C6" t="str">
            <v>JB</v>
          </cell>
          <cell r="D6" t="str">
            <v>100527888</v>
          </cell>
          <cell r="E6" t="str">
            <v>Atual</v>
          </cell>
          <cell r="F6" t="str">
            <v>2007/01</v>
          </cell>
          <cell r="G6" t="str">
            <v>Atualiz Selic JCP-Terc -Prov 12/06 e pg em 04/01/</v>
          </cell>
          <cell r="H6" t="str">
            <v>BRE3</v>
          </cell>
          <cell r="I6">
            <v>39113</v>
          </cell>
          <cell r="J6">
            <v>39113</v>
          </cell>
          <cell r="K6">
            <v>-4460670.21</v>
          </cell>
          <cell r="L6">
            <v>4460670.21</v>
          </cell>
          <cell r="M6" t="str">
            <v>BRL</v>
          </cell>
          <cell r="N6">
            <v>-4460670.21</v>
          </cell>
        </row>
        <row r="7">
          <cell r="A7" t="str">
            <v>2104000007Atual</v>
          </cell>
          <cell r="B7" t="str">
            <v>2104000007</v>
          </cell>
          <cell r="C7" t="str">
            <v>JB</v>
          </cell>
          <cell r="D7" t="str">
            <v>100527888</v>
          </cell>
          <cell r="E7" t="str">
            <v>Atual</v>
          </cell>
          <cell r="F7" t="str">
            <v>2007/01</v>
          </cell>
          <cell r="G7" t="str">
            <v>Atualiz Selic Divid-Uniao -Prov 12/06 sem data pg</v>
          </cell>
          <cell r="H7" t="str">
            <v>BRE3</v>
          </cell>
          <cell r="I7">
            <v>39113</v>
          </cell>
          <cell r="J7">
            <v>39113</v>
          </cell>
          <cell r="K7">
            <v>-1879633.44</v>
          </cell>
          <cell r="L7">
            <v>1879633.44</v>
          </cell>
          <cell r="M7" t="str">
            <v>BRL</v>
          </cell>
          <cell r="N7">
            <v>-1879633.44</v>
          </cell>
        </row>
        <row r="8">
          <cell r="A8" t="str">
            <v>2104000008Atual</v>
          </cell>
          <cell r="B8" t="str">
            <v>2104000008</v>
          </cell>
          <cell r="C8" t="str">
            <v>JB</v>
          </cell>
          <cell r="D8" t="str">
            <v>100527888</v>
          </cell>
          <cell r="E8" t="str">
            <v>Atual</v>
          </cell>
          <cell r="F8" t="str">
            <v>2007/01</v>
          </cell>
          <cell r="G8" t="str">
            <v>Atualiz Selic JCP-Uniao -Prov 12/06 sem data pgto</v>
          </cell>
          <cell r="H8" t="str">
            <v>BRE3</v>
          </cell>
          <cell r="I8">
            <v>39113</v>
          </cell>
          <cell r="J8">
            <v>39113</v>
          </cell>
          <cell r="K8">
            <v>-6924965.3200000003</v>
          </cell>
          <cell r="L8">
            <v>6924965.3200000003</v>
          </cell>
          <cell r="M8" t="str">
            <v>BRL</v>
          </cell>
          <cell r="N8">
            <v>-6924965.3200000003</v>
          </cell>
        </row>
        <row r="9">
          <cell r="A9" t="str">
            <v>2104000008Atual</v>
          </cell>
          <cell r="B9" t="str">
            <v>2104000008</v>
          </cell>
          <cell r="C9" t="str">
            <v>JB</v>
          </cell>
          <cell r="D9" t="str">
            <v>100527888</v>
          </cell>
          <cell r="E9" t="str">
            <v>Atual</v>
          </cell>
          <cell r="F9" t="str">
            <v>2007/01</v>
          </cell>
          <cell r="G9" t="str">
            <v>Atualiz Selic JCP-Uniao -Prov 12/06 e pg em 04/01</v>
          </cell>
          <cell r="H9" t="str">
            <v>BRE3</v>
          </cell>
          <cell r="I9">
            <v>39113</v>
          </cell>
          <cell r="J9">
            <v>39113</v>
          </cell>
          <cell r="K9">
            <v>-2119887.34</v>
          </cell>
          <cell r="L9">
            <v>2119887.34</v>
          </cell>
          <cell r="M9" t="str">
            <v>BRL</v>
          </cell>
          <cell r="N9">
            <v>-2119887.34</v>
          </cell>
        </row>
        <row r="10">
          <cell r="A10" t="str">
            <v>2104000001Reclas</v>
          </cell>
          <cell r="B10" t="str">
            <v>2104000001</v>
          </cell>
          <cell r="C10" t="str">
            <v>SA</v>
          </cell>
          <cell r="D10" t="str">
            <v>100674568</v>
          </cell>
          <cell r="E10" t="str">
            <v>Reclas</v>
          </cell>
          <cell r="F10" t="str">
            <v>2007/01</v>
          </cell>
          <cell r="G10" t="str">
            <v>reclassific. p/  outros valores</v>
          </cell>
          <cell r="H10" t="str">
            <v>Z228</v>
          </cell>
          <cell r="I10">
            <v>39113</v>
          </cell>
          <cell r="J10">
            <v>39113</v>
          </cell>
          <cell r="K10">
            <v>1040823049.7</v>
          </cell>
          <cell r="L10">
            <v>1040823049.7</v>
          </cell>
          <cell r="M10" t="str">
            <v>BRL</v>
          </cell>
          <cell r="N10">
            <v>1040823049.7</v>
          </cell>
        </row>
        <row r="11">
          <cell r="A11" t="str">
            <v>2104000002Reclas</v>
          </cell>
          <cell r="B11" t="str">
            <v>2104000002</v>
          </cell>
          <cell r="C11" t="str">
            <v>SA</v>
          </cell>
          <cell r="D11" t="str">
            <v>100674568</v>
          </cell>
          <cell r="E11" t="str">
            <v>Reclas</v>
          </cell>
          <cell r="F11" t="str">
            <v>2007/01</v>
          </cell>
          <cell r="G11" t="str">
            <v>reclassific. p/  outros valores</v>
          </cell>
          <cell r="H11" t="str">
            <v>Z228</v>
          </cell>
          <cell r="I11">
            <v>39113</v>
          </cell>
          <cell r="J11">
            <v>39113</v>
          </cell>
          <cell r="K11">
            <v>494640379.80000001</v>
          </cell>
          <cell r="L11">
            <v>494640379.80000001</v>
          </cell>
          <cell r="M11" t="str">
            <v>BRL</v>
          </cell>
          <cell r="N11">
            <v>494640379.80000001</v>
          </cell>
        </row>
        <row r="12">
          <cell r="A12" t="str">
            <v>2104000003Reclas</v>
          </cell>
          <cell r="B12" t="str">
            <v>2104000003</v>
          </cell>
          <cell r="C12" t="str">
            <v>SA</v>
          </cell>
          <cell r="D12" t="str">
            <v>100674568</v>
          </cell>
          <cell r="E12" t="str">
            <v>Reclas</v>
          </cell>
          <cell r="F12" t="str">
            <v>2007/01</v>
          </cell>
          <cell r="G12" t="str">
            <v>reclassifi. dividendos terceiros</v>
          </cell>
          <cell r="H12" t="str">
            <v>Z228</v>
          </cell>
          <cell r="I12">
            <v>39113</v>
          </cell>
          <cell r="J12">
            <v>39113</v>
          </cell>
          <cell r="K12">
            <v>-1040823049.7</v>
          </cell>
          <cell r="L12">
            <v>1040823049.7</v>
          </cell>
          <cell r="M12" t="str">
            <v>BRL</v>
          </cell>
          <cell r="N12">
            <v>-1040823049.7</v>
          </cell>
        </row>
        <row r="13">
          <cell r="A13" t="str">
            <v>2104000003Reclas</v>
          </cell>
          <cell r="B13" t="str">
            <v>2104000003</v>
          </cell>
          <cell r="C13" t="str">
            <v>SA</v>
          </cell>
          <cell r="D13" t="str">
            <v>100674568</v>
          </cell>
          <cell r="E13" t="str">
            <v>Reclas</v>
          </cell>
          <cell r="F13" t="str">
            <v>2007/01</v>
          </cell>
          <cell r="G13" t="str">
            <v>reclassificação divd união</v>
          </cell>
          <cell r="H13" t="str">
            <v>Z228</v>
          </cell>
          <cell r="I13">
            <v>39113</v>
          </cell>
          <cell r="J13">
            <v>39113</v>
          </cell>
          <cell r="K13">
            <v>-494640379.80000001</v>
          </cell>
          <cell r="L13">
            <v>494640379.80000001</v>
          </cell>
          <cell r="M13" t="str">
            <v>BRL</v>
          </cell>
          <cell r="N13">
            <v>-494640379.80000001</v>
          </cell>
        </row>
        <row r="14">
          <cell r="A14" t="str">
            <v>2104000004Reclas</v>
          </cell>
          <cell r="B14" t="str">
            <v>2104000004</v>
          </cell>
          <cell r="C14" t="str">
            <v>SA</v>
          </cell>
          <cell r="D14" t="str">
            <v>100674568</v>
          </cell>
          <cell r="E14" t="str">
            <v>Reclas</v>
          </cell>
          <cell r="F14" t="str">
            <v>2007/01</v>
          </cell>
          <cell r="G14" t="str">
            <v>reclassific. p/  outros valores</v>
          </cell>
          <cell r="H14" t="str">
            <v>Z228</v>
          </cell>
          <cell r="I14">
            <v>39113</v>
          </cell>
          <cell r="J14">
            <v>39113</v>
          </cell>
          <cell r="K14">
            <v>4311981205.8999996</v>
          </cell>
          <cell r="L14">
            <v>4311981205.8999996</v>
          </cell>
          <cell r="M14" t="str">
            <v>BRL</v>
          </cell>
          <cell r="N14">
            <v>4311981205.8999996</v>
          </cell>
        </row>
        <row r="15">
          <cell r="A15" t="str">
            <v>2104000005Reclas</v>
          </cell>
          <cell r="B15" t="str">
            <v>2104000005</v>
          </cell>
          <cell r="C15" t="str">
            <v>SA</v>
          </cell>
          <cell r="D15" t="str">
            <v>100674568</v>
          </cell>
          <cell r="E15" t="str">
            <v>Reclas</v>
          </cell>
          <cell r="F15" t="str">
            <v>2007/01</v>
          </cell>
          <cell r="G15" t="str">
            <v>reclassific. p/  outros valores</v>
          </cell>
          <cell r="H15" t="str">
            <v>Z228</v>
          </cell>
          <cell r="I15">
            <v>39113</v>
          </cell>
          <cell r="J15">
            <v>39113</v>
          </cell>
          <cell r="K15">
            <v>2049224430.5999999</v>
          </cell>
          <cell r="L15">
            <v>2049224430.5999999</v>
          </cell>
          <cell r="M15" t="str">
            <v>BRL</v>
          </cell>
          <cell r="N15">
            <v>2049224430.5999999</v>
          </cell>
        </row>
        <row r="16">
          <cell r="A16" t="str">
            <v>2104000006Reclas</v>
          </cell>
          <cell r="B16" t="str">
            <v>2104000006</v>
          </cell>
          <cell r="C16" t="str">
            <v>SA</v>
          </cell>
          <cell r="D16" t="str">
            <v>100674568</v>
          </cell>
          <cell r="E16" t="str">
            <v>Reclas</v>
          </cell>
          <cell r="F16" t="str">
            <v>2007/01</v>
          </cell>
          <cell r="G16" t="str">
            <v>reclassificação JCP terrceiros</v>
          </cell>
          <cell r="H16" t="str">
            <v>Z228</v>
          </cell>
          <cell r="I16">
            <v>39113</v>
          </cell>
          <cell r="J16">
            <v>39113</v>
          </cell>
          <cell r="K16">
            <v>-4311981205.8999996</v>
          </cell>
          <cell r="L16">
            <v>4311981205.8999996</v>
          </cell>
          <cell r="M16" t="str">
            <v>BRL</v>
          </cell>
          <cell r="N16">
            <v>-4311981205.8999996</v>
          </cell>
        </row>
        <row r="17">
          <cell r="A17" t="str">
            <v>2104000006Reclas</v>
          </cell>
          <cell r="B17" t="str">
            <v>2104000006</v>
          </cell>
          <cell r="C17" t="str">
            <v>SA</v>
          </cell>
          <cell r="D17" t="str">
            <v>100674568</v>
          </cell>
          <cell r="E17" t="str">
            <v>Reclas</v>
          </cell>
          <cell r="F17" t="str">
            <v>2007/01</v>
          </cell>
          <cell r="G17" t="str">
            <v>reclassificação JCP união</v>
          </cell>
          <cell r="H17" t="str">
            <v>Z228</v>
          </cell>
          <cell r="I17">
            <v>39113</v>
          </cell>
          <cell r="J17">
            <v>39113</v>
          </cell>
          <cell r="K17">
            <v>-2049224430.5999999</v>
          </cell>
          <cell r="L17">
            <v>2049224430.5999999</v>
          </cell>
          <cell r="M17" t="str">
            <v>BRL</v>
          </cell>
          <cell r="N17">
            <v>-2049224430.5999999</v>
          </cell>
        </row>
        <row r="18">
          <cell r="A18" t="str">
            <v>2104000003Reclas</v>
          </cell>
          <cell r="B18" t="str">
            <v>2104000003</v>
          </cell>
          <cell r="C18" t="str">
            <v>SA</v>
          </cell>
          <cell r="D18" t="str">
            <v>100685597</v>
          </cell>
          <cell r="E18" t="str">
            <v>Reclas</v>
          </cell>
          <cell r="F18" t="str">
            <v>2007/01</v>
          </cell>
          <cell r="G18" t="str">
            <v>estorno recl.  DIV. DA UNIÃO</v>
          </cell>
          <cell r="H18" t="str">
            <v>Z228</v>
          </cell>
          <cell r="I18">
            <v>39113</v>
          </cell>
          <cell r="J18">
            <v>39113</v>
          </cell>
          <cell r="K18">
            <v>494640379.80000001</v>
          </cell>
          <cell r="L18">
            <v>494640379.80000001</v>
          </cell>
          <cell r="M18" t="str">
            <v>BRL</v>
          </cell>
          <cell r="N18">
            <v>494640379.80000001</v>
          </cell>
        </row>
        <row r="19">
          <cell r="A19" t="str">
            <v>2104000004Reclas</v>
          </cell>
          <cell r="B19" t="str">
            <v>2104000004</v>
          </cell>
          <cell r="C19" t="str">
            <v>SA</v>
          </cell>
          <cell r="D19" t="str">
            <v>100685597</v>
          </cell>
          <cell r="E19" t="str">
            <v>Reclas</v>
          </cell>
          <cell r="F19" t="str">
            <v>2007/01</v>
          </cell>
          <cell r="G19" t="str">
            <v>reclassif. IR S/ JCP</v>
          </cell>
          <cell r="H19" t="str">
            <v>Z228</v>
          </cell>
          <cell r="I19">
            <v>39113</v>
          </cell>
          <cell r="J19">
            <v>39113</v>
          </cell>
          <cell r="K19">
            <v>-161260779.38</v>
          </cell>
          <cell r="L19">
            <v>161260779.38</v>
          </cell>
          <cell r="M19" t="str">
            <v>BRL</v>
          </cell>
          <cell r="N19">
            <v>-161260779.38</v>
          </cell>
        </row>
        <row r="20">
          <cell r="A20" t="str">
            <v>2104000004Reclas</v>
          </cell>
          <cell r="B20" t="str">
            <v>2104000004</v>
          </cell>
          <cell r="C20" t="str">
            <v>SA</v>
          </cell>
          <cell r="D20" t="str">
            <v>100685597</v>
          </cell>
          <cell r="E20" t="str">
            <v>Reclas</v>
          </cell>
          <cell r="F20" t="str">
            <v>2007/01</v>
          </cell>
          <cell r="G20" t="str">
            <v>reclassif. IR S/ JCP</v>
          </cell>
          <cell r="H20" t="str">
            <v>Z228</v>
          </cell>
          <cell r="I20">
            <v>39113</v>
          </cell>
          <cell r="J20">
            <v>39113</v>
          </cell>
          <cell r="K20">
            <v>-358357287.5</v>
          </cell>
          <cell r="L20">
            <v>358357287.5</v>
          </cell>
          <cell r="M20" t="str">
            <v>BRL</v>
          </cell>
          <cell r="N20">
            <v>-358357287.5</v>
          </cell>
        </row>
        <row r="21">
          <cell r="A21" t="str">
            <v>2104000006Reclas</v>
          </cell>
          <cell r="B21" t="str">
            <v>2104000006</v>
          </cell>
          <cell r="C21" t="str">
            <v>SA</v>
          </cell>
          <cell r="D21" t="str">
            <v>100685597</v>
          </cell>
          <cell r="E21" t="str">
            <v>Reclas</v>
          </cell>
          <cell r="F21" t="str">
            <v>2007/01</v>
          </cell>
          <cell r="G21" t="str">
            <v>IR S/ JCP</v>
          </cell>
          <cell r="H21" t="str">
            <v>Z228</v>
          </cell>
          <cell r="I21">
            <v>39113</v>
          </cell>
          <cell r="J21">
            <v>39113</v>
          </cell>
          <cell r="K21">
            <v>519618066.88</v>
          </cell>
          <cell r="L21">
            <v>519618066.88</v>
          </cell>
          <cell r="M21" t="str">
            <v>BRL</v>
          </cell>
          <cell r="N21">
            <v>519618066.88</v>
          </cell>
        </row>
        <row r="22">
          <cell r="A22" t="str">
            <v>2104000006Reclas</v>
          </cell>
          <cell r="B22" t="str">
            <v>2104000006</v>
          </cell>
          <cell r="C22" t="str">
            <v>SA</v>
          </cell>
          <cell r="D22" t="str">
            <v>100685597</v>
          </cell>
          <cell r="E22" t="str">
            <v>Reclas</v>
          </cell>
          <cell r="F22" t="str">
            <v>2007/01</v>
          </cell>
          <cell r="G22" t="str">
            <v>estorno recl. JCP união</v>
          </cell>
          <cell r="H22" t="str">
            <v>Z228</v>
          </cell>
          <cell r="I22">
            <v>39113</v>
          </cell>
          <cell r="J22">
            <v>39113</v>
          </cell>
          <cell r="K22">
            <v>2049224430.5999999</v>
          </cell>
          <cell r="L22">
            <v>2049224430.5999999</v>
          </cell>
          <cell r="M22" t="str">
            <v>BRL</v>
          </cell>
          <cell r="N22">
            <v>2049224430.5999999</v>
          </cell>
        </row>
        <row r="23">
          <cell r="A23" t="str">
            <v>2104000007Reclas</v>
          </cell>
          <cell r="B23" t="str">
            <v>2104000007</v>
          </cell>
          <cell r="C23" t="str">
            <v>SA</v>
          </cell>
          <cell r="D23" t="str">
            <v>100685597</v>
          </cell>
          <cell r="E23" t="str">
            <v>Reclas</v>
          </cell>
          <cell r="F23" t="str">
            <v>2007/01</v>
          </cell>
          <cell r="G23" t="str">
            <v>reclassifc. div. da união</v>
          </cell>
          <cell r="H23" t="str">
            <v>Z228</v>
          </cell>
          <cell r="I23">
            <v>39113</v>
          </cell>
          <cell r="J23">
            <v>39113</v>
          </cell>
          <cell r="K23">
            <v>-494640379.80000001</v>
          </cell>
          <cell r="L23">
            <v>494640379.80000001</v>
          </cell>
          <cell r="M23" t="str">
            <v>BRL</v>
          </cell>
          <cell r="N23">
            <v>-494640379.80000001</v>
          </cell>
        </row>
        <row r="24">
          <cell r="A24" t="str">
            <v>2104000008Reclas</v>
          </cell>
          <cell r="B24" t="str">
            <v>2104000008</v>
          </cell>
          <cell r="C24" t="str">
            <v>SA</v>
          </cell>
          <cell r="D24" t="str">
            <v>100685597</v>
          </cell>
          <cell r="E24" t="str">
            <v>Reclas</v>
          </cell>
          <cell r="F24" t="str">
            <v>2007/01</v>
          </cell>
          <cell r="G24" t="str">
            <v>reclassificação JCP união</v>
          </cell>
          <cell r="H24" t="str">
            <v>Z228</v>
          </cell>
          <cell r="I24">
            <v>39113</v>
          </cell>
          <cell r="J24">
            <v>39113</v>
          </cell>
          <cell r="K24">
            <v>-2049224430.5999999</v>
          </cell>
          <cell r="L24">
            <v>2049224430.5999999</v>
          </cell>
          <cell r="M24" t="str">
            <v>BRL</v>
          </cell>
          <cell r="N24">
            <v>-2049224430.5999999</v>
          </cell>
        </row>
        <row r="25">
          <cell r="A25" t="str">
            <v>2104000003Pgto</v>
          </cell>
          <cell r="B25" t="str">
            <v>2104000003</v>
          </cell>
          <cell r="C25" t="str">
            <v>JB</v>
          </cell>
          <cell r="D25" t="str">
            <v>100686900</v>
          </cell>
          <cell r="E25" t="str">
            <v>Pgto</v>
          </cell>
          <cell r="F25" t="str">
            <v>2007/01</v>
          </cell>
          <cell r="G25" t="str">
            <v>PAGTO DIVIDENDOS / JSCP JAN 07</v>
          </cell>
          <cell r="H25" t="str">
            <v>Z228</v>
          </cell>
          <cell r="I25">
            <v>39114</v>
          </cell>
          <cell r="J25">
            <v>39113</v>
          </cell>
          <cell r="K25">
            <v>19527</v>
          </cell>
          <cell r="L25">
            <v>19527</v>
          </cell>
          <cell r="M25" t="str">
            <v>BRL</v>
          </cell>
          <cell r="N25">
            <v>19527</v>
          </cell>
        </row>
        <row r="26">
          <cell r="A26" t="str">
            <v>2104000003Pgto</v>
          </cell>
          <cell r="B26" t="str">
            <v>2104000003</v>
          </cell>
          <cell r="C26" t="str">
            <v>JB</v>
          </cell>
          <cell r="D26" t="str">
            <v>100686900</v>
          </cell>
          <cell r="E26" t="str">
            <v>Pgto</v>
          </cell>
          <cell r="F26" t="str">
            <v>2007/01</v>
          </cell>
          <cell r="G26" t="str">
            <v>PAGTO DIVIDENDOS / JSCP JAN 07</v>
          </cell>
          <cell r="H26" t="str">
            <v>Z228</v>
          </cell>
          <cell r="I26">
            <v>39114</v>
          </cell>
          <cell r="J26">
            <v>39113</v>
          </cell>
          <cell r="K26">
            <v>18751.2</v>
          </cell>
          <cell r="L26">
            <v>18751.2</v>
          </cell>
          <cell r="M26" t="str">
            <v>BRL</v>
          </cell>
          <cell r="N26">
            <v>18751.2</v>
          </cell>
        </row>
        <row r="27">
          <cell r="A27" t="str">
            <v>2104000003Pgto</v>
          </cell>
          <cell r="B27" t="str">
            <v>2104000003</v>
          </cell>
          <cell r="C27" t="str">
            <v>JB</v>
          </cell>
          <cell r="D27" t="str">
            <v>100686900</v>
          </cell>
          <cell r="E27" t="str">
            <v>Pgto</v>
          </cell>
          <cell r="F27" t="str">
            <v>2007/01</v>
          </cell>
          <cell r="G27" t="str">
            <v>PAGTO DIVIDENDOS / JSCP JAN 07</v>
          </cell>
          <cell r="H27" t="str">
            <v>Z228</v>
          </cell>
          <cell r="I27">
            <v>39114</v>
          </cell>
          <cell r="J27">
            <v>39113</v>
          </cell>
          <cell r="K27">
            <v>167384.70000000001</v>
          </cell>
          <cell r="L27">
            <v>167384.70000000001</v>
          </cell>
          <cell r="M27" t="str">
            <v>BRL</v>
          </cell>
          <cell r="N27">
            <v>167384.70000000001</v>
          </cell>
        </row>
        <row r="28">
          <cell r="A28" t="str">
            <v>2104000003Pgto</v>
          </cell>
          <cell r="B28" t="str">
            <v>2104000003</v>
          </cell>
          <cell r="C28" t="str">
            <v>JB</v>
          </cell>
          <cell r="D28" t="str">
            <v>100686900</v>
          </cell>
          <cell r="E28" t="str">
            <v>Pgto</v>
          </cell>
          <cell r="F28" t="str">
            <v>2007/01</v>
          </cell>
          <cell r="G28" t="str">
            <v>PAGTO DIVIDENDOS / JSCP JAN 07</v>
          </cell>
          <cell r="H28" t="str">
            <v>Z228</v>
          </cell>
          <cell r="I28">
            <v>39114</v>
          </cell>
          <cell r="J28">
            <v>39113</v>
          </cell>
          <cell r="K28">
            <v>1276.2</v>
          </cell>
          <cell r="L28">
            <v>1276.2</v>
          </cell>
          <cell r="M28" t="str">
            <v>BRL</v>
          </cell>
          <cell r="N28">
            <v>1276.2</v>
          </cell>
        </row>
        <row r="29">
          <cell r="A29" t="str">
            <v>2104000003Pgto</v>
          </cell>
          <cell r="B29" t="str">
            <v>2104000003</v>
          </cell>
          <cell r="C29" t="str">
            <v>JB</v>
          </cell>
          <cell r="D29" t="str">
            <v>100686900</v>
          </cell>
          <cell r="E29" t="str">
            <v>Pgto</v>
          </cell>
          <cell r="F29" t="str">
            <v>2007/01</v>
          </cell>
          <cell r="G29" t="str">
            <v>PAGTO DIVIDENDOS / JSCP JAN 07</v>
          </cell>
          <cell r="H29" t="str">
            <v>Z228</v>
          </cell>
          <cell r="I29">
            <v>39114</v>
          </cell>
          <cell r="J29">
            <v>39113</v>
          </cell>
          <cell r="K29">
            <v>1380.13</v>
          </cell>
          <cell r="L29">
            <v>1380.13</v>
          </cell>
          <cell r="M29" t="str">
            <v>BRL</v>
          </cell>
          <cell r="N29">
            <v>1380.13</v>
          </cell>
        </row>
        <row r="30">
          <cell r="A30" t="str">
            <v>2104000003Pgto</v>
          </cell>
          <cell r="B30" t="str">
            <v>2104000003</v>
          </cell>
          <cell r="C30" t="str">
            <v>JB</v>
          </cell>
          <cell r="D30" t="str">
            <v>100686900</v>
          </cell>
          <cell r="E30" t="str">
            <v>Pgto</v>
          </cell>
          <cell r="F30" t="str">
            <v>2007/01</v>
          </cell>
          <cell r="G30" t="str">
            <v>PAGTO DIVIDENDOS / JSCP JAN 07</v>
          </cell>
          <cell r="H30" t="str">
            <v>Z228</v>
          </cell>
          <cell r="I30">
            <v>39114</v>
          </cell>
          <cell r="J30">
            <v>39113</v>
          </cell>
          <cell r="K30">
            <v>10969.89</v>
          </cell>
          <cell r="L30">
            <v>10969.89</v>
          </cell>
          <cell r="M30" t="str">
            <v>BRL</v>
          </cell>
          <cell r="N30">
            <v>10969.89</v>
          </cell>
        </row>
        <row r="31">
          <cell r="A31" t="str">
            <v>2104000006Pgto</v>
          </cell>
          <cell r="B31" t="str">
            <v>2104000006</v>
          </cell>
          <cell r="C31" t="str">
            <v>JB</v>
          </cell>
          <cell r="D31" t="str">
            <v>100686900</v>
          </cell>
          <cell r="E31" t="str">
            <v>Pgto</v>
          </cell>
          <cell r="F31" t="str">
            <v>2007/01</v>
          </cell>
          <cell r="G31" t="str">
            <v>PAGTO DIVIDENDOS / JSCP JAN 07</v>
          </cell>
          <cell r="H31" t="str">
            <v>Z228</v>
          </cell>
          <cell r="I31">
            <v>39114</v>
          </cell>
          <cell r="J31">
            <v>39113</v>
          </cell>
          <cell r="K31">
            <v>353695.42</v>
          </cell>
          <cell r="L31">
            <v>353695.42</v>
          </cell>
          <cell r="M31" t="str">
            <v>BRL</v>
          </cell>
          <cell r="N31">
            <v>353695.42</v>
          </cell>
        </row>
        <row r="32">
          <cell r="A32" t="str">
            <v>2104000006Pgto</v>
          </cell>
          <cell r="B32" t="str">
            <v>2104000006</v>
          </cell>
          <cell r="C32" t="str">
            <v>JB</v>
          </cell>
          <cell r="D32" t="str">
            <v>100686900</v>
          </cell>
          <cell r="E32" t="str">
            <v>Pgto</v>
          </cell>
          <cell r="F32" t="str">
            <v>2007/01</v>
          </cell>
          <cell r="G32" t="str">
            <v>PAGTO DIVIDENDOS / JSCP JAN 07</v>
          </cell>
          <cell r="H32" t="str">
            <v>Z228</v>
          </cell>
          <cell r="I32">
            <v>39114</v>
          </cell>
          <cell r="J32">
            <v>39113</v>
          </cell>
          <cell r="K32">
            <v>76607.100000000006</v>
          </cell>
          <cell r="L32">
            <v>76607.100000000006</v>
          </cell>
          <cell r="M32" t="str">
            <v>BRL</v>
          </cell>
          <cell r="N32">
            <v>76607.100000000006</v>
          </cell>
        </row>
        <row r="33">
          <cell r="A33" t="str">
            <v>2104000006Pgto</v>
          </cell>
          <cell r="B33" t="str">
            <v>2104000006</v>
          </cell>
          <cell r="C33" t="str">
            <v>JB</v>
          </cell>
          <cell r="D33" t="str">
            <v>100686900</v>
          </cell>
          <cell r="E33" t="str">
            <v>Pgto</v>
          </cell>
          <cell r="F33" t="str">
            <v>2007/01</v>
          </cell>
          <cell r="G33" t="str">
            <v>PAGTO DIVIDENDOS / JSCP JAN 07</v>
          </cell>
          <cell r="H33" t="str">
            <v>Z228</v>
          </cell>
          <cell r="I33">
            <v>39114</v>
          </cell>
          <cell r="J33">
            <v>39113</v>
          </cell>
          <cell r="K33">
            <v>165420.6</v>
          </cell>
          <cell r="L33">
            <v>165420.6</v>
          </cell>
          <cell r="M33" t="str">
            <v>BRL</v>
          </cell>
          <cell r="N33">
            <v>165420.6</v>
          </cell>
        </row>
        <row r="34">
          <cell r="A34" t="str">
            <v>2104000006Pgto</v>
          </cell>
          <cell r="B34" t="str">
            <v>2104000006</v>
          </cell>
          <cell r="C34" t="str">
            <v>JB</v>
          </cell>
          <cell r="D34" t="str">
            <v>100686900</v>
          </cell>
          <cell r="E34" t="str">
            <v>Pgto</v>
          </cell>
          <cell r="F34" t="str">
            <v>2007/01</v>
          </cell>
          <cell r="G34" t="str">
            <v>PAGTO DIVIDENDOS / JSCP JAN 07</v>
          </cell>
          <cell r="H34" t="str">
            <v>Z228</v>
          </cell>
          <cell r="I34">
            <v>39114</v>
          </cell>
          <cell r="J34">
            <v>39113</v>
          </cell>
          <cell r="K34">
            <v>177483.51</v>
          </cell>
          <cell r="L34">
            <v>177483.51</v>
          </cell>
          <cell r="M34" t="str">
            <v>BRL</v>
          </cell>
          <cell r="N34">
            <v>177483.51</v>
          </cell>
        </row>
        <row r="35">
          <cell r="A35" t="str">
            <v>2104000006Pgto</v>
          </cell>
          <cell r="B35" t="str">
            <v>2104000006</v>
          </cell>
          <cell r="C35" t="str">
            <v>JB</v>
          </cell>
          <cell r="D35" t="str">
            <v>100686900</v>
          </cell>
          <cell r="E35" t="str">
            <v>Pgto</v>
          </cell>
          <cell r="F35" t="str">
            <v>2007/01</v>
          </cell>
          <cell r="G35" t="str">
            <v>PAGTO DIVIDENDOS / JSCP JAN 07</v>
          </cell>
          <cell r="H35" t="str">
            <v>Z228</v>
          </cell>
          <cell r="I35">
            <v>39114</v>
          </cell>
          <cell r="J35">
            <v>39113</v>
          </cell>
          <cell r="K35">
            <v>1147218337.2</v>
          </cell>
          <cell r="L35">
            <v>1147218337.2</v>
          </cell>
          <cell r="M35" t="str">
            <v>BRL</v>
          </cell>
          <cell r="N35">
            <v>1147218337.2</v>
          </cell>
        </row>
        <row r="36">
          <cell r="A36" t="str">
            <v>2104000006Pgto</v>
          </cell>
          <cell r="B36" t="str">
            <v>2104000006</v>
          </cell>
          <cell r="C36" t="str">
            <v>JB</v>
          </cell>
          <cell r="D36" t="str">
            <v>100686900</v>
          </cell>
          <cell r="E36" t="str">
            <v>Pgto</v>
          </cell>
          <cell r="F36" t="str">
            <v>2007/01</v>
          </cell>
          <cell r="G36" t="str">
            <v>PAGTO DIVIDENDOS / JSCP JAN 07</v>
          </cell>
          <cell r="H36" t="str">
            <v>Z228</v>
          </cell>
          <cell r="I36">
            <v>39114</v>
          </cell>
          <cell r="J36">
            <v>39113</v>
          </cell>
          <cell r="K36">
            <v>1442572492.5</v>
          </cell>
          <cell r="L36">
            <v>1442572492.5</v>
          </cell>
          <cell r="M36" t="str">
            <v>BRL</v>
          </cell>
          <cell r="N36">
            <v>1442572492.5</v>
          </cell>
        </row>
        <row r="37">
          <cell r="A37" t="str">
            <v>2104000006Pgto</v>
          </cell>
          <cell r="B37" t="str">
            <v>2104000006</v>
          </cell>
          <cell r="C37" t="str">
            <v>JB</v>
          </cell>
          <cell r="D37" t="str">
            <v>100686900</v>
          </cell>
          <cell r="E37" t="str">
            <v>Pgto</v>
          </cell>
          <cell r="F37" t="str">
            <v>2007/01</v>
          </cell>
          <cell r="G37" t="str">
            <v>PAGTO DIVIDENDOS / JSCP JAN 07</v>
          </cell>
          <cell r="H37" t="str">
            <v>Z228</v>
          </cell>
          <cell r="I37">
            <v>39114</v>
          </cell>
          <cell r="J37">
            <v>39113</v>
          </cell>
          <cell r="K37">
            <v>19089.78</v>
          </cell>
          <cell r="L37">
            <v>19089.78</v>
          </cell>
          <cell r="M37" t="str">
            <v>BRL</v>
          </cell>
          <cell r="N37">
            <v>19089.78</v>
          </cell>
        </row>
        <row r="38">
          <cell r="A38" t="str">
            <v>2104000006Pgto</v>
          </cell>
          <cell r="B38" t="str">
            <v>2104000006</v>
          </cell>
          <cell r="C38" t="str">
            <v>JB</v>
          </cell>
          <cell r="D38" t="str">
            <v>100686900</v>
          </cell>
          <cell r="E38" t="str">
            <v>Pgto</v>
          </cell>
          <cell r="F38" t="str">
            <v>2007/01</v>
          </cell>
          <cell r="G38" t="str">
            <v>PAGTO DIVIDENDOS / JSCP JAN 07</v>
          </cell>
          <cell r="H38" t="str">
            <v>Z228</v>
          </cell>
          <cell r="I38">
            <v>39114</v>
          </cell>
          <cell r="J38">
            <v>39113</v>
          </cell>
          <cell r="K38">
            <v>26563.35</v>
          </cell>
          <cell r="L38">
            <v>26563.35</v>
          </cell>
          <cell r="M38" t="str">
            <v>BRL</v>
          </cell>
          <cell r="N38">
            <v>26563.35</v>
          </cell>
        </row>
        <row r="39">
          <cell r="A39" t="str">
            <v>2104000006Pgto</v>
          </cell>
          <cell r="B39" t="str">
            <v>2104000006</v>
          </cell>
          <cell r="C39" t="str">
            <v>JB</v>
          </cell>
          <cell r="D39" t="str">
            <v>100686900</v>
          </cell>
          <cell r="E39" t="str">
            <v>Pgto</v>
          </cell>
          <cell r="F39" t="str">
            <v>2007/01</v>
          </cell>
          <cell r="G39" t="str">
            <v>PAGTO DIVIDENDOS / JSCP JAN 07</v>
          </cell>
          <cell r="H39" t="str">
            <v>Z228</v>
          </cell>
          <cell r="I39">
            <v>39114</v>
          </cell>
          <cell r="J39">
            <v>39113</v>
          </cell>
          <cell r="K39">
            <v>102272.94</v>
          </cell>
          <cell r="L39">
            <v>102272.94</v>
          </cell>
          <cell r="M39" t="str">
            <v>BRL</v>
          </cell>
          <cell r="N39">
            <v>102272.94</v>
          </cell>
        </row>
        <row r="40">
          <cell r="A40" t="str">
            <v>2104000006Pgto</v>
          </cell>
          <cell r="B40" t="str">
            <v>2104000006</v>
          </cell>
          <cell r="C40" t="str">
            <v>JB</v>
          </cell>
          <cell r="D40" t="str">
            <v>100686900</v>
          </cell>
          <cell r="E40" t="str">
            <v>Pgto</v>
          </cell>
          <cell r="F40" t="str">
            <v>2007/01</v>
          </cell>
          <cell r="G40" t="str">
            <v>PAGTO DIVIDENDOS / JSCP JAN 07</v>
          </cell>
          <cell r="H40" t="str">
            <v>Z228</v>
          </cell>
          <cell r="I40">
            <v>39114</v>
          </cell>
          <cell r="J40">
            <v>39113</v>
          </cell>
          <cell r="K40">
            <v>1114.53</v>
          </cell>
          <cell r="L40">
            <v>1114.53</v>
          </cell>
          <cell r="M40" t="str">
            <v>BRL</v>
          </cell>
          <cell r="N40">
            <v>1114.53</v>
          </cell>
        </row>
        <row r="41">
          <cell r="A41" t="str">
            <v>2104000006Pgto</v>
          </cell>
          <cell r="B41" t="str">
            <v>2104000006</v>
          </cell>
          <cell r="C41" t="str">
            <v>JB</v>
          </cell>
          <cell r="D41" t="str">
            <v>100686900</v>
          </cell>
          <cell r="E41" t="str">
            <v>Pgto</v>
          </cell>
          <cell r="F41" t="str">
            <v>2007/01</v>
          </cell>
          <cell r="G41" t="str">
            <v>PAGTO DIVIDENDOS / JSCP JAN 07</v>
          </cell>
          <cell r="H41" t="str">
            <v>Z228</v>
          </cell>
          <cell r="I41">
            <v>39114</v>
          </cell>
          <cell r="J41">
            <v>39113</v>
          </cell>
          <cell r="K41">
            <v>1247.6199999999999</v>
          </cell>
          <cell r="L41">
            <v>1247.6199999999999</v>
          </cell>
          <cell r="M41" t="str">
            <v>BRL</v>
          </cell>
          <cell r="N41">
            <v>1247.6199999999999</v>
          </cell>
        </row>
        <row r="42">
          <cell r="A42" t="str">
            <v>2104000006Pgto</v>
          </cell>
          <cell r="B42" t="str">
            <v>2104000006</v>
          </cell>
          <cell r="C42" t="str">
            <v>JB</v>
          </cell>
          <cell r="D42" t="str">
            <v>100686900</v>
          </cell>
          <cell r="E42" t="str">
            <v>Pgto</v>
          </cell>
          <cell r="F42" t="str">
            <v>2007/01</v>
          </cell>
          <cell r="G42" t="str">
            <v>PAGTO DIVIDENDOS / JSCP JAN 07</v>
          </cell>
          <cell r="H42" t="str">
            <v>Z228</v>
          </cell>
          <cell r="I42">
            <v>39114</v>
          </cell>
          <cell r="J42">
            <v>39113</v>
          </cell>
          <cell r="K42">
            <v>1887.55</v>
          </cell>
          <cell r="L42">
            <v>1887.55</v>
          </cell>
          <cell r="M42" t="str">
            <v>BRL</v>
          </cell>
          <cell r="N42">
            <v>1887.55</v>
          </cell>
        </row>
        <row r="43">
          <cell r="A43" t="str">
            <v>2104000006Pgto</v>
          </cell>
          <cell r="B43" t="str">
            <v>2104000006</v>
          </cell>
          <cell r="C43" t="str">
            <v>JB</v>
          </cell>
          <cell r="D43" t="str">
            <v>100686900</v>
          </cell>
          <cell r="E43" t="str">
            <v>Pgto</v>
          </cell>
          <cell r="F43" t="str">
            <v>2007/01</v>
          </cell>
          <cell r="G43" t="str">
            <v>PAGTO DIVIDENDOS / JSCP JAN 07</v>
          </cell>
          <cell r="H43" t="str">
            <v>Z228</v>
          </cell>
          <cell r="I43">
            <v>39114</v>
          </cell>
          <cell r="J43">
            <v>39113</v>
          </cell>
          <cell r="K43">
            <v>1955.13</v>
          </cell>
          <cell r="L43">
            <v>1955.13</v>
          </cell>
          <cell r="M43" t="str">
            <v>BRL</v>
          </cell>
          <cell r="N43">
            <v>1955.13</v>
          </cell>
        </row>
        <row r="44">
          <cell r="A44" t="str">
            <v>2104000006Pgto</v>
          </cell>
          <cell r="B44" t="str">
            <v>2104000006</v>
          </cell>
          <cell r="C44" t="str">
            <v>JB</v>
          </cell>
          <cell r="D44" t="str">
            <v>100686900</v>
          </cell>
          <cell r="E44" t="str">
            <v>Pgto</v>
          </cell>
          <cell r="F44" t="str">
            <v>2007/01</v>
          </cell>
          <cell r="G44" t="str">
            <v>PAGTO DIVIDENDOS / JSCP JAN 07</v>
          </cell>
          <cell r="H44" t="str">
            <v>Z228</v>
          </cell>
          <cell r="I44">
            <v>39114</v>
          </cell>
          <cell r="J44">
            <v>39113</v>
          </cell>
          <cell r="K44">
            <v>508.51</v>
          </cell>
          <cell r="L44">
            <v>508.51</v>
          </cell>
          <cell r="M44" t="str">
            <v>BRL</v>
          </cell>
          <cell r="N44">
            <v>508.51</v>
          </cell>
        </row>
        <row r="45">
          <cell r="A45" t="str">
            <v>2104000006Pgto</v>
          </cell>
          <cell r="B45" t="str">
            <v>2104000006</v>
          </cell>
          <cell r="C45" t="str">
            <v>JB</v>
          </cell>
          <cell r="D45" t="str">
            <v>100686900</v>
          </cell>
          <cell r="E45" t="str">
            <v>Pgto</v>
          </cell>
          <cell r="F45" t="str">
            <v>2007/01</v>
          </cell>
          <cell r="G45" t="str">
            <v>PAGTO DIVIDENDOS / JSCP JAN 07</v>
          </cell>
          <cell r="H45" t="str">
            <v>Z228</v>
          </cell>
          <cell r="I45">
            <v>39114</v>
          </cell>
          <cell r="J45">
            <v>39113</v>
          </cell>
          <cell r="K45">
            <v>5332.8</v>
          </cell>
          <cell r="L45">
            <v>5332.8</v>
          </cell>
          <cell r="M45" t="str">
            <v>BRL</v>
          </cell>
          <cell r="N45">
            <v>5332.8</v>
          </cell>
        </row>
        <row r="46">
          <cell r="A46" t="str">
            <v>2104000006Pgto</v>
          </cell>
          <cell r="B46" t="str">
            <v>2104000006</v>
          </cell>
          <cell r="C46" t="str">
            <v>JB</v>
          </cell>
          <cell r="D46" t="str">
            <v>100686900</v>
          </cell>
          <cell r="E46" t="str">
            <v>Pgto</v>
          </cell>
          <cell r="F46" t="str">
            <v>2007/01</v>
          </cell>
          <cell r="G46" t="str">
            <v>PAGTO DIVIDENDOS / JSCP JAN 07</v>
          </cell>
          <cell r="H46" t="str">
            <v>Z228</v>
          </cell>
          <cell r="I46">
            <v>39114</v>
          </cell>
          <cell r="J46">
            <v>39113</v>
          </cell>
          <cell r="K46">
            <v>6702.66</v>
          </cell>
          <cell r="L46">
            <v>6702.66</v>
          </cell>
          <cell r="M46" t="str">
            <v>BRL</v>
          </cell>
          <cell r="N46">
            <v>6702.66</v>
          </cell>
        </row>
        <row r="47">
          <cell r="A47" t="str">
            <v>2104000006Pgto</v>
          </cell>
          <cell r="B47" t="str">
            <v>2104000006</v>
          </cell>
          <cell r="C47" t="str">
            <v>JB</v>
          </cell>
          <cell r="D47" t="str">
            <v>100686900</v>
          </cell>
          <cell r="E47" t="str">
            <v>Pgto</v>
          </cell>
          <cell r="F47" t="str">
            <v>2007/01</v>
          </cell>
          <cell r="G47" t="str">
            <v>PAGTO DIVIDENDOS / JSCP JAN 07</v>
          </cell>
          <cell r="H47" t="str">
            <v>Z228</v>
          </cell>
          <cell r="I47">
            <v>39114</v>
          </cell>
          <cell r="J47">
            <v>39113</v>
          </cell>
          <cell r="K47">
            <v>2024502.94</v>
          </cell>
          <cell r="L47">
            <v>2024502.94</v>
          </cell>
          <cell r="M47" t="str">
            <v>BRL</v>
          </cell>
          <cell r="N47">
            <v>2024502.94</v>
          </cell>
        </row>
        <row r="48">
          <cell r="A48" t="str">
            <v>2104000006Pgto</v>
          </cell>
          <cell r="B48" t="str">
            <v>2104000006</v>
          </cell>
          <cell r="C48" t="str">
            <v>JB</v>
          </cell>
          <cell r="D48" t="str">
            <v>100686900</v>
          </cell>
          <cell r="E48" t="str">
            <v>Pgto</v>
          </cell>
          <cell r="F48" t="str">
            <v>2007/01</v>
          </cell>
          <cell r="G48" t="str">
            <v>PAGTO DIVIDENDOS / JSCP JAN 07</v>
          </cell>
          <cell r="H48" t="str">
            <v>Z228</v>
          </cell>
          <cell r="I48">
            <v>39114</v>
          </cell>
          <cell r="J48">
            <v>39113</v>
          </cell>
          <cell r="K48">
            <v>2390617.85</v>
          </cell>
          <cell r="L48">
            <v>2390617.85</v>
          </cell>
          <cell r="M48" t="str">
            <v>BRL</v>
          </cell>
          <cell r="N48">
            <v>2390617.85</v>
          </cell>
        </row>
        <row r="49">
          <cell r="A49" t="str">
            <v>2104000008Reclas</v>
          </cell>
          <cell r="B49" t="str">
            <v>2104000008</v>
          </cell>
          <cell r="C49" t="str">
            <v>JB</v>
          </cell>
          <cell r="D49" t="str">
            <v>100686900</v>
          </cell>
          <cell r="E49" t="str">
            <v>Reclas</v>
          </cell>
          <cell r="F49" t="str">
            <v>2007/01</v>
          </cell>
          <cell r="G49" t="str">
            <v>PAGTO DIVIDENDOS / JSCP JAN 07</v>
          </cell>
          <cell r="H49" t="str">
            <v>Z228</v>
          </cell>
          <cell r="I49">
            <v>39114</v>
          </cell>
          <cell r="J49">
            <v>39113</v>
          </cell>
          <cell r="K49">
            <v>1413258228</v>
          </cell>
          <cell r="L49">
            <v>1413258228</v>
          </cell>
          <cell r="M49" t="str">
            <v>BRL</v>
          </cell>
          <cell r="N49">
            <v>1413258228</v>
          </cell>
        </row>
        <row r="50">
          <cell r="A50" t="str">
            <v>2104000008Reclas</v>
          </cell>
          <cell r="B50" t="str">
            <v>2104000008</v>
          </cell>
          <cell r="C50" t="str">
            <v>JB</v>
          </cell>
          <cell r="D50" t="str">
            <v>100686900</v>
          </cell>
          <cell r="E50" t="str">
            <v>Reclas</v>
          </cell>
          <cell r="F50" t="str">
            <v>2007/01</v>
          </cell>
          <cell r="G50" t="str">
            <v>PAGTO DIVIDENDOS / JSCP JAN 07</v>
          </cell>
          <cell r="H50" t="str">
            <v>Z228</v>
          </cell>
          <cell r="I50">
            <v>39114</v>
          </cell>
          <cell r="J50">
            <v>39113</v>
          </cell>
          <cell r="K50">
            <v>2119887.34</v>
          </cell>
          <cell r="L50">
            <v>2119887.34</v>
          </cell>
          <cell r="M50" t="str">
            <v>BRL</v>
          </cell>
          <cell r="N50">
            <v>2119887.34</v>
          </cell>
        </row>
        <row r="51">
          <cell r="A51" t="str">
            <v>2104000005Reclas</v>
          </cell>
          <cell r="B51" t="str">
            <v>2104000005</v>
          </cell>
          <cell r="C51" t="str">
            <v>SA</v>
          </cell>
          <cell r="D51" t="str">
            <v>100787113</v>
          </cell>
          <cell r="E51" t="str">
            <v>Reclas</v>
          </cell>
          <cell r="F51" t="str">
            <v>2007/01</v>
          </cell>
          <cell r="G51" t="str">
            <v>Atualiz Selic JCP-União - Prov 12/06 e pg</v>
          </cell>
          <cell r="H51" t="str">
            <v>Z228</v>
          </cell>
          <cell r="I51">
            <v>39113</v>
          </cell>
          <cell r="J51">
            <v>39113</v>
          </cell>
          <cell r="K51">
            <v>-2119887.34</v>
          </cell>
          <cell r="L51">
            <v>2119887.34</v>
          </cell>
          <cell r="M51" t="str">
            <v>BRL</v>
          </cell>
          <cell r="N51">
            <v>-2119887.34</v>
          </cell>
        </row>
        <row r="52">
          <cell r="A52" t="str">
            <v>2104000005Reclas</v>
          </cell>
          <cell r="B52" t="str">
            <v>2104000005</v>
          </cell>
          <cell r="C52" t="str">
            <v>SA</v>
          </cell>
          <cell r="D52" t="str">
            <v>100787113</v>
          </cell>
          <cell r="E52" t="str">
            <v>Reclas</v>
          </cell>
          <cell r="F52" t="str">
            <v>2007/01</v>
          </cell>
          <cell r="G52" t="str">
            <v>Atualiz. JCP União 12/06 sem data pagto</v>
          </cell>
          <cell r="H52" t="str">
            <v>Z228</v>
          </cell>
          <cell r="I52">
            <v>39113</v>
          </cell>
          <cell r="J52">
            <v>39113</v>
          </cell>
          <cell r="K52">
            <v>-6924965.3200000003</v>
          </cell>
          <cell r="L52">
            <v>6924965.3200000003</v>
          </cell>
          <cell r="M52" t="str">
            <v>BRL</v>
          </cell>
          <cell r="N52">
            <v>-6924965.3200000003</v>
          </cell>
        </row>
        <row r="53">
          <cell r="A53" t="str">
            <v>2104000005Pgto</v>
          </cell>
          <cell r="B53" t="str">
            <v>2104000005</v>
          </cell>
          <cell r="C53" t="str">
            <v>SA</v>
          </cell>
          <cell r="D53" t="str">
            <v>100787113</v>
          </cell>
          <cell r="E53" t="str">
            <v>Pgto</v>
          </cell>
          <cell r="F53" t="str">
            <v>2007/01</v>
          </cell>
          <cell r="G53" t="str">
            <v>Pagto Dividendos JCP jan/07</v>
          </cell>
          <cell r="H53" t="str">
            <v>Z228</v>
          </cell>
          <cell r="I53">
            <v>39113</v>
          </cell>
          <cell r="J53">
            <v>39113</v>
          </cell>
          <cell r="K53">
            <v>1415378115.3399999</v>
          </cell>
          <cell r="L53">
            <v>1415378115.3399999</v>
          </cell>
          <cell r="M53" t="str">
            <v>BRL</v>
          </cell>
          <cell r="N53">
            <v>1415378115.3399999</v>
          </cell>
        </row>
        <row r="54">
          <cell r="A54" t="str">
            <v>2104000005Reclas</v>
          </cell>
          <cell r="B54" t="str">
            <v>2104000005</v>
          </cell>
          <cell r="C54" t="str">
            <v>SA</v>
          </cell>
          <cell r="D54" t="str">
            <v>100787113</v>
          </cell>
          <cell r="E54" t="str">
            <v>Reclas</v>
          </cell>
          <cell r="F54" t="str">
            <v>2007/01</v>
          </cell>
          <cell r="G54" t="str">
            <v>JCP união</v>
          </cell>
          <cell r="H54" t="str">
            <v>Z228</v>
          </cell>
          <cell r="I54">
            <v>39113</v>
          </cell>
          <cell r="J54">
            <v>39113</v>
          </cell>
          <cell r="K54">
            <v>-2049224430.5999999</v>
          </cell>
          <cell r="L54">
            <v>2049224430.5999999</v>
          </cell>
          <cell r="M54" t="str">
            <v>BRL</v>
          </cell>
          <cell r="N54">
            <v>-2049224430.5999999</v>
          </cell>
        </row>
        <row r="55">
          <cell r="A55" t="str">
            <v>2104000008Reclas</v>
          </cell>
          <cell r="B55" t="str">
            <v>2104000008</v>
          </cell>
          <cell r="C55" t="str">
            <v>SA</v>
          </cell>
          <cell r="D55" t="str">
            <v>100787113</v>
          </cell>
          <cell r="E55" t="str">
            <v>Reclas</v>
          </cell>
          <cell r="F55" t="str">
            <v>2007/01</v>
          </cell>
          <cell r="G55" t="str">
            <v>reclas. Atualiz Selic JCP-União - Prov 12/06 e pg</v>
          </cell>
          <cell r="H55" t="str">
            <v>Z228</v>
          </cell>
          <cell r="I55">
            <v>39113</v>
          </cell>
          <cell r="J55">
            <v>39113</v>
          </cell>
          <cell r="K55">
            <v>2119887.34</v>
          </cell>
          <cell r="L55">
            <v>2119887.34</v>
          </cell>
          <cell r="M55" t="str">
            <v>BRL</v>
          </cell>
          <cell r="N55">
            <v>2119887.34</v>
          </cell>
        </row>
        <row r="56">
          <cell r="A56" t="str">
            <v>2104000008Reclas</v>
          </cell>
          <cell r="B56" t="str">
            <v>2104000008</v>
          </cell>
          <cell r="C56" t="str">
            <v>SA</v>
          </cell>
          <cell r="D56" t="str">
            <v>100787113</v>
          </cell>
          <cell r="E56" t="str">
            <v>Reclas</v>
          </cell>
          <cell r="F56" t="str">
            <v>2007/01</v>
          </cell>
          <cell r="G56" t="str">
            <v>reclas. Atualiz. JCP União 12/06 sem data pagto</v>
          </cell>
          <cell r="H56" t="str">
            <v>Z228</v>
          </cell>
          <cell r="I56">
            <v>39113</v>
          </cell>
          <cell r="J56">
            <v>39113</v>
          </cell>
          <cell r="K56">
            <v>6924965.3200000003</v>
          </cell>
          <cell r="L56">
            <v>6924965.3200000003</v>
          </cell>
          <cell r="M56" t="str">
            <v>BRL</v>
          </cell>
          <cell r="N56">
            <v>6924965.3200000003</v>
          </cell>
        </row>
        <row r="57">
          <cell r="A57" t="str">
            <v>2104000008Reclas</v>
          </cell>
          <cell r="B57" t="str">
            <v>2104000008</v>
          </cell>
          <cell r="C57" t="str">
            <v>SA</v>
          </cell>
          <cell r="D57" t="str">
            <v>100787113</v>
          </cell>
          <cell r="E57" t="str">
            <v>Reclas</v>
          </cell>
          <cell r="F57" t="str">
            <v>2007/01</v>
          </cell>
          <cell r="G57" t="str">
            <v>reclas. Pagto Dividendos JCP jan/07</v>
          </cell>
          <cell r="H57" t="str">
            <v>Z228</v>
          </cell>
          <cell r="I57">
            <v>39113</v>
          </cell>
          <cell r="J57">
            <v>39113</v>
          </cell>
          <cell r="K57">
            <v>-1415378115.3399999</v>
          </cell>
          <cell r="L57">
            <v>1415378115.3399999</v>
          </cell>
          <cell r="M57" t="str">
            <v>BRL</v>
          </cell>
          <cell r="N57">
            <v>-1415378115.3399999</v>
          </cell>
        </row>
        <row r="58">
          <cell r="A58" t="str">
            <v>2104000008Reclas</v>
          </cell>
          <cell r="B58" t="str">
            <v>2104000008</v>
          </cell>
          <cell r="C58" t="str">
            <v>SA</v>
          </cell>
          <cell r="D58" t="str">
            <v>100787113</v>
          </cell>
          <cell r="E58" t="str">
            <v>Reclas</v>
          </cell>
          <cell r="F58" t="str">
            <v>2007/01</v>
          </cell>
          <cell r="G58" t="str">
            <v>reclas. JCP união</v>
          </cell>
          <cell r="H58" t="str">
            <v>Z228</v>
          </cell>
          <cell r="I58">
            <v>39113</v>
          </cell>
          <cell r="J58">
            <v>39113</v>
          </cell>
          <cell r="K58">
            <v>2049224430.5999999</v>
          </cell>
          <cell r="L58">
            <v>2049224430.5999999</v>
          </cell>
          <cell r="M58" t="str">
            <v>BRL</v>
          </cell>
          <cell r="N58">
            <v>2049224430.5999999</v>
          </cell>
        </row>
        <row r="59">
          <cell r="A59" t="str">
            <v>2104000001Reclas</v>
          </cell>
          <cell r="B59" t="str">
            <v>2104000001</v>
          </cell>
          <cell r="C59" t="str">
            <v>SA</v>
          </cell>
          <cell r="D59" t="str">
            <v>100789847</v>
          </cell>
          <cell r="E59" t="str">
            <v>Reclas</v>
          </cell>
          <cell r="F59" t="str">
            <v>2007/01</v>
          </cell>
          <cell r="G59" t="str">
            <v>Atualiz Selic Divid-Terc - prov 12/06</v>
          </cell>
          <cell r="H59" t="str">
            <v>Z228</v>
          </cell>
          <cell r="I59">
            <v>39113</v>
          </cell>
          <cell r="J59">
            <v>39113</v>
          </cell>
          <cell r="K59">
            <v>-3955127.59</v>
          </cell>
          <cell r="L59">
            <v>3955127.59</v>
          </cell>
          <cell r="M59" t="str">
            <v>BRL</v>
          </cell>
          <cell r="N59">
            <v>-3955127.59</v>
          </cell>
        </row>
        <row r="60">
          <cell r="A60" t="str">
            <v>2104000001Reclas</v>
          </cell>
          <cell r="B60" t="str">
            <v>2104000001</v>
          </cell>
          <cell r="C60" t="str">
            <v>SA</v>
          </cell>
          <cell r="D60" t="str">
            <v>100789847</v>
          </cell>
          <cell r="E60" t="str">
            <v>Reclas</v>
          </cell>
          <cell r="F60" t="str">
            <v>2007/01</v>
          </cell>
          <cell r="G60" t="str">
            <v>pagto dividendos</v>
          </cell>
          <cell r="H60" t="str">
            <v>Z228</v>
          </cell>
          <cell r="I60">
            <v>39113</v>
          </cell>
          <cell r="J60">
            <v>39113</v>
          </cell>
          <cell r="K60">
            <v>219289.12</v>
          </cell>
          <cell r="L60">
            <v>219289.12</v>
          </cell>
          <cell r="M60" t="str">
            <v>BRL</v>
          </cell>
          <cell r="N60">
            <v>219289.12</v>
          </cell>
        </row>
        <row r="61">
          <cell r="A61" t="str">
            <v>2104000001Reclas</v>
          </cell>
          <cell r="B61" t="str">
            <v>2104000001</v>
          </cell>
          <cell r="C61" t="str">
            <v>SA</v>
          </cell>
          <cell r="D61" t="str">
            <v>100789847</v>
          </cell>
          <cell r="E61" t="str">
            <v>Reclas</v>
          </cell>
          <cell r="F61" t="str">
            <v>2007/01</v>
          </cell>
          <cell r="G61" t="str">
            <v>dividendos terceiros</v>
          </cell>
          <cell r="H61" t="str">
            <v>Z228</v>
          </cell>
          <cell r="I61">
            <v>39113</v>
          </cell>
          <cell r="J61">
            <v>39113</v>
          </cell>
          <cell r="K61">
            <v>-1040823049.7</v>
          </cell>
          <cell r="L61">
            <v>1040823049.7</v>
          </cell>
          <cell r="M61" t="str">
            <v>BRL</v>
          </cell>
          <cell r="N61">
            <v>-1040823049.7</v>
          </cell>
        </row>
        <row r="62">
          <cell r="A62" t="str">
            <v>2104000003Reclas</v>
          </cell>
          <cell r="B62" t="str">
            <v>2104000003</v>
          </cell>
          <cell r="C62" t="str">
            <v>SA</v>
          </cell>
          <cell r="D62" t="str">
            <v>100789847</v>
          </cell>
          <cell r="E62" t="str">
            <v>Reclas</v>
          </cell>
          <cell r="F62" t="str">
            <v>2007/01</v>
          </cell>
          <cell r="G62" t="str">
            <v>Reclas. Atualiz Selic Divid-Terc - prov 12/06</v>
          </cell>
          <cell r="H62" t="str">
            <v>Z228</v>
          </cell>
          <cell r="I62">
            <v>39113</v>
          </cell>
          <cell r="J62">
            <v>39113</v>
          </cell>
          <cell r="K62">
            <v>3955127.59</v>
          </cell>
          <cell r="L62">
            <v>3955127.59</v>
          </cell>
          <cell r="M62" t="str">
            <v>BRL</v>
          </cell>
          <cell r="N62">
            <v>3955127.59</v>
          </cell>
        </row>
        <row r="63">
          <cell r="A63" t="str">
            <v>2104000003Reclas</v>
          </cell>
          <cell r="B63" t="str">
            <v>2104000003</v>
          </cell>
          <cell r="C63" t="str">
            <v>SA</v>
          </cell>
          <cell r="D63" t="str">
            <v>100789847</v>
          </cell>
          <cell r="E63" t="str">
            <v>Reclas</v>
          </cell>
          <cell r="F63" t="str">
            <v>2007/01</v>
          </cell>
          <cell r="G63" t="str">
            <v>Reclas. pagto dividendos JCP jan/07</v>
          </cell>
          <cell r="H63" t="str">
            <v>Z228</v>
          </cell>
          <cell r="I63">
            <v>39113</v>
          </cell>
          <cell r="J63">
            <v>39113</v>
          </cell>
          <cell r="K63">
            <v>-219289.12</v>
          </cell>
          <cell r="L63">
            <v>219289.12</v>
          </cell>
          <cell r="M63" t="str">
            <v>BRL</v>
          </cell>
          <cell r="N63">
            <v>-219289.12</v>
          </cell>
        </row>
        <row r="64">
          <cell r="A64" t="str">
            <v>2104000003Reclas</v>
          </cell>
          <cell r="B64" t="str">
            <v>2104000003</v>
          </cell>
          <cell r="C64" t="str">
            <v>SA</v>
          </cell>
          <cell r="D64" t="str">
            <v>100789847</v>
          </cell>
          <cell r="E64" t="str">
            <v>Reclas</v>
          </cell>
          <cell r="F64" t="str">
            <v>2007/01</v>
          </cell>
          <cell r="G64" t="str">
            <v>Reclas. dividendos terceiros</v>
          </cell>
          <cell r="H64" t="str">
            <v>Z228</v>
          </cell>
          <cell r="I64">
            <v>39113</v>
          </cell>
          <cell r="J64">
            <v>39113</v>
          </cell>
          <cell r="K64">
            <v>1040823049.7</v>
          </cell>
          <cell r="L64">
            <v>1040823049.7</v>
          </cell>
          <cell r="M64" t="str">
            <v>BRL</v>
          </cell>
          <cell r="N64">
            <v>1040823049.7</v>
          </cell>
        </row>
        <row r="65">
          <cell r="A65" t="str">
            <v>2104000004Reclas</v>
          </cell>
          <cell r="B65" t="str">
            <v>2104000004</v>
          </cell>
          <cell r="C65" t="str">
            <v>SA</v>
          </cell>
          <cell r="D65" t="str">
            <v>100790356</v>
          </cell>
          <cell r="E65" t="str">
            <v>Reclas</v>
          </cell>
          <cell r="F65" t="str">
            <v>2007/01</v>
          </cell>
          <cell r="G65" t="str">
            <v>ATUALIZ SELIC jcp teR pROV. 12/06 e pag</v>
          </cell>
          <cell r="H65" t="str">
            <v>Z228</v>
          </cell>
          <cell r="I65">
            <v>39113</v>
          </cell>
          <cell r="J65">
            <v>39113</v>
          </cell>
          <cell r="K65">
            <v>-4460670.21</v>
          </cell>
          <cell r="L65">
            <v>4460670.21</v>
          </cell>
          <cell r="M65" t="str">
            <v>BRL</v>
          </cell>
          <cell r="N65">
            <v>-4460670.21</v>
          </cell>
        </row>
        <row r="66">
          <cell r="A66" t="str">
            <v>2104000004Reclas</v>
          </cell>
          <cell r="B66" t="str">
            <v>2104000004</v>
          </cell>
          <cell r="C66" t="str">
            <v>SA</v>
          </cell>
          <cell r="D66" t="str">
            <v>100790356</v>
          </cell>
          <cell r="E66" t="str">
            <v>Reclas</v>
          </cell>
          <cell r="F66" t="str">
            <v>2007/01</v>
          </cell>
          <cell r="G66" t="str">
            <v>Atualiz. JC Terc Prov. 12/06 s/ data pagto</v>
          </cell>
          <cell r="H66" t="str">
            <v>Z228</v>
          </cell>
          <cell r="I66">
            <v>39113</v>
          </cell>
          <cell r="J66">
            <v>39113</v>
          </cell>
          <cell r="K66">
            <v>-14571522.699999999</v>
          </cell>
          <cell r="L66">
            <v>14571522.699999999</v>
          </cell>
          <cell r="M66" t="str">
            <v>BRL</v>
          </cell>
          <cell r="N66">
            <v>-14571522.699999999</v>
          </cell>
        </row>
        <row r="67">
          <cell r="A67" t="str">
            <v>2104000004Reclas</v>
          </cell>
          <cell r="B67" t="str">
            <v>2104000004</v>
          </cell>
          <cell r="C67" t="str">
            <v>SA</v>
          </cell>
          <cell r="D67" t="str">
            <v>100790356</v>
          </cell>
          <cell r="E67" t="str">
            <v>Reclas</v>
          </cell>
          <cell r="F67" t="str">
            <v>2007/01</v>
          </cell>
          <cell r="G67" t="str">
            <v>IR S/ JCP</v>
          </cell>
          <cell r="H67" t="str">
            <v>Z228</v>
          </cell>
          <cell r="I67">
            <v>39113</v>
          </cell>
          <cell r="J67">
            <v>39113</v>
          </cell>
          <cell r="K67">
            <v>519618066.88</v>
          </cell>
          <cell r="L67">
            <v>519618066.88</v>
          </cell>
          <cell r="M67" t="str">
            <v>BRL</v>
          </cell>
          <cell r="N67">
            <v>519618066.88</v>
          </cell>
        </row>
        <row r="68">
          <cell r="A68" t="str">
            <v>2104000004Reclas</v>
          </cell>
          <cell r="B68" t="str">
            <v>2104000004</v>
          </cell>
          <cell r="C68" t="str">
            <v>SA</v>
          </cell>
          <cell r="D68" t="str">
            <v>100790356</v>
          </cell>
          <cell r="E68" t="str">
            <v>Reclas</v>
          </cell>
          <cell r="F68" t="str">
            <v>2007/01</v>
          </cell>
          <cell r="G68" t="str">
            <v>Pagto Dividendos / JCP jan/07</v>
          </cell>
          <cell r="H68" t="str">
            <v>Z228</v>
          </cell>
          <cell r="I68">
            <v>39113</v>
          </cell>
          <cell r="J68">
            <v>39113</v>
          </cell>
          <cell r="K68">
            <v>2595145831.9899998</v>
          </cell>
          <cell r="L68">
            <v>2595145831.9899998</v>
          </cell>
          <cell r="M68" t="str">
            <v>BRL</v>
          </cell>
          <cell r="N68">
            <v>2595145831.9899998</v>
          </cell>
        </row>
        <row r="69">
          <cell r="A69" t="str">
            <v>2104000004Reclas</v>
          </cell>
          <cell r="B69" t="str">
            <v>2104000004</v>
          </cell>
          <cell r="C69" t="str">
            <v>SA</v>
          </cell>
          <cell r="D69" t="str">
            <v>100790356</v>
          </cell>
          <cell r="E69" t="str">
            <v>Reclas</v>
          </cell>
          <cell r="F69" t="str">
            <v>2007/01</v>
          </cell>
          <cell r="G69" t="str">
            <v>JCP terceiros</v>
          </cell>
          <cell r="H69" t="str">
            <v>Z228</v>
          </cell>
          <cell r="I69">
            <v>39113</v>
          </cell>
          <cell r="J69">
            <v>39113</v>
          </cell>
          <cell r="K69">
            <v>-4311981205.8999996</v>
          </cell>
          <cell r="L69">
            <v>4311981205.8999996</v>
          </cell>
          <cell r="M69" t="str">
            <v>BRL</v>
          </cell>
          <cell r="N69">
            <v>-4311981205.8999996</v>
          </cell>
        </row>
        <row r="70">
          <cell r="A70" t="str">
            <v>2104000006Reclas</v>
          </cell>
          <cell r="B70" t="str">
            <v>2104000006</v>
          </cell>
          <cell r="C70" t="str">
            <v>SA</v>
          </cell>
          <cell r="D70" t="str">
            <v>100790356</v>
          </cell>
          <cell r="E70" t="str">
            <v>Reclas</v>
          </cell>
          <cell r="F70" t="str">
            <v>2007/01</v>
          </cell>
          <cell r="G70" t="str">
            <v>RECLAS. ATUALIZ SELIC jcp teR pROV. 12/06 e pag 04</v>
          </cell>
          <cell r="H70" t="str">
            <v>Z228</v>
          </cell>
          <cell r="I70">
            <v>39113</v>
          </cell>
          <cell r="J70">
            <v>39113</v>
          </cell>
          <cell r="K70">
            <v>4460670.21</v>
          </cell>
          <cell r="L70">
            <v>4460670.21</v>
          </cell>
          <cell r="M70" t="str">
            <v>BRL</v>
          </cell>
          <cell r="N70">
            <v>4460670.21</v>
          </cell>
        </row>
        <row r="71">
          <cell r="A71" t="str">
            <v>2104000006Reclas</v>
          </cell>
          <cell r="B71" t="str">
            <v>2104000006</v>
          </cell>
          <cell r="C71" t="str">
            <v>SA</v>
          </cell>
          <cell r="D71" t="str">
            <v>100790356</v>
          </cell>
          <cell r="E71" t="str">
            <v>Reclas</v>
          </cell>
          <cell r="F71" t="str">
            <v>2007/01</v>
          </cell>
          <cell r="G71" t="str">
            <v>Reclas. Atualiz. JC Terc Prov. 12/06 s/ data pagto</v>
          </cell>
          <cell r="H71" t="str">
            <v>Z228</v>
          </cell>
          <cell r="I71">
            <v>39113</v>
          </cell>
          <cell r="J71">
            <v>39113</v>
          </cell>
          <cell r="K71">
            <v>14571522.699999999</v>
          </cell>
          <cell r="L71">
            <v>14571522.699999999</v>
          </cell>
          <cell r="M71" t="str">
            <v>BRL</v>
          </cell>
          <cell r="N71">
            <v>14571522.699999999</v>
          </cell>
        </row>
        <row r="72">
          <cell r="A72" t="str">
            <v>2104000006Reclas</v>
          </cell>
          <cell r="B72" t="str">
            <v>2104000006</v>
          </cell>
          <cell r="C72" t="str">
            <v>SA</v>
          </cell>
          <cell r="D72" t="str">
            <v>100790356</v>
          </cell>
          <cell r="E72" t="str">
            <v>Reclas</v>
          </cell>
          <cell r="F72" t="str">
            <v>2007/01</v>
          </cell>
          <cell r="G72" t="str">
            <v>reclas. IR S/ JCP</v>
          </cell>
          <cell r="H72" t="str">
            <v>Z228</v>
          </cell>
          <cell r="I72">
            <v>39113</v>
          </cell>
          <cell r="J72">
            <v>39113</v>
          </cell>
          <cell r="K72">
            <v>-519618066.88</v>
          </cell>
          <cell r="L72">
            <v>519618066.88</v>
          </cell>
          <cell r="M72" t="str">
            <v>BRL</v>
          </cell>
          <cell r="N72">
            <v>-519618066.88</v>
          </cell>
        </row>
        <row r="73">
          <cell r="A73" t="str">
            <v>2104000006Reclas</v>
          </cell>
          <cell r="B73" t="str">
            <v>2104000006</v>
          </cell>
          <cell r="C73" t="str">
            <v>SA</v>
          </cell>
          <cell r="D73" t="str">
            <v>100790356</v>
          </cell>
          <cell r="E73" t="str">
            <v>Reclas</v>
          </cell>
          <cell r="F73" t="str">
            <v>2007/01</v>
          </cell>
          <cell r="G73" t="str">
            <v>Reclas. Pagto Dividendos / JCP jan/07</v>
          </cell>
          <cell r="H73" t="str">
            <v>Z228</v>
          </cell>
          <cell r="I73">
            <v>39113</v>
          </cell>
          <cell r="J73">
            <v>39113</v>
          </cell>
          <cell r="K73">
            <v>-2595145831.9899998</v>
          </cell>
          <cell r="L73">
            <v>2595145831.9899998</v>
          </cell>
          <cell r="M73" t="str">
            <v>BRL</v>
          </cell>
          <cell r="N73">
            <v>-2595145831.9899998</v>
          </cell>
        </row>
        <row r="74">
          <cell r="A74" t="str">
            <v>2104000006Reclas</v>
          </cell>
          <cell r="B74" t="str">
            <v>2104000006</v>
          </cell>
          <cell r="C74" t="str">
            <v>SA</v>
          </cell>
          <cell r="D74" t="str">
            <v>100790356</v>
          </cell>
          <cell r="E74" t="str">
            <v>Reclas</v>
          </cell>
          <cell r="F74" t="str">
            <v>2007/01</v>
          </cell>
          <cell r="G74" t="str">
            <v>reclas. JCP terceiros</v>
          </cell>
          <cell r="H74" t="str">
            <v>Z228</v>
          </cell>
          <cell r="I74">
            <v>39113</v>
          </cell>
          <cell r="J74">
            <v>39113</v>
          </cell>
          <cell r="K74">
            <v>4311981205.8999996</v>
          </cell>
          <cell r="L74">
            <v>4311981205.8999996</v>
          </cell>
          <cell r="M74" t="str">
            <v>BRL</v>
          </cell>
          <cell r="N74">
            <v>4311981205.8999996</v>
          </cell>
        </row>
        <row r="75">
          <cell r="A75" t="str">
            <v>2104000002Reclas</v>
          </cell>
          <cell r="B75" t="str">
            <v>2104000002</v>
          </cell>
          <cell r="C75" t="str">
            <v>SA</v>
          </cell>
          <cell r="D75" t="str">
            <v>100790376</v>
          </cell>
          <cell r="E75" t="str">
            <v>Reclas</v>
          </cell>
          <cell r="F75" t="str">
            <v>2007/01</v>
          </cell>
          <cell r="G75" t="str">
            <v>atualiz. Selic Divid-União prov. 12/06 s/ da</v>
          </cell>
          <cell r="H75" t="str">
            <v>Z228</v>
          </cell>
          <cell r="I75">
            <v>39113</v>
          </cell>
          <cell r="J75">
            <v>39113</v>
          </cell>
          <cell r="K75">
            <v>-1879633.44</v>
          </cell>
          <cell r="L75">
            <v>1879633.44</v>
          </cell>
          <cell r="M75" t="str">
            <v>BRL</v>
          </cell>
          <cell r="N75">
            <v>-1879633.44</v>
          </cell>
        </row>
        <row r="76">
          <cell r="A76" t="str">
            <v>2104000002Reclas</v>
          </cell>
          <cell r="B76" t="str">
            <v>2104000002</v>
          </cell>
          <cell r="C76" t="str">
            <v>SA</v>
          </cell>
          <cell r="D76" t="str">
            <v>100790376</v>
          </cell>
          <cell r="E76" t="str">
            <v>Reclas</v>
          </cell>
          <cell r="F76" t="str">
            <v>2007/01</v>
          </cell>
          <cell r="G76" t="str">
            <v>div. união</v>
          </cell>
          <cell r="H76" t="str">
            <v>Z228</v>
          </cell>
          <cell r="I76">
            <v>39113</v>
          </cell>
          <cell r="J76">
            <v>39113</v>
          </cell>
          <cell r="K76">
            <v>-494640379.80000001</v>
          </cell>
          <cell r="L76">
            <v>494640379.80000001</v>
          </cell>
          <cell r="M76" t="str">
            <v>BRL</v>
          </cell>
          <cell r="N76">
            <v>-494640379.80000001</v>
          </cell>
        </row>
        <row r="77">
          <cell r="A77" t="str">
            <v>2104000007Reclas</v>
          </cell>
          <cell r="B77" t="str">
            <v>2104000007</v>
          </cell>
          <cell r="C77" t="str">
            <v>SA</v>
          </cell>
          <cell r="D77" t="str">
            <v>100790376</v>
          </cell>
          <cell r="E77" t="str">
            <v>Reclas</v>
          </cell>
          <cell r="F77" t="str">
            <v>2007/01</v>
          </cell>
          <cell r="G77" t="str">
            <v>Recl. atualiz. Selic Divid-União prov. 12/06 s/ da</v>
          </cell>
          <cell r="H77" t="str">
            <v>Z228</v>
          </cell>
          <cell r="I77">
            <v>39113</v>
          </cell>
          <cell r="J77">
            <v>39113</v>
          </cell>
          <cell r="K77">
            <v>1879633.44</v>
          </cell>
          <cell r="L77">
            <v>1879633.44</v>
          </cell>
          <cell r="M77" t="str">
            <v>BRL</v>
          </cell>
          <cell r="N77">
            <v>1879633.44</v>
          </cell>
        </row>
        <row r="78">
          <cell r="A78" t="str">
            <v>2104000007Reclas</v>
          </cell>
          <cell r="B78" t="str">
            <v>2104000007</v>
          </cell>
          <cell r="C78" t="str">
            <v>SA</v>
          </cell>
          <cell r="D78" t="str">
            <v>100790376</v>
          </cell>
          <cell r="E78" t="str">
            <v>Reclas</v>
          </cell>
          <cell r="F78" t="str">
            <v>2007/01</v>
          </cell>
          <cell r="G78" t="str">
            <v>recl. div. união</v>
          </cell>
          <cell r="H78" t="str">
            <v>Z228</v>
          </cell>
          <cell r="I78">
            <v>39113</v>
          </cell>
          <cell r="J78">
            <v>39113</v>
          </cell>
          <cell r="K78">
            <v>494640379.80000001</v>
          </cell>
          <cell r="L78">
            <v>494640379.80000001</v>
          </cell>
          <cell r="M78" t="str">
            <v>BRL</v>
          </cell>
          <cell r="N78">
            <v>494640379.80000001</v>
          </cell>
        </row>
      </sheetData>
      <sheetData sheetId="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ço"/>
      <sheetName val="Demonstração (2)"/>
      <sheetName val="PAR"/>
    </sheetNames>
    <sheetDataSet>
      <sheetData sheetId="0" refreshError="1"/>
      <sheetData sheetId="1" refreshError="1">
        <row r="12">
          <cell r="A12" t="str">
            <v>R$ milhões</v>
          </cell>
        </row>
        <row r="13">
          <cell r="K13" t="str">
            <v>Período Jan-Mar</v>
          </cell>
        </row>
        <row r="15">
          <cell r="A15" t="str">
            <v>3T-2002</v>
          </cell>
          <cell r="C15" t="str">
            <v>4T-2002</v>
          </cell>
          <cell r="E15">
            <v>2001</v>
          </cell>
          <cell r="K15">
            <v>2003</v>
          </cell>
          <cell r="M15">
            <v>2002</v>
          </cell>
        </row>
        <row r="17">
          <cell r="A17">
            <v>29095</v>
          </cell>
          <cell r="C17">
            <v>29428.704000000002</v>
          </cell>
          <cell r="E17">
            <v>19641.966</v>
          </cell>
          <cell r="G17" t="str">
            <v>Vendas brutas</v>
          </cell>
          <cell r="K17">
            <v>33365.385999999999</v>
          </cell>
          <cell r="M17">
            <v>17777.593000000001</v>
          </cell>
        </row>
        <row r="18">
          <cell r="A18">
            <v>-7800</v>
          </cell>
          <cell r="C18">
            <v>-8585.8119999999999</v>
          </cell>
          <cell r="E18">
            <v>-6178.0929999999998</v>
          </cell>
          <cell r="G18" t="str">
            <v>Encargos de vendas</v>
          </cell>
          <cell r="K18">
            <v>-8865.4079999999994</v>
          </cell>
          <cell r="M18">
            <v>-6538.7560000000003</v>
          </cell>
        </row>
        <row r="19">
          <cell r="A19">
            <v>21295</v>
          </cell>
          <cell r="C19">
            <v>20842.892</v>
          </cell>
          <cell r="E19">
            <v>13463.873</v>
          </cell>
          <cell r="G19" t="str">
            <v>Vendas líquidas</v>
          </cell>
          <cell r="K19">
            <v>24499.977999999999</v>
          </cell>
          <cell r="M19">
            <v>11238.837</v>
          </cell>
        </row>
        <row r="20">
          <cell r="A20">
            <v>-13770</v>
          </cell>
          <cell r="C20">
            <v>-13399.8</v>
          </cell>
          <cell r="E20">
            <v>-8374.82</v>
          </cell>
          <cell r="G20" t="str">
            <v xml:space="preserve"> </v>
          </cell>
          <cell r="H20" t="str">
            <v>Custo dos produtos vendidos</v>
          </cell>
          <cell r="K20">
            <v>-12479.571</v>
          </cell>
          <cell r="M20">
            <v>-7536.6620000000003</v>
          </cell>
        </row>
        <row r="21">
          <cell r="A21">
            <v>7525</v>
          </cell>
          <cell r="C21">
            <v>7443.0920000000006</v>
          </cell>
          <cell r="E21">
            <v>5089.0529999999999</v>
          </cell>
          <cell r="G21" t="str">
            <v>Lucro bruto</v>
          </cell>
          <cell r="K21">
            <v>12020.406999999999</v>
          </cell>
          <cell r="M21">
            <v>3702.1749999999993</v>
          </cell>
        </row>
        <row r="22">
          <cell r="G22" t="str">
            <v>Despesas operacionais</v>
          </cell>
        </row>
        <row r="23">
          <cell r="A23">
            <v>-1383.479</v>
          </cell>
          <cell r="C23">
            <v>-1502.1959999999999</v>
          </cell>
          <cell r="E23">
            <v>-1138.576</v>
          </cell>
          <cell r="H23" t="str">
            <v>Vendas, gerais e administrativas</v>
          </cell>
          <cell r="K23">
            <v>-1561.1089999999999</v>
          </cell>
          <cell r="M23">
            <v>-1067.4469999999999</v>
          </cell>
        </row>
        <row r="24">
          <cell r="A24">
            <v>-318.63900000000001</v>
          </cell>
          <cell r="C24">
            <v>-521.59799999999996</v>
          </cell>
          <cell r="E24">
            <v>-419.54199999999997</v>
          </cell>
          <cell r="H24" t="str">
            <v>Custos exploratórios p/ extração de petróleo</v>
          </cell>
          <cell r="K24">
            <v>-227.459</v>
          </cell>
          <cell r="M24">
            <v>-232.27199999999999</v>
          </cell>
        </row>
        <row r="25">
          <cell r="A25">
            <v>-99</v>
          </cell>
          <cell r="C25">
            <v>-152.63900000000001</v>
          </cell>
          <cell r="E25">
            <v>-108.718</v>
          </cell>
          <cell r="H25" t="str">
            <v>Pesquisa e desenvolvimento</v>
          </cell>
          <cell r="K25">
            <v>-139.80000000000001</v>
          </cell>
          <cell r="M25">
            <v>-88.29</v>
          </cell>
        </row>
        <row r="26">
          <cell r="A26">
            <v>-449</v>
          </cell>
          <cell r="C26">
            <v>-151.53100000000001</v>
          </cell>
          <cell r="E26">
            <v>-152.792</v>
          </cell>
          <cell r="H26" t="str">
            <v>Tributárias</v>
          </cell>
          <cell r="K26">
            <v>-234.61099999999999</v>
          </cell>
          <cell r="M26">
            <v>-173.34399999999999</v>
          </cell>
        </row>
        <row r="27">
          <cell r="A27">
            <v>-1033.027</v>
          </cell>
          <cell r="C27">
            <v>-1850.09</v>
          </cell>
          <cell r="E27">
            <v>-1054.873</v>
          </cell>
          <cell r="G27" t="str">
            <v xml:space="preserve"> </v>
          </cell>
          <cell r="H27" t="str">
            <v>Outros</v>
          </cell>
          <cell r="K27">
            <v>-1366.076</v>
          </cell>
          <cell r="M27">
            <v>-566</v>
          </cell>
        </row>
        <row r="28">
          <cell r="H28" t="str">
            <v>Financeiras líquidas</v>
          </cell>
        </row>
        <row r="29">
          <cell r="A29">
            <v>1068</v>
          </cell>
          <cell r="C29">
            <v>856.66899999999998</v>
          </cell>
          <cell r="E29">
            <v>196.25399999999999</v>
          </cell>
          <cell r="H29" t="str">
            <v xml:space="preserve"> </v>
          </cell>
          <cell r="I29" t="str">
            <v>Receitas</v>
          </cell>
          <cell r="K29">
            <v>774.34500000000003</v>
          </cell>
          <cell r="M29">
            <v>701.80600000000004</v>
          </cell>
        </row>
        <row r="30">
          <cell r="A30">
            <v>-802</v>
          </cell>
          <cell r="C30">
            <v>-667.93100000000004</v>
          </cell>
          <cell r="E30">
            <v>-560.88300000000004</v>
          </cell>
          <cell r="I30" t="str">
            <v>Despesas</v>
          </cell>
          <cell r="K30">
            <v>-640.42999999999995</v>
          </cell>
          <cell r="M30">
            <v>-442.25700000000001</v>
          </cell>
        </row>
        <row r="31">
          <cell r="A31">
            <v>1939</v>
          </cell>
          <cell r="C31">
            <v>-248.2</v>
          </cell>
          <cell r="E31">
            <v>-351.34100000000001</v>
          </cell>
          <cell r="I31" t="str">
            <v xml:space="preserve">Var. Monetárias e cambiais ativas </v>
          </cell>
          <cell r="K31">
            <v>-136.68299999999999</v>
          </cell>
          <cell r="M31">
            <v>584.702</v>
          </cell>
        </row>
        <row r="32">
          <cell r="A32">
            <v>-5351</v>
          </cell>
          <cell r="C32">
            <v>1442.377</v>
          </cell>
          <cell r="E32">
            <v>2033.905</v>
          </cell>
          <cell r="H32" t="str">
            <v xml:space="preserve"> </v>
          </cell>
          <cell r="I32" t="str">
            <v>Var. Monetárias e cambiais passivas</v>
          </cell>
          <cell r="K32">
            <v>705.92600000000004</v>
          </cell>
          <cell r="M32">
            <v>-702</v>
          </cell>
        </row>
        <row r="33">
          <cell r="A33">
            <v>-3146</v>
          </cell>
          <cell r="C33">
            <v>1382.915</v>
          </cell>
          <cell r="E33">
            <v>1317.9349999999999</v>
          </cell>
          <cell r="K33">
            <v>703.15800000000013</v>
          </cell>
          <cell r="M33">
            <v>143.25099999999998</v>
          </cell>
        </row>
        <row r="35">
          <cell r="A35">
            <v>-6429.1450000000004</v>
          </cell>
          <cell r="C35">
            <v>-2796.1390000000001</v>
          </cell>
          <cell r="E35">
            <v>-1557.5660000000003</v>
          </cell>
          <cell r="K35">
            <v>-2825.8969999999999</v>
          </cell>
          <cell r="M35">
            <v>-1983.1020000000001</v>
          </cell>
        </row>
        <row r="36">
          <cell r="A36">
            <v>1275.1674466909999</v>
          </cell>
          <cell r="C36">
            <v>-402.65081816674979</v>
          </cell>
          <cell r="E36">
            <v>-426.63099999999997</v>
          </cell>
          <cell r="G36" t="str">
            <v xml:space="preserve">Resultado da Equivalência Patrimonial </v>
          </cell>
          <cell r="K36">
            <v>-89.36262548575003</v>
          </cell>
          <cell r="M36">
            <v>-40.380000000000003</v>
          </cell>
        </row>
        <row r="37">
          <cell r="A37">
            <v>2371.0224466909995</v>
          </cell>
          <cell r="C37">
            <v>4244.3021818332509</v>
          </cell>
          <cell r="E37">
            <v>3103.8559999999998</v>
          </cell>
          <cell r="G37" t="str">
            <v>Lucro operacional</v>
          </cell>
          <cell r="K37">
            <v>9105.1473745142503</v>
          </cell>
          <cell r="M37">
            <v>1678.6929999999991</v>
          </cell>
        </row>
        <row r="38">
          <cell r="A38">
            <v>0</v>
          </cell>
          <cell r="C38">
            <v>605.76599999999996</v>
          </cell>
          <cell r="E38">
            <v>0</v>
          </cell>
          <cell r="G38" t="str">
            <v>Correção Monetária de Balanço</v>
          </cell>
          <cell r="K38">
            <v>16.213000000000001</v>
          </cell>
        </row>
        <row r="39">
          <cell r="A39">
            <v>-108</v>
          </cell>
          <cell r="C39">
            <v>-61.004290377106052</v>
          </cell>
          <cell r="E39">
            <v>849.05600000000004</v>
          </cell>
          <cell r="G39" t="str">
            <v>Receitas (despesas) não operacionais</v>
          </cell>
          <cell r="K39">
            <v>-55.197000000000003</v>
          </cell>
          <cell r="M39">
            <v>7.7359999999999998</v>
          </cell>
        </row>
        <row r="41">
          <cell r="A41">
            <v>-747</v>
          </cell>
          <cell r="C41">
            <v>-1036.0622029613819</v>
          </cell>
          <cell r="E41">
            <v>-576.447</v>
          </cell>
          <cell r="G41" t="str">
            <v>Imposto renda/contribuição social</v>
          </cell>
          <cell r="K41">
            <v>-3314.1545894295223</v>
          </cell>
          <cell r="M41">
            <v>-714.52300000000002</v>
          </cell>
        </row>
        <row r="42">
          <cell r="A42">
            <v>852</v>
          </cell>
          <cell r="C42">
            <v>-479.85199999999998</v>
          </cell>
          <cell r="E42">
            <v>-291.29199999999997</v>
          </cell>
          <cell r="G42" t="str">
            <v>Participação dos acionistas não controladores</v>
          </cell>
          <cell r="K42">
            <v>-206.197</v>
          </cell>
          <cell r="M42">
            <v>-105.583</v>
          </cell>
        </row>
        <row r="43">
          <cell r="A43">
            <v>0</v>
          </cell>
          <cell r="C43">
            <v>-444.09399999999999</v>
          </cell>
          <cell r="E43">
            <v>-262.60199999999998</v>
          </cell>
          <cell r="G43" t="str">
            <v>Participação de Empregados</v>
          </cell>
        </row>
        <row r="45">
          <cell r="A45">
            <v>2368.0224466909995</v>
          </cell>
          <cell r="C45">
            <v>2829.0556884947623</v>
          </cell>
          <cell r="E45">
            <v>2822.5709999999999</v>
          </cell>
          <cell r="G45" t="str">
            <v>Lucro Líquido</v>
          </cell>
          <cell r="K45">
            <v>5544.8117850847275</v>
          </cell>
          <cell r="M45">
            <v>866.32299999999918</v>
          </cell>
        </row>
      </sheetData>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ADO "/>
      <sheetName val="QUADRO_51"/>
      <sheetName val="MACROS"/>
    </sheetNames>
    <sheetDataSet>
      <sheetData sheetId="0" refreshError="1">
        <row r="1">
          <cell r="A1" t="str">
            <v>DEMONSTRAÇÃO DO RESULTADO CONSOLIDADO - LEGISLAÇÃO SOCIETÁRIA</v>
          </cell>
          <cell r="B1">
            <v>0</v>
          </cell>
          <cell r="C1">
            <v>0</v>
          </cell>
          <cell r="D1">
            <v>0</v>
          </cell>
          <cell r="E1">
            <v>0</v>
          </cell>
          <cell r="F1">
            <v>0</v>
          </cell>
          <cell r="G1">
            <v>0</v>
          </cell>
          <cell r="H1">
            <v>0</v>
          </cell>
          <cell r="I1">
            <v>0</v>
          </cell>
          <cell r="J1">
            <v>0</v>
          </cell>
          <cell r="K1">
            <v>0</v>
          </cell>
          <cell r="L1">
            <v>0</v>
          </cell>
          <cell r="M1">
            <v>0</v>
          </cell>
          <cell r="N1">
            <v>0</v>
          </cell>
          <cell r="O1">
            <v>0</v>
          </cell>
          <cell r="P1">
            <v>0</v>
          </cell>
          <cell r="Q1">
            <v>2</v>
          </cell>
        </row>
        <row r="2">
          <cell r="F2">
            <v>36981</v>
          </cell>
        </row>
        <row r="3">
          <cell r="B3" t="str">
            <v>ok</v>
          </cell>
          <cell r="C3" t="str">
            <v>ok</v>
          </cell>
          <cell r="D3" t="str">
            <v>ok</v>
          </cell>
          <cell r="E3" t="str">
            <v>ok</v>
          </cell>
          <cell r="F3" t="str">
            <v>ok</v>
          </cell>
          <cell r="G3" t="str">
            <v>ok</v>
          </cell>
          <cell r="H3" t="str">
            <v>p</v>
          </cell>
          <cell r="I3" t="str">
            <v>ok</v>
          </cell>
          <cell r="J3" t="str">
            <v>ok</v>
          </cell>
          <cell r="K3">
            <v>0</v>
          </cell>
          <cell r="L3" t="str">
            <v>ELIMINAÇÃO</v>
          </cell>
          <cell r="M3">
            <v>0</v>
          </cell>
          <cell r="N3" t="str">
            <v>RECLASSIFICAÇÃO</v>
          </cell>
          <cell r="O3">
            <v>0</v>
          </cell>
          <cell r="P3" t="str">
            <v>CONSOLIDADO</v>
          </cell>
        </row>
        <row r="4">
          <cell r="B4" t="str">
            <v>PETROBRAS</v>
          </cell>
          <cell r="C4" t="str">
            <v>PETROQUISA</v>
          </cell>
          <cell r="D4" t="str">
            <v>BR</v>
          </cell>
          <cell r="E4" t="str">
            <v>BRASPETRO</v>
          </cell>
          <cell r="F4" t="str">
            <v>GASPETRO</v>
          </cell>
          <cell r="G4" t="str">
            <v>TRANSPETRO</v>
          </cell>
          <cell r="H4" t="str">
            <v>DOWNSTREAM</v>
          </cell>
          <cell r="I4" t="str">
            <v>REFAP</v>
          </cell>
          <cell r="J4" t="str">
            <v>PIFCO</v>
          </cell>
          <cell r="K4" t="str">
            <v>TOTAL</v>
          </cell>
          <cell r="L4" t="str">
            <v>DÉBITO</v>
          </cell>
          <cell r="M4" t="str">
            <v>CRÉDITO</v>
          </cell>
          <cell r="N4" t="str">
            <v>DÉBITO</v>
          </cell>
          <cell r="O4" t="str">
            <v>CRÉDITO</v>
          </cell>
          <cell r="P4" t="str">
            <v>R$000</v>
          </cell>
          <cell r="Q4" t="str">
            <v>US$000</v>
          </cell>
        </row>
        <row r="5">
          <cell r="D5" t="str">
            <v xml:space="preserve"> </v>
          </cell>
        </row>
        <row r="6">
          <cell r="A6" t="str">
            <v>RECEITA OPERACIONAL BRUTA</v>
          </cell>
        </row>
        <row r="7">
          <cell r="A7" t="str">
            <v xml:space="preserve">  VENDAS</v>
          </cell>
        </row>
        <row r="8">
          <cell r="A8" t="str">
            <v xml:space="preserve">      PRODUTOS E MERCADORIAS</v>
          </cell>
          <cell r="B8">
            <v>16247898</v>
          </cell>
          <cell r="C8">
            <v>0</v>
          </cell>
          <cell r="D8">
            <v>4440620</v>
          </cell>
          <cell r="E8">
            <v>1942699</v>
          </cell>
          <cell r="F8">
            <v>0</v>
          </cell>
          <cell r="G8">
            <v>0</v>
          </cell>
          <cell r="H8">
            <v>715308</v>
          </cell>
          <cell r="I8">
            <v>315419</v>
          </cell>
          <cell r="J8">
            <v>3357110</v>
          </cell>
          <cell r="K8">
            <v>27019054</v>
          </cell>
          <cell r="L8">
            <v>-8231522.70132</v>
          </cell>
          <cell r="M8">
            <v>0</v>
          </cell>
          <cell r="N8">
            <v>0</v>
          </cell>
          <cell r="O8">
            <v>0</v>
          </cell>
          <cell r="P8">
            <v>18787531</v>
          </cell>
          <cell r="Q8">
            <v>9312283</v>
          </cell>
        </row>
        <row r="9">
          <cell r="A9" t="str">
            <v xml:space="preserve">      SERVIÇOS</v>
          </cell>
          <cell r="B9">
            <v>17675</v>
          </cell>
          <cell r="C9">
            <v>0</v>
          </cell>
          <cell r="D9">
            <v>11674</v>
          </cell>
          <cell r="E9">
            <v>354834</v>
          </cell>
          <cell r="F9">
            <v>86457</v>
          </cell>
          <cell r="G9">
            <v>213455</v>
          </cell>
          <cell r="H9">
            <v>0</v>
          </cell>
          <cell r="I9">
            <v>0</v>
          </cell>
          <cell r="J9">
            <v>0</v>
          </cell>
          <cell r="K9">
            <v>684095</v>
          </cell>
          <cell r="L9">
            <v>-649837.48403976008</v>
          </cell>
          <cell r="M9">
            <v>0</v>
          </cell>
          <cell r="N9">
            <v>0</v>
          </cell>
          <cell r="O9">
            <v>0</v>
          </cell>
          <cell r="P9">
            <v>34258</v>
          </cell>
          <cell r="Q9">
            <v>16980</v>
          </cell>
        </row>
        <row r="10">
          <cell r="B10">
            <v>16265573</v>
          </cell>
          <cell r="C10">
            <v>0</v>
          </cell>
          <cell r="D10">
            <v>4452294</v>
          </cell>
          <cell r="E10">
            <v>2297533</v>
          </cell>
          <cell r="F10">
            <v>86457</v>
          </cell>
          <cell r="G10">
            <v>213455</v>
          </cell>
          <cell r="H10">
            <v>715308</v>
          </cell>
          <cell r="I10">
            <v>315419</v>
          </cell>
          <cell r="J10">
            <v>3357110</v>
          </cell>
          <cell r="K10">
            <v>27703149</v>
          </cell>
          <cell r="L10">
            <v>-8881360.1853597593</v>
          </cell>
          <cell r="M10">
            <v>0</v>
          </cell>
          <cell r="N10">
            <v>0</v>
          </cell>
          <cell r="O10">
            <v>0</v>
          </cell>
          <cell r="P10">
            <v>18821789</v>
          </cell>
          <cell r="Q10">
            <v>9329263</v>
          </cell>
        </row>
        <row r="11">
          <cell r="A11" t="str">
            <v xml:space="preserve">  ENCARGOS DE VENDAS</v>
          </cell>
          <cell r="B11">
            <v>-4645216</v>
          </cell>
          <cell r="C11">
            <v>0</v>
          </cell>
          <cell r="D11">
            <v>-866785</v>
          </cell>
          <cell r="E11">
            <v>-113561</v>
          </cell>
          <cell r="F11">
            <v>-9887</v>
          </cell>
          <cell r="G11">
            <v>-8186</v>
          </cell>
          <cell r="H11">
            <v>-224453</v>
          </cell>
          <cell r="I11">
            <v>-117273</v>
          </cell>
          <cell r="J11">
            <v>0</v>
          </cell>
          <cell r="K11">
            <v>-5985361</v>
          </cell>
          <cell r="L11">
            <v>0</v>
          </cell>
          <cell r="M11">
            <v>629799.76127999986</v>
          </cell>
          <cell r="N11">
            <v>0</v>
          </cell>
          <cell r="O11">
            <v>34090</v>
          </cell>
          <cell r="P11">
            <v>-5321471</v>
          </cell>
          <cell r="Q11">
            <v>-2637656</v>
          </cell>
        </row>
        <row r="13">
          <cell r="A13" t="str">
            <v>RECEITA OPERACIONAL LÍQUIDA</v>
          </cell>
          <cell r="B13">
            <v>11620357</v>
          </cell>
          <cell r="C13">
            <v>0</v>
          </cell>
          <cell r="D13">
            <v>3585509</v>
          </cell>
          <cell r="E13">
            <v>2183972</v>
          </cell>
          <cell r="F13">
            <v>76570</v>
          </cell>
          <cell r="G13">
            <v>205269</v>
          </cell>
          <cell r="H13">
            <v>490855</v>
          </cell>
          <cell r="I13">
            <v>198146</v>
          </cell>
          <cell r="J13">
            <v>3357110</v>
          </cell>
          <cell r="K13">
            <v>21717788</v>
          </cell>
          <cell r="L13">
            <v>-8881360.1853597593</v>
          </cell>
          <cell r="M13">
            <v>629799.76127999986</v>
          </cell>
          <cell r="N13">
            <v>0</v>
          </cell>
          <cell r="O13">
            <v>34090</v>
          </cell>
          <cell r="P13">
            <v>13500318</v>
          </cell>
          <cell r="Q13">
            <v>6691607</v>
          </cell>
        </row>
        <row r="15">
          <cell r="A15" t="str">
            <v>CUSTO DOS PRODUTOS E SERVIÇOS VENDIDOS</v>
          </cell>
          <cell r="B15">
            <v>-6665532</v>
          </cell>
          <cell r="C15">
            <v>0</v>
          </cell>
          <cell r="D15">
            <v>-3314809</v>
          </cell>
          <cell r="E15">
            <v>-1904291</v>
          </cell>
          <cell r="F15">
            <v>-77828</v>
          </cell>
          <cell r="G15">
            <v>-110932</v>
          </cell>
          <cell r="H15">
            <v>-333721</v>
          </cell>
          <cell r="I15">
            <v>-130335</v>
          </cell>
          <cell r="J15">
            <v>-3350351</v>
          </cell>
          <cell r="K15">
            <v>-15887799</v>
          </cell>
          <cell r="L15">
            <v>-804218.71131402208</v>
          </cell>
          <cell r="M15">
            <v>8744403.5712422077</v>
          </cell>
          <cell r="N15">
            <v>0</v>
          </cell>
          <cell r="O15">
            <v>114878</v>
          </cell>
          <cell r="P15">
            <v>-7832736</v>
          </cell>
          <cell r="Q15">
            <v>-3882397</v>
          </cell>
        </row>
        <row r="17">
          <cell r="A17" t="str">
            <v>LUCRO BRUTO</v>
          </cell>
          <cell r="B17">
            <v>4954825</v>
          </cell>
          <cell r="C17">
            <v>0</v>
          </cell>
          <cell r="D17">
            <v>270700</v>
          </cell>
          <cell r="E17">
            <v>279681</v>
          </cell>
          <cell r="F17">
            <v>-1258</v>
          </cell>
          <cell r="G17">
            <v>94337</v>
          </cell>
          <cell r="H17">
            <v>157134</v>
          </cell>
          <cell r="I17">
            <v>67811</v>
          </cell>
          <cell r="J17">
            <v>6759</v>
          </cell>
          <cell r="K17">
            <v>5829989</v>
          </cell>
          <cell r="L17">
            <v>-9685578.8966737818</v>
          </cell>
          <cell r="M17">
            <v>9374203.3325222079</v>
          </cell>
          <cell r="N17">
            <v>0</v>
          </cell>
          <cell r="O17">
            <v>148968</v>
          </cell>
          <cell r="P17">
            <v>5667582</v>
          </cell>
          <cell r="Q17">
            <v>2809210</v>
          </cell>
        </row>
        <row r="19">
          <cell r="A19" t="str">
            <v>DESPESAS OPERACIONAIS</v>
          </cell>
        </row>
        <row r="20">
          <cell r="A20" t="str">
            <v xml:space="preserve">  VENDAS</v>
          </cell>
          <cell r="B20">
            <v>-329530</v>
          </cell>
          <cell r="C20">
            <v>0</v>
          </cell>
          <cell r="D20">
            <v>-144068</v>
          </cell>
          <cell r="E20">
            <v>-16570</v>
          </cell>
          <cell r="F20">
            <v>0</v>
          </cell>
          <cell r="G20">
            <v>-1232</v>
          </cell>
          <cell r="H20">
            <v>-379</v>
          </cell>
          <cell r="I20">
            <v>-27</v>
          </cell>
          <cell r="J20">
            <v>0</v>
          </cell>
          <cell r="K20">
            <v>-491806</v>
          </cell>
          <cell r="L20">
            <v>0</v>
          </cell>
          <cell r="M20">
            <v>35171.513160000002</v>
          </cell>
          <cell r="N20">
            <v>-34090</v>
          </cell>
          <cell r="O20">
            <v>0</v>
          </cell>
          <cell r="P20">
            <v>-490724</v>
          </cell>
          <cell r="Q20">
            <v>-243234</v>
          </cell>
        </row>
        <row r="21">
          <cell r="A21" t="str">
            <v xml:space="preserve">    DESPESAS FINANCEIRAS</v>
          </cell>
          <cell r="B21">
            <v>-363265</v>
          </cell>
          <cell r="C21">
            <v>-6253</v>
          </cell>
          <cell r="D21">
            <v>-33627</v>
          </cell>
          <cell r="E21">
            <v>-93170</v>
          </cell>
          <cell r="F21">
            <v>-292581</v>
          </cell>
          <cell r="G21">
            <v>-76</v>
          </cell>
          <cell r="H21">
            <v>-421</v>
          </cell>
          <cell r="I21">
            <v>-584</v>
          </cell>
          <cell r="J21">
            <v>-110871</v>
          </cell>
          <cell r="K21">
            <v>-900848</v>
          </cell>
          <cell r="L21">
            <v>-13068.050999999999</v>
          </cell>
          <cell r="M21">
            <v>212440.03691</v>
          </cell>
          <cell r="N21">
            <v>0</v>
          </cell>
          <cell r="O21">
            <v>0</v>
          </cell>
          <cell r="P21">
            <v>-701476</v>
          </cell>
          <cell r="Q21">
            <v>-347696</v>
          </cell>
        </row>
        <row r="22">
          <cell r="A22" t="str">
            <v xml:space="preserve">    VAR. MON. E CAMBIAIS PASSIVAS</v>
          </cell>
          <cell r="B22">
            <v>-1724327</v>
          </cell>
          <cell r="C22">
            <v>-4</v>
          </cell>
          <cell r="D22">
            <v>-55</v>
          </cell>
          <cell r="E22">
            <v>-6161</v>
          </cell>
          <cell r="F22">
            <v>-41139</v>
          </cell>
          <cell r="G22">
            <v>-547</v>
          </cell>
          <cell r="H22">
            <v>-26613</v>
          </cell>
          <cell r="I22">
            <v>-1681</v>
          </cell>
          <cell r="J22">
            <v>0</v>
          </cell>
          <cell r="K22">
            <v>-1800527</v>
          </cell>
          <cell r="L22">
            <v>0</v>
          </cell>
          <cell r="M22">
            <v>752757.35441000003</v>
          </cell>
          <cell r="N22">
            <v>0</v>
          </cell>
          <cell r="O22">
            <v>0</v>
          </cell>
          <cell r="P22">
            <v>-1047770</v>
          </cell>
          <cell r="Q22">
            <v>-519341</v>
          </cell>
        </row>
        <row r="23">
          <cell r="A23" t="str">
            <v xml:space="preserve">    RECEITAS FINANCEIRAS</v>
          </cell>
          <cell r="B23">
            <v>721694</v>
          </cell>
          <cell r="C23">
            <v>17078</v>
          </cell>
          <cell r="D23">
            <v>29242</v>
          </cell>
          <cell r="E23">
            <v>33033</v>
          </cell>
          <cell r="F23">
            <v>7859</v>
          </cell>
          <cell r="G23">
            <v>6869</v>
          </cell>
          <cell r="H23">
            <v>4935</v>
          </cell>
          <cell r="I23">
            <v>1</v>
          </cell>
          <cell r="J23">
            <v>97635</v>
          </cell>
          <cell r="K23">
            <v>918346</v>
          </cell>
          <cell r="L23">
            <v>-212440.03691</v>
          </cell>
          <cell r="M23">
            <v>0</v>
          </cell>
          <cell r="N23">
            <v>0</v>
          </cell>
          <cell r="O23">
            <v>0</v>
          </cell>
          <cell r="P23">
            <v>705906</v>
          </cell>
          <cell r="Q23">
            <v>349891</v>
          </cell>
        </row>
        <row r="24">
          <cell r="A24" t="str">
            <v xml:space="preserve">    VAR. MON. E CAMBIAIS  ATIVAS</v>
          </cell>
          <cell r="B24">
            <v>937816</v>
          </cell>
          <cell r="C24">
            <v>0</v>
          </cell>
          <cell r="D24">
            <v>4224</v>
          </cell>
          <cell r="E24">
            <v>6832</v>
          </cell>
          <cell r="F24">
            <v>41</v>
          </cell>
          <cell r="G24">
            <v>133</v>
          </cell>
          <cell r="H24">
            <v>0</v>
          </cell>
          <cell r="I24">
            <v>0</v>
          </cell>
          <cell r="J24">
            <v>0</v>
          </cell>
          <cell r="K24">
            <v>949046</v>
          </cell>
          <cell r="L24">
            <v>-779374.37366000004</v>
          </cell>
          <cell r="M24">
            <v>0</v>
          </cell>
          <cell r="N24">
            <v>0</v>
          </cell>
          <cell r="O24">
            <v>0</v>
          </cell>
          <cell r="P24">
            <v>169672</v>
          </cell>
          <cell r="Q24">
            <v>84100</v>
          </cell>
        </row>
        <row r="25">
          <cell r="A25" t="str">
            <v xml:space="preserve">    RESULTADO FINANCEIRO</v>
          </cell>
          <cell r="B25">
            <v>-428082</v>
          </cell>
          <cell r="C25">
            <v>10821</v>
          </cell>
          <cell r="D25">
            <v>-216</v>
          </cell>
          <cell r="E25">
            <v>-59466</v>
          </cell>
          <cell r="F25">
            <v>-325820</v>
          </cell>
          <cell r="G25">
            <v>6379</v>
          </cell>
          <cell r="H25">
            <v>-22099</v>
          </cell>
          <cell r="I25">
            <v>-2264</v>
          </cell>
          <cell r="J25">
            <v>-13236</v>
          </cell>
          <cell r="K25">
            <v>-833983</v>
          </cell>
          <cell r="L25">
            <v>-1004882.46157</v>
          </cell>
          <cell r="M25">
            <v>965197.39132000005</v>
          </cell>
          <cell r="N25">
            <v>0</v>
          </cell>
          <cell r="O25">
            <v>0</v>
          </cell>
          <cell r="P25">
            <v>-873668</v>
          </cell>
          <cell r="Q25">
            <v>-433046</v>
          </cell>
        </row>
        <row r="26">
          <cell r="A26" t="str">
            <v xml:space="preserve">    RENDIMENTOS    DE NTN'S</v>
          </cell>
          <cell r="B26">
            <v>0</v>
          </cell>
          <cell r="C26">
            <v>106079</v>
          </cell>
          <cell r="D26">
            <v>0</v>
          </cell>
          <cell r="E26">
            <v>0</v>
          </cell>
          <cell r="F26">
            <v>22550</v>
          </cell>
          <cell r="G26">
            <v>0</v>
          </cell>
          <cell r="H26">
            <v>0</v>
          </cell>
          <cell r="I26">
            <v>0</v>
          </cell>
          <cell r="J26">
            <v>0</v>
          </cell>
          <cell r="K26">
            <v>128629</v>
          </cell>
          <cell r="L26">
            <v>0</v>
          </cell>
          <cell r="M26">
            <v>0</v>
          </cell>
          <cell r="N26">
            <v>0</v>
          </cell>
          <cell r="O26">
            <v>0</v>
          </cell>
          <cell r="P26">
            <v>128629</v>
          </cell>
          <cell r="Q26">
            <v>63757</v>
          </cell>
        </row>
        <row r="27">
          <cell r="A27" t="str">
            <v xml:space="preserve">  HONORÁRIOS DIRETORIA E CONS. ADMINISTRAÇÃO</v>
          </cell>
          <cell r="B27">
            <v>-648</v>
          </cell>
          <cell r="C27">
            <v>-39</v>
          </cell>
          <cell r="D27">
            <v>-460</v>
          </cell>
          <cell r="E27">
            <v>-50</v>
          </cell>
          <cell r="F27">
            <v>-335</v>
          </cell>
          <cell r="G27">
            <v>-289</v>
          </cell>
          <cell r="H27">
            <v>0</v>
          </cell>
          <cell r="I27">
            <v>0</v>
          </cell>
          <cell r="J27">
            <v>0</v>
          </cell>
          <cell r="K27">
            <v>-1821</v>
          </cell>
          <cell r="L27">
            <v>0</v>
          </cell>
          <cell r="M27">
            <v>0</v>
          </cell>
          <cell r="N27">
            <v>0</v>
          </cell>
          <cell r="O27">
            <v>0</v>
          </cell>
          <cell r="P27">
            <v>-1821</v>
          </cell>
          <cell r="Q27">
            <v>-903</v>
          </cell>
        </row>
        <row r="28">
          <cell r="A28" t="str">
            <v xml:space="preserve">  ADMINISTRATIVAS</v>
          </cell>
          <cell r="B28">
            <v>-277109</v>
          </cell>
          <cell r="C28">
            <v>-2270</v>
          </cell>
          <cell r="D28">
            <v>-38012</v>
          </cell>
          <cell r="E28">
            <v>-28847</v>
          </cell>
          <cell r="F28">
            <v>-7011</v>
          </cell>
          <cell r="G28">
            <v>-11358</v>
          </cell>
          <cell r="H28">
            <v>-619</v>
          </cell>
          <cell r="I28">
            <v>-132</v>
          </cell>
          <cell r="J28">
            <v>0</v>
          </cell>
          <cell r="K28">
            <v>-365358</v>
          </cell>
          <cell r="L28">
            <v>0</v>
          </cell>
          <cell r="M28">
            <v>0</v>
          </cell>
          <cell r="N28">
            <v>0</v>
          </cell>
          <cell r="O28">
            <v>0</v>
          </cell>
          <cell r="P28">
            <v>-365358</v>
          </cell>
          <cell r="Q28">
            <v>-181094</v>
          </cell>
        </row>
        <row r="29">
          <cell r="A29" t="str">
            <v xml:space="preserve">  TRIBUTÁRIAS</v>
          </cell>
          <cell r="B29">
            <v>-122785</v>
          </cell>
          <cell r="C29">
            <v>-4681</v>
          </cell>
          <cell r="D29">
            <v>-17061</v>
          </cell>
          <cell r="E29">
            <v>-1297</v>
          </cell>
          <cell r="F29">
            <v>-1417</v>
          </cell>
          <cell r="G29">
            <v>-750</v>
          </cell>
          <cell r="H29">
            <v>0</v>
          </cell>
          <cell r="I29">
            <v>0</v>
          </cell>
          <cell r="J29">
            <v>0</v>
          </cell>
          <cell r="K29">
            <v>-147991</v>
          </cell>
          <cell r="L29">
            <v>0</v>
          </cell>
          <cell r="M29">
            <v>0</v>
          </cell>
          <cell r="N29">
            <v>0</v>
          </cell>
          <cell r="O29">
            <v>0</v>
          </cell>
          <cell r="P29">
            <v>-147991</v>
          </cell>
          <cell r="Q29">
            <v>-73354</v>
          </cell>
        </row>
        <row r="30">
          <cell r="A30" t="str">
            <v xml:space="preserve">  PROVISÃO P/ PERDAS C/ INVESTIMENTOS EM </v>
          </cell>
        </row>
        <row r="31">
          <cell r="A31" t="str">
            <v xml:space="preserve">        EXPLORAÇÃO E PRODUÇÃO NO EXTERIOR</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row>
        <row r="32">
          <cell r="A32" t="str">
            <v xml:space="preserve">  CUSTO C/ INVEST.EXPLORATÓRIOS NO EXTERIOR</v>
          </cell>
          <cell r="B32">
            <v>0</v>
          </cell>
          <cell r="C32">
            <v>0</v>
          </cell>
          <cell r="D32">
            <v>0</v>
          </cell>
          <cell r="E32">
            <v>-10403</v>
          </cell>
          <cell r="F32">
            <v>0</v>
          </cell>
          <cell r="G32">
            <v>0</v>
          </cell>
          <cell r="H32">
            <v>0</v>
          </cell>
          <cell r="I32">
            <v>0</v>
          </cell>
          <cell r="J32">
            <v>0</v>
          </cell>
          <cell r="K32">
            <v>-10403</v>
          </cell>
          <cell r="L32">
            <v>0</v>
          </cell>
          <cell r="M32">
            <v>0</v>
          </cell>
          <cell r="N32">
            <v>0</v>
          </cell>
          <cell r="O32">
            <v>0</v>
          </cell>
          <cell r="P32">
            <v>-10403</v>
          </cell>
          <cell r="Q32">
            <v>-5156</v>
          </cell>
        </row>
        <row r="33">
          <cell r="A33" t="str">
            <v xml:space="preserve">  RECUPERAÇÃO INV. EXP. E PRODUÇÃO</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row>
        <row r="34">
          <cell r="A34" t="str">
            <v xml:space="preserve">  BAIXA DE INVEST. EXPLORATÓRIOS NO EXTERIOR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row>
        <row r="35">
          <cell r="A35" t="str">
            <v xml:space="preserve">  CUSTOS C/ PROSP. E PERF. P/ EXP. PETRÓLEO - CUSTOS</v>
          </cell>
        </row>
        <row r="36">
          <cell r="A36" t="str">
            <v xml:space="preserve">        INCORRIDOS</v>
          </cell>
          <cell r="B36">
            <v>-113820</v>
          </cell>
          <cell r="C36">
            <v>0</v>
          </cell>
          <cell r="D36">
            <v>0</v>
          </cell>
          <cell r="E36">
            <v>0</v>
          </cell>
          <cell r="F36">
            <v>0</v>
          </cell>
          <cell r="G36">
            <v>0</v>
          </cell>
          <cell r="H36">
            <v>0</v>
          </cell>
          <cell r="I36">
            <v>0</v>
          </cell>
          <cell r="J36">
            <v>0</v>
          </cell>
          <cell r="K36">
            <v>-113820</v>
          </cell>
          <cell r="L36">
            <v>0</v>
          </cell>
          <cell r="M36">
            <v>0</v>
          </cell>
          <cell r="N36">
            <v>0</v>
          </cell>
          <cell r="O36">
            <v>0</v>
          </cell>
          <cell r="P36">
            <v>-113820</v>
          </cell>
          <cell r="Q36">
            <v>-56416</v>
          </cell>
        </row>
        <row r="37">
          <cell r="A37" t="str">
            <v xml:space="preserve">  CUSTOS C/PESQUISA E DESENV. TECNOLÓGICO</v>
          </cell>
          <cell r="B37">
            <v>-57686</v>
          </cell>
          <cell r="C37">
            <v>0</v>
          </cell>
          <cell r="D37">
            <v>-242</v>
          </cell>
          <cell r="E37">
            <v>0</v>
          </cell>
          <cell r="F37">
            <v>-36</v>
          </cell>
          <cell r="G37">
            <v>0</v>
          </cell>
          <cell r="H37">
            <v>0</v>
          </cell>
          <cell r="I37">
            <v>0</v>
          </cell>
          <cell r="J37">
            <v>0</v>
          </cell>
          <cell r="K37">
            <v>-57964</v>
          </cell>
          <cell r="L37">
            <v>0</v>
          </cell>
          <cell r="M37">
            <v>0</v>
          </cell>
          <cell r="N37">
            <v>0</v>
          </cell>
          <cell r="O37">
            <v>0</v>
          </cell>
          <cell r="P37">
            <v>-57964</v>
          </cell>
          <cell r="Q37">
            <v>-28731</v>
          </cell>
        </row>
        <row r="38">
          <cell r="A38" t="str">
            <v xml:space="preserve">  GANHOS CAMBIAIS NA CONVERSÃO DE CONTROLADAS</v>
          </cell>
          <cell r="B38">
            <v>0</v>
          </cell>
          <cell r="C38">
            <v>0</v>
          </cell>
          <cell r="D38">
            <v>0</v>
          </cell>
          <cell r="E38">
            <v>0</v>
          </cell>
          <cell r="F38">
            <v>0</v>
          </cell>
          <cell r="G38">
            <v>0</v>
          </cell>
          <cell r="H38">
            <v>0</v>
          </cell>
          <cell r="I38">
            <v>0</v>
          </cell>
          <cell r="J38">
            <v>0</v>
          </cell>
          <cell r="K38">
            <v>0</v>
          </cell>
          <cell r="L38">
            <v>0</v>
          </cell>
          <cell r="M38">
            <v>26617.019250000012</v>
          </cell>
          <cell r="N38">
            <v>0</v>
          </cell>
          <cell r="O38">
            <v>0</v>
          </cell>
          <cell r="P38">
            <v>26617</v>
          </cell>
          <cell r="Q38">
            <v>13193</v>
          </cell>
        </row>
        <row r="39">
          <cell r="A39" t="str">
            <v xml:space="preserve">  OUTRAS RECEITAS (DESPESAS) OPERACIONAIS</v>
          </cell>
          <cell r="B39">
            <v>-798150</v>
          </cell>
          <cell r="C39">
            <v>-202</v>
          </cell>
          <cell r="D39">
            <v>459</v>
          </cell>
          <cell r="E39">
            <v>-11882</v>
          </cell>
          <cell r="F39">
            <v>-300</v>
          </cell>
          <cell r="G39">
            <v>1527</v>
          </cell>
          <cell r="H39">
            <v>-80</v>
          </cell>
          <cell r="I39">
            <v>-105</v>
          </cell>
          <cell r="J39">
            <v>0</v>
          </cell>
          <cell r="K39">
            <v>-808733</v>
          </cell>
          <cell r="L39">
            <v>-146507.98097</v>
          </cell>
          <cell r="M39">
            <v>66139.683820000006</v>
          </cell>
          <cell r="N39">
            <v>0</v>
          </cell>
          <cell r="O39">
            <v>0</v>
          </cell>
          <cell r="P39">
            <v>-889101</v>
          </cell>
          <cell r="Q39">
            <v>-440694</v>
          </cell>
        </row>
        <row r="40">
          <cell r="B40">
            <v>-2127810</v>
          </cell>
          <cell r="C40">
            <v>109708</v>
          </cell>
          <cell r="D40">
            <v>-199600</v>
          </cell>
          <cell r="E40">
            <v>-128515</v>
          </cell>
          <cell r="F40">
            <v>-312369</v>
          </cell>
          <cell r="G40">
            <v>-5723</v>
          </cell>
          <cell r="H40">
            <v>-23177</v>
          </cell>
          <cell r="I40">
            <v>-2528</v>
          </cell>
          <cell r="J40">
            <v>-13236</v>
          </cell>
          <cell r="K40">
            <v>-2703250</v>
          </cell>
          <cell r="L40">
            <v>-1151390.44254</v>
          </cell>
          <cell r="M40">
            <v>1093125.6075500001</v>
          </cell>
          <cell r="N40">
            <v>-34090</v>
          </cell>
          <cell r="O40">
            <v>0</v>
          </cell>
          <cell r="P40">
            <v>-2795604</v>
          </cell>
          <cell r="Q40">
            <v>-1385678</v>
          </cell>
        </row>
        <row r="42">
          <cell r="A42" t="str">
            <v>SUBTOTAL</v>
          </cell>
          <cell r="B42">
            <v>2827015</v>
          </cell>
          <cell r="C42">
            <v>109708</v>
          </cell>
          <cell r="D42">
            <v>71100</v>
          </cell>
          <cell r="E42">
            <v>151166</v>
          </cell>
          <cell r="F42">
            <v>-313627</v>
          </cell>
          <cell r="G42">
            <v>88614</v>
          </cell>
          <cell r="H42">
            <v>133957</v>
          </cell>
          <cell r="I42">
            <v>65283</v>
          </cell>
          <cell r="J42">
            <v>-6477</v>
          </cell>
          <cell r="K42">
            <v>3126739</v>
          </cell>
          <cell r="L42">
            <v>-10836969.339213781</v>
          </cell>
          <cell r="M42">
            <v>10467328.940072209</v>
          </cell>
          <cell r="N42">
            <v>-34090</v>
          </cell>
          <cell r="O42">
            <v>148968</v>
          </cell>
          <cell r="P42">
            <v>2871978</v>
          </cell>
          <cell r="Q42">
            <v>1423532</v>
          </cell>
        </row>
        <row r="44">
          <cell r="A44" t="str">
            <v>RESULTADO DE INVESTIMENTOS RELEVANTES</v>
          </cell>
        </row>
        <row r="45">
          <cell r="A45" t="str">
            <v xml:space="preserve">  REALIZAÇÃO DE RESERVA DE REAVALIAÇÃO</v>
          </cell>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row>
        <row r="46">
          <cell r="A46" t="str">
            <v xml:space="preserve">  GANHOS (PERDAS) CAMBIAIS PL. CONTROLADAS</v>
          </cell>
          <cell r="B46">
            <v>0</v>
          </cell>
          <cell r="C46">
            <v>0</v>
          </cell>
          <cell r="D46">
            <v>0</v>
          </cell>
          <cell r="E46">
            <v>167013</v>
          </cell>
          <cell r="F46">
            <v>0</v>
          </cell>
          <cell r="G46">
            <v>0</v>
          </cell>
          <cell r="H46">
            <v>0</v>
          </cell>
          <cell r="I46">
            <v>0</v>
          </cell>
          <cell r="J46">
            <v>0</v>
          </cell>
          <cell r="K46">
            <v>167013</v>
          </cell>
          <cell r="L46">
            <v>0</v>
          </cell>
          <cell r="M46">
            <v>0</v>
          </cell>
          <cell r="N46">
            <v>0</v>
          </cell>
          <cell r="O46">
            <v>2004</v>
          </cell>
          <cell r="P46">
            <v>169017</v>
          </cell>
          <cell r="Q46">
            <v>78191</v>
          </cell>
        </row>
        <row r="47">
          <cell r="A47" t="str">
            <v xml:space="preserve">  PARTICIPAÇÃO PAT.LÍQ. CONTROLADAS</v>
          </cell>
          <cell r="B47">
            <v>836790</v>
          </cell>
          <cell r="C47">
            <v>8810</v>
          </cell>
          <cell r="D47">
            <v>0</v>
          </cell>
          <cell r="E47">
            <v>0</v>
          </cell>
          <cell r="F47">
            <v>-537</v>
          </cell>
          <cell r="G47">
            <v>0</v>
          </cell>
          <cell r="H47">
            <v>0</v>
          </cell>
          <cell r="I47">
            <v>0</v>
          </cell>
          <cell r="J47">
            <v>0</v>
          </cell>
          <cell r="K47">
            <v>845063</v>
          </cell>
          <cell r="L47">
            <v>0</v>
          </cell>
          <cell r="M47">
            <v>0</v>
          </cell>
          <cell r="N47">
            <v>-836789</v>
          </cell>
          <cell r="O47">
            <v>0</v>
          </cell>
          <cell r="P47">
            <v>8274</v>
          </cell>
          <cell r="Q47">
            <v>3828</v>
          </cell>
        </row>
        <row r="48">
          <cell r="B48">
            <v>836790</v>
          </cell>
          <cell r="C48">
            <v>8810</v>
          </cell>
          <cell r="D48">
            <v>0</v>
          </cell>
          <cell r="E48">
            <v>167013</v>
          </cell>
          <cell r="F48">
            <v>-537</v>
          </cell>
          <cell r="G48">
            <v>0</v>
          </cell>
          <cell r="H48">
            <v>0</v>
          </cell>
          <cell r="I48">
            <v>0</v>
          </cell>
          <cell r="J48">
            <v>0</v>
          </cell>
          <cell r="K48">
            <v>1012076</v>
          </cell>
          <cell r="L48">
            <v>0</v>
          </cell>
          <cell r="M48">
            <v>0</v>
          </cell>
          <cell r="N48">
            <v>-836789</v>
          </cell>
          <cell r="O48">
            <v>2004</v>
          </cell>
          <cell r="P48">
            <v>177291</v>
          </cell>
          <cell r="Q48">
            <v>82019</v>
          </cell>
        </row>
        <row r="50">
          <cell r="A50" t="str">
            <v>RESULTADO ANTES DOS EFEITOS INFLACIONÁRIOS</v>
          </cell>
          <cell r="B50">
            <v>3663805</v>
          </cell>
          <cell r="C50">
            <v>118518</v>
          </cell>
          <cell r="D50">
            <v>71100</v>
          </cell>
          <cell r="E50">
            <v>318179</v>
          </cell>
          <cell r="F50">
            <v>-314164</v>
          </cell>
          <cell r="G50">
            <v>88614</v>
          </cell>
          <cell r="H50">
            <v>133957</v>
          </cell>
          <cell r="I50">
            <v>65283</v>
          </cell>
          <cell r="J50">
            <v>-6477</v>
          </cell>
          <cell r="K50">
            <v>4138815</v>
          </cell>
          <cell r="L50">
            <v>-10836969.339213781</v>
          </cell>
          <cell r="M50">
            <v>10467328.940072209</v>
          </cell>
          <cell r="N50">
            <v>-870879</v>
          </cell>
          <cell r="O50">
            <v>150972</v>
          </cell>
          <cell r="P50">
            <v>3049269</v>
          </cell>
          <cell r="Q50">
            <v>1505551</v>
          </cell>
        </row>
        <row r="53">
          <cell r="A53" t="str">
            <v>LUCRO OPERACIONAL ANTES DOS JUROS S/ CAP. PRÓPRIO</v>
          </cell>
          <cell r="B53">
            <v>3663805</v>
          </cell>
          <cell r="C53">
            <v>118518</v>
          </cell>
          <cell r="D53">
            <v>71100</v>
          </cell>
          <cell r="E53">
            <v>318179</v>
          </cell>
          <cell r="F53">
            <v>-314164</v>
          </cell>
          <cell r="G53">
            <v>88614</v>
          </cell>
          <cell r="H53">
            <v>133957</v>
          </cell>
          <cell r="I53">
            <v>65283</v>
          </cell>
          <cell r="J53">
            <v>-6477</v>
          </cell>
          <cell r="K53">
            <v>4138815</v>
          </cell>
          <cell r="L53">
            <v>-10836969.339213781</v>
          </cell>
          <cell r="M53">
            <v>10467328.940072209</v>
          </cell>
          <cell r="N53">
            <v>-870879</v>
          </cell>
          <cell r="O53">
            <v>150972</v>
          </cell>
          <cell r="P53">
            <v>3049269</v>
          </cell>
          <cell r="Q53">
            <v>1505551</v>
          </cell>
        </row>
        <row r="54">
          <cell r="A54" t="str">
            <v xml:space="preserve">    JUROS S/ CAPITAL PRÓPRIO</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row>
        <row r="55">
          <cell r="A55" t="str">
            <v xml:space="preserve">LUCRO OPERACIONAL </v>
          </cell>
          <cell r="B55">
            <v>3663805</v>
          </cell>
          <cell r="C55">
            <v>118518</v>
          </cell>
          <cell r="D55">
            <v>71100</v>
          </cell>
          <cell r="E55">
            <v>318179</v>
          </cell>
          <cell r="F55">
            <v>-314164</v>
          </cell>
          <cell r="G55">
            <v>88614</v>
          </cell>
          <cell r="H55">
            <v>133957</v>
          </cell>
          <cell r="I55">
            <v>65283</v>
          </cell>
          <cell r="J55">
            <v>-6477</v>
          </cell>
          <cell r="K55">
            <v>4138815</v>
          </cell>
          <cell r="L55">
            <v>-10836969.339213781</v>
          </cell>
          <cell r="M55">
            <v>10467328.940072209</v>
          </cell>
          <cell r="N55">
            <v>-870879</v>
          </cell>
          <cell r="O55">
            <v>150972</v>
          </cell>
          <cell r="P55">
            <v>3049269</v>
          </cell>
          <cell r="Q55">
            <v>1505551</v>
          </cell>
        </row>
        <row r="57">
          <cell r="A57" t="str">
            <v>RECEITAS/DESPESAS NÃO OPERACIONAIS</v>
          </cell>
        </row>
        <row r="58">
          <cell r="A58" t="str">
            <v xml:space="preserve">  RECEITAS EVENTUAIS</v>
          </cell>
          <cell r="B58">
            <v>0</v>
          </cell>
          <cell r="C58">
            <v>0</v>
          </cell>
          <cell r="D58">
            <v>1487</v>
          </cell>
          <cell r="E58">
            <v>0</v>
          </cell>
          <cell r="F58">
            <v>0</v>
          </cell>
          <cell r="G58">
            <v>0</v>
          </cell>
          <cell r="H58">
            <v>0</v>
          </cell>
          <cell r="I58">
            <v>0</v>
          </cell>
          <cell r="J58">
            <v>0</v>
          </cell>
          <cell r="K58">
            <v>1487</v>
          </cell>
          <cell r="L58">
            <v>0</v>
          </cell>
          <cell r="M58">
            <v>0</v>
          </cell>
          <cell r="N58">
            <v>0</v>
          </cell>
          <cell r="O58">
            <v>0</v>
          </cell>
          <cell r="P58">
            <v>1487</v>
          </cell>
          <cell r="Q58">
            <v>737</v>
          </cell>
        </row>
        <row r="59">
          <cell r="A59" t="str">
            <v xml:space="preserve">  VARIAÇÕES PATRIMONIAIS, LÍQUIDA</v>
          </cell>
          <cell r="B59">
            <v>-152024</v>
          </cell>
          <cell r="C59">
            <v>0</v>
          </cell>
          <cell r="D59">
            <v>0</v>
          </cell>
          <cell r="E59">
            <v>0</v>
          </cell>
          <cell r="F59">
            <v>0</v>
          </cell>
          <cell r="G59">
            <v>0</v>
          </cell>
          <cell r="H59">
            <v>0</v>
          </cell>
          <cell r="I59">
            <v>0</v>
          </cell>
          <cell r="J59">
            <v>0</v>
          </cell>
          <cell r="K59">
            <v>-152024</v>
          </cell>
          <cell r="L59">
            <v>0</v>
          </cell>
          <cell r="M59">
            <v>0</v>
          </cell>
          <cell r="N59">
            <v>0</v>
          </cell>
          <cell r="O59">
            <v>0</v>
          </cell>
          <cell r="P59">
            <v>-152024</v>
          </cell>
          <cell r="Q59">
            <v>-75353</v>
          </cell>
        </row>
        <row r="60">
          <cell r="A60" t="str">
            <v xml:space="preserve">  PERDAS C/ CONTROLADAS</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row>
        <row r="61">
          <cell r="A61" t="str">
            <v xml:space="preserve">  GANHOS (PERDAS) CAP. EMPRESAS COLIGADAS</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row>
        <row r="62">
          <cell r="A62" t="str">
            <v xml:space="preserve">  GANHOS (PERDAS) CAMBIAIS DE INVEST. NO EXTERIOR</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row>
        <row r="63">
          <cell r="A63" t="str">
            <v xml:space="preserve">  PERDAS C/ GREVE</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row>
        <row r="64">
          <cell r="A64" t="str">
            <v xml:space="preserve">  PROVISÃO P/ PERDAS DE REALIZAÇÃO DE ATIVOS</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row>
        <row r="65">
          <cell r="A65" t="str">
            <v xml:space="preserve">  OUTRAS</v>
          </cell>
          <cell r="B65">
            <v>44653</v>
          </cell>
          <cell r="C65">
            <v>0</v>
          </cell>
          <cell r="D65">
            <v>-112</v>
          </cell>
          <cell r="E65">
            <v>243177</v>
          </cell>
          <cell r="F65">
            <v>-4</v>
          </cell>
          <cell r="G65">
            <v>0</v>
          </cell>
          <cell r="H65">
            <v>0</v>
          </cell>
          <cell r="I65">
            <v>0</v>
          </cell>
          <cell r="J65">
            <v>0</v>
          </cell>
          <cell r="K65">
            <v>287714</v>
          </cell>
          <cell r="L65">
            <v>0</v>
          </cell>
          <cell r="M65">
            <v>0</v>
          </cell>
          <cell r="N65">
            <v>0</v>
          </cell>
          <cell r="O65">
            <v>0</v>
          </cell>
          <cell r="P65">
            <v>287714</v>
          </cell>
          <cell r="Q65">
            <v>142609</v>
          </cell>
        </row>
        <row r="66">
          <cell r="B66">
            <v>-107371</v>
          </cell>
          <cell r="C66">
            <v>0</v>
          </cell>
          <cell r="D66">
            <v>1375</v>
          </cell>
          <cell r="E66">
            <v>243177</v>
          </cell>
          <cell r="F66">
            <v>-4</v>
          </cell>
          <cell r="G66">
            <v>0</v>
          </cell>
          <cell r="H66">
            <v>0</v>
          </cell>
          <cell r="I66">
            <v>0</v>
          </cell>
          <cell r="J66">
            <v>0</v>
          </cell>
          <cell r="K66">
            <v>137177</v>
          </cell>
          <cell r="L66">
            <v>0</v>
          </cell>
          <cell r="M66">
            <v>0</v>
          </cell>
          <cell r="N66">
            <v>0</v>
          </cell>
          <cell r="O66">
            <v>0</v>
          </cell>
          <cell r="P66">
            <v>137177</v>
          </cell>
          <cell r="Q66">
            <v>67993</v>
          </cell>
        </row>
        <row r="68">
          <cell r="A68" t="str">
            <v>RESULTADO ANTES DA CONTR. SOCIAL E  I. RENDA</v>
          </cell>
          <cell r="B68">
            <v>3556434</v>
          </cell>
          <cell r="C68">
            <v>118518</v>
          </cell>
          <cell r="D68">
            <v>72475</v>
          </cell>
          <cell r="E68">
            <v>561356</v>
          </cell>
          <cell r="F68">
            <v>-314168</v>
          </cell>
          <cell r="G68">
            <v>88614</v>
          </cell>
          <cell r="H68">
            <v>133957</v>
          </cell>
          <cell r="I68">
            <v>65283</v>
          </cell>
          <cell r="J68">
            <v>-6477</v>
          </cell>
          <cell r="K68">
            <v>4275992</v>
          </cell>
          <cell r="L68">
            <v>-10836969.339213781</v>
          </cell>
          <cell r="M68">
            <v>10467328.940072209</v>
          </cell>
          <cell r="N68">
            <v>-870879</v>
          </cell>
          <cell r="O68">
            <v>150972</v>
          </cell>
          <cell r="P68">
            <v>3186446</v>
          </cell>
          <cell r="Q68">
            <v>1573544</v>
          </cell>
        </row>
        <row r="70">
          <cell r="A70" t="str">
            <v>CONTRIBUIÇÃO SOCIAL</v>
          </cell>
          <cell r="B70">
            <v>-161462</v>
          </cell>
          <cell r="C70">
            <v>-1239</v>
          </cell>
          <cell r="D70">
            <v>-8359</v>
          </cell>
          <cell r="E70">
            <v>0</v>
          </cell>
          <cell r="F70">
            <v>0</v>
          </cell>
          <cell r="G70">
            <v>-8640</v>
          </cell>
          <cell r="H70">
            <v>-10932</v>
          </cell>
          <cell r="I70">
            <v>-5943</v>
          </cell>
          <cell r="J70">
            <v>0</v>
          </cell>
          <cell r="K70">
            <v>-196575</v>
          </cell>
          <cell r="L70">
            <v>0</v>
          </cell>
          <cell r="M70">
            <v>0</v>
          </cell>
          <cell r="N70">
            <v>0</v>
          </cell>
          <cell r="O70">
            <v>0</v>
          </cell>
          <cell r="P70">
            <v>-196575</v>
          </cell>
          <cell r="Q70">
            <v>-90940</v>
          </cell>
        </row>
        <row r="71">
          <cell r="A71" t="str">
            <v>IMPOSTO DE RENDA</v>
          </cell>
          <cell r="B71">
            <v>-456141</v>
          </cell>
          <cell r="C71">
            <v>-3434</v>
          </cell>
          <cell r="D71">
            <v>-22662</v>
          </cell>
          <cell r="E71">
            <v>-46042</v>
          </cell>
          <cell r="F71">
            <v>0</v>
          </cell>
          <cell r="G71">
            <v>-23993</v>
          </cell>
          <cell r="H71">
            <v>-30375</v>
          </cell>
          <cell r="I71">
            <v>-16508</v>
          </cell>
          <cell r="J71">
            <v>0</v>
          </cell>
          <cell r="K71">
            <v>-599155</v>
          </cell>
          <cell r="L71">
            <v>0</v>
          </cell>
          <cell r="M71">
            <v>0</v>
          </cell>
          <cell r="N71">
            <v>0</v>
          </cell>
          <cell r="O71">
            <v>0</v>
          </cell>
          <cell r="P71">
            <v>-599155</v>
          </cell>
          <cell r="Q71">
            <v>-277181</v>
          </cell>
        </row>
        <row r="72">
          <cell r="A72" t="str">
            <v>IR  A DIFERIR</v>
          </cell>
          <cell r="B72">
            <v>-254933</v>
          </cell>
          <cell r="C72">
            <v>-25552</v>
          </cell>
          <cell r="D72">
            <v>2788</v>
          </cell>
          <cell r="E72">
            <v>-3062</v>
          </cell>
          <cell r="F72">
            <v>-4171</v>
          </cell>
          <cell r="G72">
            <v>0</v>
          </cell>
          <cell r="H72">
            <v>0</v>
          </cell>
          <cell r="I72">
            <v>0</v>
          </cell>
          <cell r="J72">
            <v>0</v>
          </cell>
          <cell r="K72">
            <v>-284930</v>
          </cell>
          <cell r="L72">
            <v>-423.75156239583305</v>
          </cell>
          <cell r="M72">
            <v>92834.311596783999</v>
          </cell>
          <cell r="N72">
            <v>0</v>
          </cell>
          <cell r="O72">
            <v>0</v>
          </cell>
          <cell r="P72">
            <v>-192519</v>
          </cell>
          <cell r="Q72">
            <v>-89063</v>
          </cell>
        </row>
        <row r="73">
          <cell r="A73" t="str">
            <v>CONTR. SOCIAL A DIFERIR</v>
          </cell>
          <cell r="B73">
            <v>-95628</v>
          </cell>
          <cell r="C73">
            <v>-8135</v>
          </cell>
          <cell r="D73">
            <v>947</v>
          </cell>
          <cell r="E73">
            <v>0</v>
          </cell>
          <cell r="F73">
            <v>-1335</v>
          </cell>
          <cell r="G73">
            <v>0</v>
          </cell>
          <cell r="H73">
            <v>0</v>
          </cell>
          <cell r="I73">
            <v>0</v>
          </cell>
          <cell r="J73">
            <v>0</v>
          </cell>
          <cell r="K73">
            <v>-104151</v>
          </cell>
          <cell r="L73">
            <v>-152.5505624624999</v>
          </cell>
          <cell r="M73">
            <v>33420.55217484224</v>
          </cell>
          <cell r="N73">
            <v>0</v>
          </cell>
          <cell r="O73">
            <v>0</v>
          </cell>
          <cell r="P73">
            <v>-70883</v>
          </cell>
          <cell r="Q73">
            <v>-32792</v>
          </cell>
        </row>
        <row r="75">
          <cell r="A75" t="str">
            <v>RESULTADO ANTES DA PARTICIPAÇÃO MINORITÁRIA</v>
          </cell>
          <cell r="B75">
            <v>2588270</v>
          </cell>
          <cell r="C75">
            <v>80158</v>
          </cell>
          <cell r="D75">
            <v>45189</v>
          </cell>
          <cell r="E75">
            <v>512252</v>
          </cell>
          <cell r="F75">
            <v>-319674</v>
          </cell>
          <cell r="G75">
            <v>55981</v>
          </cell>
          <cell r="H75">
            <v>92650</v>
          </cell>
          <cell r="I75">
            <v>42832</v>
          </cell>
          <cell r="J75">
            <v>-6477</v>
          </cell>
          <cell r="K75">
            <v>3091181</v>
          </cell>
          <cell r="L75">
            <v>-10837545.641338639</v>
          </cell>
          <cell r="M75">
            <v>10593583.803843835</v>
          </cell>
          <cell r="N75">
            <v>-870879</v>
          </cell>
          <cell r="O75">
            <v>150972</v>
          </cell>
          <cell r="P75">
            <v>2127314</v>
          </cell>
          <cell r="Q75">
            <v>1083568</v>
          </cell>
        </row>
        <row r="76">
          <cell r="A76" t="str">
            <v>PARTICIPAÇÃO MINORITÁRIA</v>
          </cell>
          <cell r="B76">
            <v>0</v>
          </cell>
          <cell r="C76">
            <v>0</v>
          </cell>
          <cell r="D76">
            <v>0</v>
          </cell>
          <cell r="E76">
            <v>-1057</v>
          </cell>
          <cell r="F76">
            <v>161889</v>
          </cell>
          <cell r="G76">
            <v>0</v>
          </cell>
          <cell r="H76">
            <v>0</v>
          </cell>
          <cell r="I76">
            <v>0</v>
          </cell>
          <cell r="J76">
            <v>0</v>
          </cell>
          <cell r="K76">
            <v>160832</v>
          </cell>
          <cell r="L76">
            <v>0</v>
          </cell>
          <cell r="M76">
            <v>0</v>
          </cell>
          <cell r="N76">
            <v>-12743.523588031991</v>
          </cell>
          <cell r="O76">
            <v>0</v>
          </cell>
          <cell r="P76">
            <v>148088</v>
          </cell>
          <cell r="Q76">
            <v>68509</v>
          </cell>
        </row>
        <row r="78">
          <cell r="A78" t="str">
            <v>RESULTADO ANTES DA REVERSÃO JUROS CAP. PR.</v>
          </cell>
          <cell r="B78">
            <v>2588270</v>
          </cell>
          <cell r="C78">
            <v>80158</v>
          </cell>
          <cell r="D78">
            <v>45189</v>
          </cell>
          <cell r="E78">
            <v>511195</v>
          </cell>
          <cell r="F78">
            <v>-157785</v>
          </cell>
          <cell r="G78">
            <v>55981</v>
          </cell>
          <cell r="H78">
            <v>92650</v>
          </cell>
          <cell r="I78">
            <v>42832</v>
          </cell>
          <cell r="J78">
            <v>-6477</v>
          </cell>
          <cell r="K78">
            <v>3252013</v>
          </cell>
          <cell r="L78">
            <v>-10837545.641338639</v>
          </cell>
          <cell r="M78">
            <v>10593583.803843835</v>
          </cell>
          <cell r="N78">
            <v>-883622.523588032</v>
          </cell>
          <cell r="O78">
            <v>150972</v>
          </cell>
          <cell r="P78">
            <v>2275402</v>
          </cell>
          <cell r="Q78">
            <v>1152077</v>
          </cell>
        </row>
        <row r="79">
          <cell r="A79" t="str">
            <v>REVERSÃO DOS JUROS SOBRE O CAPITAL PROPRIO</v>
          </cell>
          <cell r="B79">
            <v>0</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row>
        <row r="80">
          <cell r="A80" t="str">
            <v>PARTICIPAÇÕES DE EMPREGADOS</v>
          </cell>
          <cell r="B80">
            <v>0</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row>
        <row r="81">
          <cell r="K81">
            <v>0</v>
          </cell>
        </row>
        <row r="82">
          <cell r="A82" t="str">
            <v>PERDAS NA TRADUÇÃO</v>
          </cell>
          <cell r="B82">
            <v>0</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-99429.886750555132</v>
          </cell>
        </row>
        <row r="83">
          <cell r="K83">
            <v>0</v>
          </cell>
        </row>
        <row r="84">
          <cell r="A84" t="str">
            <v>RESULTADO LÍQUIDO DO PERÍODO</v>
          </cell>
          <cell r="B84">
            <v>2588270</v>
          </cell>
          <cell r="C84">
            <v>80158</v>
          </cell>
          <cell r="D84">
            <v>45189</v>
          </cell>
          <cell r="E84">
            <v>511195</v>
          </cell>
          <cell r="F84">
            <v>-157785</v>
          </cell>
          <cell r="G84">
            <v>55981</v>
          </cell>
          <cell r="H84">
            <v>92650</v>
          </cell>
          <cell r="I84">
            <v>42832</v>
          </cell>
          <cell r="J84">
            <v>-6477</v>
          </cell>
          <cell r="K84">
            <v>3252013</v>
          </cell>
          <cell r="L84">
            <v>-10837545.641338639</v>
          </cell>
          <cell r="M84">
            <v>10593583.803843835</v>
          </cell>
          <cell r="N84">
            <v>-883622.523588032</v>
          </cell>
          <cell r="O84">
            <v>150972</v>
          </cell>
          <cell r="P84">
            <v>2275402</v>
          </cell>
          <cell r="Q84">
            <v>1052647.1132494449</v>
          </cell>
        </row>
        <row r="85">
          <cell r="A85" t="str">
            <v>US$</v>
          </cell>
          <cell r="B85">
            <v>1197386.1954108069</v>
          </cell>
          <cell r="C85">
            <v>37082.716506291639</v>
          </cell>
          <cell r="D85">
            <v>20905.347890451518</v>
          </cell>
          <cell r="E85">
            <v>236489.1746854182</v>
          </cell>
          <cell r="F85">
            <v>-72994.541080680981</v>
          </cell>
          <cell r="G85">
            <v>25897.945965951149</v>
          </cell>
          <cell r="H85">
            <v>42861.769059955586</v>
          </cell>
          <cell r="I85">
            <v>19814.951887490748</v>
          </cell>
          <cell r="J85">
            <v>-2996.3915618060696</v>
          </cell>
          <cell r="K85">
            <v>0</v>
          </cell>
          <cell r="L85">
            <v>-976611.36108283559</v>
          </cell>
          <cell r="M85">
            <v>0</v>
          </cell>
          <cell r="N85">
            <v>0</v>
          </cell>
          <cell r="O85">
            <v>0</v>
          </cell>
          <cell r="P85">
            <v>-1.3610828355886042</v>
          </cell>
          <cell r="Q85">
            <v>0</v>
          </cell>
        </row>
        <row r="86">
          <cell r="A86" t="str">
            <v>RESULTADO LÍQUIDO DO PERÍODO - US$ MIL</v>
          </cell>
        </row>
        <row r="87">
          <cell r="A87" t="str">
            <v>LUCRO POR AÇÃO - R$ POR LOTE DE MIL AÇÕES</v>
          </cell>
          <cell r="B87">
            <v>0</v>
          </cell>
          <cell r="C87">
            <v>4.05</v>
          </cell>
          <cell r="D87">
            <v>1.05</v>
          </cell>
          <cell r="E87">
            <v>0</v>
          </cell>
          <cell r="F87">
            <v>0</v>
          </cell>
          <cell r="G87">
            <v>1.1399999999999999</v>
          </cell>
        </row>
        <row r="88">
          <cell r="D88" t="str">
            <v xml:space="preserve">Cotação do US$ </v>
          </cell>
          <cell r="E88">
            <v>0</v>
          </cell>
          <cell r="F88">
            <v>36981</v>
          </cell>
          <cell r="G88">
            <v>2.1616</v>
          </cell>
        </row>
        <row r="89">
          <cell r="D89" t="str">
            <v xml:space="preserve">Cotação do US$(médio) </v>
          </cell>
          <cell r="E89">
            <v>0</v>
          </cell>
          <cell r="F89">
            <v>36981</v>
          </cell>
          <cell r="G89">
            <v>2.0175000000000001</v>
          </cell>
        </row>
        <row r="90">
          <cell r="A90" t="str">
            <v>RECONCILIAÇÃO DO LUCRO</v>
          </cell>
        </row>
        <row r="92">
          <cell r="A92" t="str">
            <v>LUCRO DA PETROBRAS</v>
          </cell>
          <cell r="B92">
            <v>2588270</v>
          </cell>
          <cell r="C92">
            <v>1197386.1954108069</v>
          </cell>
          <cell r="D92">
            <v>0</v>
          </cell>
          <cell r="E92">
            <v>0</v>
          </cell>
          <cell r="F92">
            <v>0</v>
          </cell>
          <cell r="G92" t="str">
            <v>OUTROS</v>
          </cell>
          <cell r="H92">
            <v>0</v>
          </cell>
          <cell r="I92">
            <v>0</v>
          </cell>
          <cell r="J92" t="str">
            <v>JUROS</v>
          </cell>
          <cell r="K92">
            <v>0</v>
          </cell>
          <cell r="L92">
            <v>0</v>
          </cell>
          <cell r="M92" t="str">
            <v>DIFERENÇA RESULTADO</v>
          </cell>
        </row>
        <row r="93">
          <cell r="A93" t="str">
            <v>PROJETO BARRACUDA/CARATINGA LIQ.</v>
          </cell>
          <cell r="B93">
            <v>-46211.88</v>
          </cell>
          <cell r="C93">
            <v>-21378.552923760177</v>
          </cell>
        </row>
        <row r="94">
          <cell r="A94" t="str">
            <v>LUCRO NOS ESTOQUES LÍQUIDO DE IR</v>
          </cell>
          <cell r="B94">
            <v>-119339.15900402219</v>
          </cell>
          <cell r="C94">
            <v>-55208.715305339654</v>
          </cell>
          <cell r="D94">
            <v>0</v>
          </cell>
          <cell r="E94">
            <v>0</v>
          </cell>
          <cell r="F94" t="str">
            <v>nº lançamento</v>
          </cell>
          <cell r="G94">
            <v>0</v>
          </cell>
          <cell r="H94">
            <v>0</v>
          </cell>
          <cell r="I94">
            <v>0</v>
          </cell>
          <cell r="J94">
            <v>0</v>
          </cell>
          <cell r="K94">
            <v>0</v>
          </cell>
          <cell r="L94" t="str">
            <v>nº lançamento</v>
          </cell>
        </row>
        <row r="95">
          <cell r="A95" t="str">
            <v>REVERSÃO DE LUCROS NOS ESTOQUES DE 1998</v>
          </cell>
          <cell r="B95">
            <v>106604</v>
          </cell>
          <cell r="C95">
            <v>49317.172464840856</v>
          </cell>
          <cell r="D95">
            <v>0</v>
          </cell>
          <cell r="E95">
            <v>0</v>
          </cell>
          <cell r="F95">
            <v>23</v>
          </cell>
          <cell r="G95" t="str">
            <v>braspetro</v>
          </cell>
          <cell r="H95">
            <v>0</v>
          </cell>
          <cell r="I95">
            <v>921.61572958333215</v>
          </cell>
          <cell r="J95" t="str">
            <v>braspetro</v>
          </cell>
          <cell r="K95">
            <v>-13068.050999999999</v>
          </cell>
          <cell r="L95">
            <v>16</v>
          </cell>
          <cell r="M95" t="str">
            <v>BRASPETRO</v>
          </cell>
          <cell r="N95">
            <v>0</v>
          </cell>
          <cell r="O95" t="str">
            <v>GASPETRO</v>
          </cell>
        </row>
        <row r="96">
          <cell r="A96" t="str">
            <v>JUROS CAPITALIZADOS</v>
          </cell>
          <cell r="B96">
            <v>-9804.1092930000013</v>
          </cell>
          <cell r="C96">
            <v>-4535.5797987601782</v>
          </cell>
          <cell r="D96">
            <v>0</v>
          </cell>
          <cell r="E96">
            <v>0</v>
          </cell>
          <cell r="F96">
            <v>24</v>
          </cell>
          <cell r="G96" t="str">
            <v>braspetro</v>
          </cell>
          <cell r="H96">
            <v>0</v>
          </cell>
          <cell r="I96">
            <v>-313.34934805833291</v>
          </cell>
          <cell r="J96" t="str">
            <v>braspetro</v>
          </cell>
          <cell r="K96">
            <v>4443.1373399999993</v>
          </cell>
          <cell r="L96">
            <v>17</v>
          </cell>
        </row>
        <row r="97">
          <cell r="A97" t="str">
            <v>OUTRAS</v>
          </cell>
          <cell r="B97">
            <v>-75618.329877784694</v>
          </cell>
          <cell r="C97">
            <v>-34982.573037465161</v>
          </cell>
          <cell r="D97">
            <v>0</v>
          </cell>
          <cell r="E97">
            <v>0</v>
          </cell>
          <cell r="F97" t="str">
            <v>V</v>
          </cell>
          <cell r="G97" t="str">
            <v>reversão lucros</v>
          </cell>
          <cell r="H97">
            <v>0</v>
          </cell>
          <cell r="I97">
            <v>8274</v>
          </cell>
          <cell r="J97" t="str">
            <v>gaspetro</v>
          </cell>
          <cell r="K97">
            <v>0</v>
          </cell>
          <cell r="L97">
            <v>0</v>
          </cell>
          <cell r="M97" t="str">
            <v>Indiv  (1)</v>
          </cell>
          <cell r="N97">
            <v>526902.64067999995</v>
          </cell>
          <cell r="O97" t="str">
            <v>Indiv  (1)</v>
          </cell>
          <cell r="P97">
            <v>10714.67532</v>
          </cell>
        </row>
        <row r="98">
          <cell r="A98" t="str">
            <v>DIF. RESULTADO GASPETRO CONS. X INDIV.</v>
          </cell>
          <cell r="B98">
            <v>-168499.67532000001</v>
          </cell>
          <cell r="C98">
            <v>-77951.367190969657</v>
          </cell>
          <cell r="D98">
            <v>0</v>
          </cell>
          <cell r="E98">
            <v>0</v>
          </cell>
          <cell r="F98">
            <v>37</v>
          </cell>
          <cell r="G98" t="str">
            <v>gaspetro</v>
          </cell>
          <cell r="H98">
            <v>0</v>
          </cell>
          <cell r="I98">
            <v>773.39051999999992</v>
          </cell>
          <cell r="J98" t="str">
            <v>gaspetro</v>
          </cell>
          <cell r="K98">
            <v>-1786.6600499999997</v>
          </cell>
          <cell r="L98">
            <v>29</v>
          </cell>
          <cell r="M98" t="str">
            <v>Consol</v>
          </cell>
          <cell r="N98">
            <v>511195</v>
          </cell>
          <cell r="O98" t="str">
            <v>Consol</v>
          </cell>
          <cell r="P98">
            <v>-157785</v>
          </cell>
        </row>
        <row r="99">
          <cell r="A99" t="str">
            <v>LUCRO CONSOLIDADO</v>
          </cell>
          <cell r="B99">
            <v>2275400.8465051935</v>
          </cell>
          <cell r="C99">
            <v>1052646.5796193529</v>
          </cell>
          <cell r="D99">
            <v>0</v>
          </cell>
          <cell r="E99">
            <v>0</v>
          </cell>
          <cell r="F99">
            <v>38</v>
          </cell>
          <cell r="G99" t="str">
            <v>gaspetro</v>
          </cell>
          <cell r="H99">
            <v>0</v>
          </cell>
          <cell r="I99">
            <v>-262.95277679999998</v>
          </cell>
          <cell r="J99" t="str">
            <v>gaspetro</v>
          </cell>
          <cell r="K99">
            <v>607.46441699999991</v>
          </cell>
          <cell r="L99">
            <v>30</v>
          </cell>
        </row>
        <row r="100">
          <cell r="G100" t="str">
            <v>dif. Pl   BP</v>
          </cell>
          <cell r="H100">
            <v>0</v>
          </cell>
          <cell r="I100">
            <v>-15707.640679999953</v>
          </cell>
          <cell r="J100" t="str">
            <v>gaspetro</v>
          </cell>
          <cell r="K100">
            <v>0</v>
          </cell>
          <cell r="L100">
            <v>0</v>
          </cell>
          <cell r="M100" t="str">
            <v>Total</v>
          </cell>
          <cell r="N100">
            <v>15707.640679999953</v>
          </cell>
          <cell r="O100" t="str">
            <v>Total</v>
          </cell>
          <cell r="P100">
            <v>168499.67532000001</v>
          </cell>
        </row>
        <row r="101">
          <cell r="A101" t="str">
            <v>Check</v>
          </cell>
          <cell r="B101">
            <v>-1.1534948064945638</v>
          </cell>
          <cell r="C101">
            <v>0</v>
          </cell>
          <cell r="D101">
            <v>0</v>
          </cell>
          <cell r="E101">
            <v>0</v>
          </cell>
          <cell r="F101">
            <v>9</v>
          </cell>
          <cell r="G101" t="str">
            <v>lucros afret.</v>
          </cell>
          <cell r="H101">
            <v>0</v>
          </cell>
          <cell r="I101">
            <v>-74287.185087135978</v>
          </cell>
        </row>
        <row r="102">
          <cell r="F102">
            <v>10</v>
          </cell>
          <cell r="G102" t="str">
            <v>lucros afret.</v>
          </cell>
          <cell r="H102">
            <v>0</v>
          </cell>
          <cell r="I102">
            <v>25257.642929626232</v>
          </cell>
        </row>
        <row r="103">
          <cell r="G103" t="str">
            <v>dif. Vc PIFco ref. Min.</v>
          </cell>
          <cell r="H103">
            <v>0</v>
          </cell>
          <cell r="I103">
            <v>422</v>
          </cell>
        </row>
      </sheetData>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IM_FINANCEIRA"/>
      <sheetName val="CG00FIN"/>
      <sheetName val="PS-Consolidation"/>
      <sheetName val="Correção"/>
      <sheetName val="PENDENTES"/>
      <sheetName val="Param"/>
      <sheetName val="Boge"/>
      <sheetName val="Itens importados"/>
      <sheetName val="Codes"/>
      <sheetName val="BRESSER"/>
      <sheetName val="Acertado"/>
      <sheetName val="VENDAS_P_SUBSIDIÁRIA"/>
      <sheetName val="OUT02.REPORT"/>
      <sheetName val="Saldo 12480001"/>
      <sheetName val="Saldo final 32470000"/>
      <sheetName val="Capa"/>
      <sheetName val="CTAS.DE LANÇAMENTO"/>
      <sheetName val="RESUMO"/>
      <sheetName val="CDI"/>
      <sheetName val="Currency"/>
      <sheetName val="Patrimonial"/>
      <sheetName val="Dados"/>
      <sheetName val="PAR"/>
      <sheetName val="Variables"/>
      <sheetName val="APIPIAQ.XLS"/>
      <sheetName val="EE3.1 - Conc. Volvo"/>
      <sheetName val="corsa"/>
      <sheetName val="heavy"/>
      <sheetName val="light"/>
      <sheetName val="medium"/>
      <sheetName val="Fcx Consol Diario Rev 25-01"/>
      <sheetName val="PS_Consolidation"/>
      <sheetName val="Code_Master"/>
      <sheetName val="Self_Code_Master"/>
      <sheetName val="Code_Master_SBU"/>
      <sheetName val="Code_Master_SBU_SBU"/>
      <sheetName val="Code_Master_SBU_SUB"/>
      <sheetName val="Self_Code_Master_SBU"/>
      <sheetName val="Self_Code_Master_SBU_SUB"/>
      <sheetName val="Code_Master_Customer"/>
      <sheetName val="DEPREC"/>
      <sheetName val="Tabelas"/>
      <sheetName val="Chart Data"/>
      <sheetName val="BASE BALSAP"/>
      <sheetName val="Plano de Contas"/>
      <sheetName val="Auxi"/>
      <sheetName val="Edo Res"/>
      <sheetName val="BP"/>
      <sheetName val="Mapa"/>
      <sheetName val="ce"/>
      <sheetName val="ABRIL 2000"/>
      <sheetName val="Filiais - todas"/>
      <sheetName val="2008"/>
      <sheetName val="05,06 E 07"/>
      <sheetName val="Premio_Sinistro"/>
      <sheetName val="P&amp;L"/>
      <sheetName val="P&amp;L EUR"/>
      <sheetName val="Instructions"/>
      <sheetName val="Parâmetros"/>
      <sheetName val="FF1 - Listagem inicial"/>
      <sheetName val="Internal Data"/>
      <sheetName val="MAI2000"/>
      <sheetName val="cover"/>
      <sheetName val="E03.05.1 - Base Invista Nylon"/>
      <sheetName val="Plan1"/>
      <sheetName val="ush"/>
      <sheetName val="Analítico"/>
      <sheetName val="condição"/>
      <sheetName val="tabela"/>
      <sheetName val="Data"/>
      <sheetName val="2006"/>
      <sheetName val="Sic - Jan"/>
      <sheetName val="Demitidos"/>
      <sheetName val="Royalties"/>
      <sheetName val="Projeção álcool"/>
      <sheetName val="Settings"/>
      <sheetName val="Resinas 10_06"/>
      <sheetName val="Interest"/>
      <sheetName val="Assump. Budg"/>
      <sheetName val="Itens_importados"/>
      <sheetName val="OUT02_REPORT"/>
      <sheetName val="Saldo_12480001"/>
      <sheetName val="Saldo_final_32470000"/>
      <sheetName val="CTAS_DE_LANÇAMENTO"/>
      <sheetName val="APIPIAQ_XLS"/>
      <sheetName val="EE3_1_-_Conc__Volvo"/>
      <sheetName val="Fcx_Consol_Diario_Rev_25-01"/>
      <sheetName val="Chart_Data"/>
      <sheetName val="BASE_BALSAP"/>
      <sheetName val="Plano_de_Contas"/>
      <sheetName val="Edo_Res"/>
      <sheetName val="ABRIL_2000"/>
      <sheetName val="Filiais_-_todas"/>
      <sheetName val="05,06_E_07"/>
      <sheetName val="P&amp;L_EUR"/>
      <sheetName val="FF1_-_Listagem_inicial"/>
      <sheetName val="Internal_Data"/>
      <sheetName val="E03_05_1_-_Base_Invista_Nylon"/>
      <sheetName val="Projeção_álcool"/>
      <sheetName val="Sic_-_Jan"/>
      <sheetName val="Resinas_10_06"/>
      <sheetName val="REMOCATA"/>
      <sheetName val="Eco-Fin"/>
      <sheetName val="RAZAO"/>
      <sheetName val="E4.2.2 testes"/>
      <sheetName val="tab"/>
      <sheetName val="112060002"/>
      <sheetName val="Plan2"/>
      <sheetName val="POLITICA"/>
      <sheetName val="cupom"/>
      <sheetName val="curva pre"/>
      <sheetName val="INFO"/>
      <sheetName val="LANG"/>
      <sheetName val="OUVC"/>
      <sheetName val="INDICES"/>
      <sheetName val="2000"/>
      <sheetName val="MAI'01"/>
      <sheetName val="TOP 20 - PC's"/>
      <sheetName val="Duplicate Rate"/>
      <sheetName val="Faturamento Por CP"/>
      <sheetName val="Ajuste Bacardi"/>
      <sheetName val="Sales by PC's"/>
      <sheetName val="IREM"/>
      <sheetName val="E1"/>
      <sheetName val="Índice"/>
      <sheetName val="Lead"/>
      <sheetName val="ST Bericht"/>
      <sheetName val="CTAS_DE_LANÇAMENTO1"/>
      <sheetName val="Chart_Data1"/>
      <sheetName val="BASE_BALSAP1"/>
      <sheetName val="Plano_de_Contas1"/>
      <sheetName val="OUT02_REPORT1"/>
      <sheetName val="Saldo_124800011"/>
      <sheetName val="Saldo_final_324700001"/>
      <sheetName val="Itens_importados1"/>
      <sheetName val="APIPIAQ_XLS1"/>
      <sheetName val="EE3_1_-_Conc__Volvo1"/>
      <sheetName val="Fcx_Consol_Diario_Rev_25-011"/>
      <sheetName val="ABRIL_20001"/>
      <sheetName val="Edo_Res1"/>
      <sheetName val="Filiais_-_todas1"/>
      <sheetName val="05,06_E_071"/>
      <sheetName val="FF1_-_Listagem_inicial1"/>
      <sheetName val="P&amp;L_EUR1"/>
      <sheetName val="Sic_-_Jan1"/>
      <sheetName val="Internal_Data1"/>
      <sheetName val="E03_05_1_-_Base_Invista_Nylon1"/>
      <sheetName val="Projeção_álcool1"/>
      <sheetName val="Resinas_10_061"/>
      <sheetName val="E4_2_2_testes"/>
      <sheetName val="curva_pre"/>
      <sheetName val="Investments"/>
      <sheetName val=" CC21"/>
      <sheetName val="Virtuales"/>
      <sheetName val="DCI_ESTI_IS"/>
      <sheetName val="DCPS_ESTI_IS"/>
      <sheetName val="DE&amp;S_ESTI_IS"/>
      <sheetName val="DFD_ESTI_IS"/>
      <sheetName val="Merch_ESTI_IS"/>
      <sheetName val="NP&amp;L_ESTI_IS"/>
      <sheetName val="Sancy"/>
      <sheetName val="Sources Assumptions"/>
      <sheetName val="Empresas_US$"/>
      <sheetName val="PVENDAS"/>
      <sheetName val="DFLSUBS"/>
      <sheetName val="CSSL - Real"/>
      <sheetName val="Mensagem"/>
      <sheetName val="TOP_20_-_PC's"/>
      <sheetName val="Duplicate_Rate"/>
      <sheetName val="Faturamento_Por_CP"/>
      <sheetName val="Ajuste_Bacardi"/>
      <sheetName val="Sales_by_PC's"/>
      <sheetName val="Assump__Budg"/>
      <sheetName val="Admin"/>
      <sheetName val="Supuestos Generales"/>
      <sheetName val="101171"/>
      <sheetName val="Menu"/>
      <sheetName val="Input"/>
      <sheetName val="CONTAS PAGAR CP"/>
      <sheetName val="Loan Data"/>
      <sheetName val="Bal032002"/>
      <sheetName val="N"/>
      <sheetName val="Control"/>
      <sheetName val="Ajustes"/>
      <sheetName val="98BESTOQUE"/>
      <sheetName val="Principal"/>
      <sheetName val="Granéis"/>
      <sheetName val="E4_2_2_testes1"/>
      <sheetName val="TOP_20_-_PC's1"/>
      <sheetName val="Duplicate_Rate1"/>
      <sheetName val="Faturamento_Por_CP1"/>
      <sheetName val="Ajuste_Bacardi1"/>
      <sheetName val="Sales_by_PC's1"/>
      <sheetName val="Assump__Budg1"/>
      <sheetName val="ST_Bericht"/>
      <sheetName val="Sources_Assumptions"/>
      <sheetName val="Supuestos_Generales"/>
      <sheetName val="T-2 RateRec"/>
      <sheetName val="Shopping list"/>
      <sheetName val="REL. MASISA"/>
      <sheetName val="211010101"/>
      <sheetName val="Listas"/>
      <sheetName val="tab_dia x mês"/>
      <sheetName val="taxa selic"/>
      <sheetName val="infação_mês"/>
      <sheetName val="cálculo inflação dia"/>
      <sheetName val="inflação_dia"/>
      <sheetName val="ufir diária"/>
      <sheetName val="ufir_mensal"/>
      <sheetName val="TR - Carlos Barbosa (Irwin)"/>
      <sheetName val="SG Profile"/>
      <sheetName val="Rates"/>
      <sheetName val="CostP"/>
      <sheetName val="Ecc Analysis"/>
      <sheetName val="275100"/>
      <sheetName val="Macro"/>
      <sheetName val=""/>
      <sheetName val="Reserva de cartera"/>
      <sheetName val="Pasivos estimados"/>
      <sheetName val="XX1_Tesoreria"/>
      <sheetName val="CTB_Control_Gestion_CAT"/>
      <sheetName val="Plan. Rocha"/>
      <sheetName val="PRIMARIO"/>
      <sheetName val="Sheet3"/>
      <sheetName val="titles"/>
      <sheetName val="Custos"/>
      <sheetName val="Horas"/>
      <sheetName val="E1.2 - Jun"/>
      <sheetName val="CO"/>
      <sheetName val="FINANCEIRA"/>
      <sheetName val="Resultados"/>
      <sheetName val="Cover1"/>
      <sheetName val="Dados_Gerais"/>
      <sheetName val="Kst"/>
      <sheetName val="Consolidado US$"/>
      <sheetName val="Fatura"/>
      <sheetName val="E2.1_Brapelco"/>
      <sheetName val="Exchange"/>
      <sheetName val="Desp_adm"/>
      <sheetName val="CH-OV"/>
      <sheetName val="Preco"/>
      <sheetName val="Tabs"/>
      <sheetName val="pc"/>
      <sheetName val="Margin Paid"/>
      <sheetName val="Chart_Data2"/>
      <sheetName val="CTAS_DE_LANÇAMENTO2"/>
      <sheetName val="BASE_BALSAP2"/>
      <sheetName val="Plano_de_Contas2"/>
      <sheetName val="Itens_importados2"/>
      <sheetName val="OUT02_REPORT2"/>
      <sheetName val="Saldo_124800012"/>
      <sheetName val="Saldo_final_324700002"/>
      <sheetName val="APIPIAQ_XLS2"/>
      <sheetName val="EE3_1_-_Conc__Volvo2"/>
      <sheetName val="Fcx_Consol_Diario_Rev_25-012"/>
      <sheetName val="Edo_Res2"/>
      <sheetName val="ABRIL_20002"/>
      <sheetName val="Filiais_-_todas2"/>
      <sheetName val="05,06_E_072"/>
      <sheetName val="FF1_-_Listagem_inicial2"/>
      <sheetName val="P&amp;L_EUR2"/>
      <sheetName val="Sic_-_Jan2"/>
      <sheetName val="E4_2_2_testes2"/>
      <sheetName val="TOP_20_-_PC's2"/>
      <sheetName val="Duplicate_Rate2"/>
      <sheetName val="Faturamento_Por_CP2"/>
      <sheetName val="Ajuste_Bacardi2"/>
      <sheetName val="Sales_by_PC's2"/>
      <sheetName val="Internal_Data2"/>
      <sheetName val="E03_05_1_-_Base_Invista_Nylon2"/>
      <sheetName val="Projeção_álcool2"/>
      <sheetName val="Resinas_10_062"/>
      <sheetName val="curva_pre1"/>
      <sheetName val="ST_Bericht1"/>
      <sheetName val="Sources_Assumptions1"/>
      <sheetName val="Assump__Budg2"/>
      <sheetName val="CSSL_-_Real"/>
      <sheetName val="_CC21"/>
      <sheetName val="TR_-_Carlos_Barbosa_(Irwin)"/>
      <sheetName val="Supuestos_Generales1"/>
      <sheetName val="tab_dia_x_mês"/>
      <sheetName val="taxa_selic"/>
      <sheetName val="cálculo_inflação_dia"/>
      <sheetName val="ufir_diária"/>
      <sheetName val="Loan_Data"/>
      <sheetName val="CONTAS_PAGAR_CP"/>
      <sheetName val="T-2_RateRec"/>
      <sheetName val="Shopping_list"/>
      <sheetName val="REL__MASISA"/>
      <sheetName val="Consolidado_US$"/>
      <sheetName val="E2_1_Brapelco"/>
      <sheetName val="DB Controle"/>
      <sheetName val="I - PRA"/>
      <sheetName val="MENS_I_P"/>
      <sheetName val="Dados_DEC"/>
      <sheetName val="Dados_FEC"/>
      <sheetName val="USA NT Detalhe"/>
      <sheetName val="Dashboard"/>
      <sheetName val="Base"/>
      <sheetName val="Abastecimento"/>
      <sheetName val="Adm_Id"/>
      <sheetName val="Adm_Nid"/>
      <sheetName val="Agua"/>
      <sheetName val="CapGiro"/>
      <sheetName val="Comissões"/>
      <sheetName val="DepEconom"/>
      <sheetName val="DepFiscal"/>
      <sheetName val="Descontos"/>
      <sheetName val="Distribuição"/>
      <sheetName val="Embalagem"/>
      <sheetName val="Energia"/>
      <sheetName val="EstoqMP"/>
      <sheetName val="EstoqPA"/>
      <sheetName val="ICMS"/>
      <sheetName val="Incentivo"/>
      <sheetName val="Ind_Id"/>
      <sheetName val="Ind_Nid"/>
      <sheetName val="Log_Id"/>
      <sheetName val="Log_Nid"/>
      <sheetName val="Manutenção"/>
      <sheetName val="MatAuxiliar"/>
      <sheetName val="MatPrima"/>
      <sheetName val="MObra"/>
      <sheetName val="PerdaICMS"/>
      <sheetName val="PrazoMédio"/>
      <sheetName val="Preços"/>
      <sheetName val="Pro_Id"/>
      <sheetName val="Pro_Nid"/>
      <sheetName val="Quantidades"/>
      <sheetName val="Transferência"/>
      <sheetName val="UtilFixa"/>
      <sheetName val="Combustível"/>
      <sheetName val="Vda_Id"/>
      <sheetName val="Vda_Nid"/>
      <sheetName val="Taxa Moeda"/>
      <sheetName val="NBMC-0"/>
      <sheetName val="DEIS Connect"/>
      <sheetName val="CIF-3"/>
      <sheetName val="Balanço"/>
      <sheetName val="Resultado"/>
      <sheetName val="PROCESSOS PARA PROVISAO GERAL"/>
      <sheetName val="Finpac"/>
      <sheetName val="1124129104"/>
      <sheetName val="BALCALC"/>
      <sheetName val="fincalc"/>
      <sheetName val="Itens_importados3"/>
      <sheetName val="OUT02_REPORT3"/>
      <sheetName val="Saldo_124800013"/>
      <sheetName val="Saldo_final_324700003"/>
      <sheetName val="CTAS_DE_LANÇAMENTO3"/>
      <sheetName val="APIPIAQ_XLS3"/>
      <sheetName val="EE3_1_-_Conc__Volvo3"/>
      <sheetName val="Fcx_Consol_Diario_Rev_25-013"/>
      <sheetName val="Chart_Data3"/>
      <sheetName val="BASE_BALSAP3"/>
      <sheetName val="Plano_de_Contas3"/>
      <sheetName val="Edo_Res3"/>
      <sheetName val="ABRIL_20003"/>
      <sheetName val="Filiais_-_todas3"/>
      <sheetName val="05,06_E_073"/>
      <sheetName val="P&amp;L_EUR3"/>
      <sheetName val="FF1_-_Listagem_inicial3"/>
      <sheetName val="Internal_Data3"/>
      <sheetName val="E03_05_1_-_Base_Invista_Nylon3"/>
      <sheetName val="Sic_-_Jan3"/>
      <sheetName val="Projeção_álcool3"/>
      <sheetName val="Resinas_10_063"/>
      <sheetName val="Assump__Budg3"/>
      <sheetName val="E4_2_2_testes3"/>
      <sheetName val="curva_pre2"/>
      <sheetName val="TOP_20_-_PC's3"/>
      <sheetName val="Duplicate_Rate3"/>
      <sheetName val="Faturamento_Por_CP3"/>
      <sheetName val="Ajuste_Bacardi3"/>
      <sheetName val="Sales_by_PC's3"/>
      <sheetName val="ST_Bericht2"/>
      <sheetName val="_CC211"/>
      <sheetName val="Sources_Assumptions2"/>
      <sheetName val="CSSL_-_Real1"/>
      <sheetName val="Supuestos_Generales2"/>
      <sheetName val="SG_Profile"/>
      <sheetName val="Ecc_Analysis"/>
      <sheetName val="CONTAS_PAGAR_CP1"/>
      <sheetName val="Loan_Data1"/>
      <sheetName val="T-2_RateRec1"/>
      <sheetName val="Shopping_list1"/>
      <sheetName val="REL__MASISA1"/>
      <sheetName val="tab_dia_x_mês1"/>
      <sheetName val="taxa_selic1"/>
      <sheetName val="cálculo_inflação_dia1"/>
      <sheetName val="ufir_diária1"/>
      <sheetName val="TR_-_Carlos_Barbosa_(Irwin)1"/>
      <sheetName val="Reserva_de_cartera"/>
      <sheetName val="Pasivos_estimados"/>
      <sheetName val="Plan__Rocha"/>
      <sheetName val="E1_2_-_Jun"/>
      <sheetName val="Consolidado_US$1"/>
      <sheetName val="E2_1_Brapelco1"/>
      <sheetName val="Margin_Paid"/>
      <sheetName val="I_-_PRA"/>
      <sheetName val="DB_Controle"/>
      <sheetName val="USA_NT_Detalhe"/>
      <sheetName val="Taxa_Moeda"/>
      <sheetName val="DEIS_Connect"/>
      <sheetName val="PROCESSOS_PARA_PROVISAO_GERAL"/>
      <sheetName val="Resumo Fatur."/>
      <sheetName val="Histórico"/>
      <sheetName val="Áreas Técnicas"/>
      <sheetName val="Bloqueados"/>
      <sheetName val="Status"/>
      <sheetName val="CART0801"/>
      <sheetName val="Base2005"/>
      <sheetName val="ICATU"/>
      <sheetName val="CEEMES"/>
      <sheetName val="BALANCETE"/>
      <sheetName val="pl atual"/>
      <sheetName val="Base Jan 07"/>
      <sheetName val="DEPARA"/>
      <sheetName val="AFRICA"/>
      <sheetName val="Áreas_Técnicas"/>
      <sheetName val="nuBMS P&amp;L "/>
      <sheetName val="IncomeStmt"/>
      <sheetName val="BalSheet"/>
      <sheetName val="mutacao"/>
      <sheetName val="Apresentação"/>
      <sheetName val="Resumo de Atas"/>
      <sheetName val="Materialidade"/>
      <sheetName val="Enquadramento"/>
      <sheetName val="RAG"/>
      <sheetName val="A-1.3.1"/>
      <sheetName val="R-7.1.5.40"/>
      <sheetName val="PL-6.1 (2)"/>
      <sheetName val="PL-6.1"/>
      <sheetName val="D-8.1.7.81"/>
      <sheetName val="Todos Balancetes"/>
      <sheetName val="excess calc"/>
      <sheetName val="Indexes"/>
      <sheetName val="Shares"/>
      <sheetName val="Configurações Gerais"/>
      <sheetName val="SALDO"/>
      <sheetName val="A4.6-SEAOIL"/>
      <sheetName val="WPA_Assum"/>
      <sheetName val="TB"/>
      <sheetName val="e2.1.1-fat 06.2006"/>
      <sheetName val="ceco"/>
      <sheetName val="Base Fiscal Cruzada"/>
      <sheetName val="COMPLETO"/>
      <sheetName val="CELPE-média-mensal-99-04"/>
      <sheetName val="Paraná"/>
      <sheetName val="3.2. Fluxo Semanal_EMESA"/>
      <sheetName val="3.4. Fluxo Semanal_TMC"/>
      <sheetName val="3.3. Fluxo Semanal_VIGA"/>
      <sheetName val="Parc. de ICMS"/>
      <sheetName val="CTAS_DE_LANÇAMENTO4"/>
      <sheetName val="Chart_Data4"/>
      <sheetName val="Itens_importados4"/>
      <sheetName val="OUT02_REPORT4"/>
      <sheetName val="Saldo_124800014"/>
      <sheetName val="Saldo_final_324700004"/>
      <sheetName val="BASE_BALSAP4"/>
      <sheetName val="Plano_de_Contas4"/>
      <sheetName val="EE3_1_-_Conc__Volvo4"/>
      <sheetName val="APIPIAQ_XLS4"/>
      <sheetName val="Fcx_Consol_Diario_Rev_25-014"/>
      <sheetName val="05,06_E_074"/>
      <sheetName val="Filiais_-_todas4"/>
      <sheetName val="Sic_-_Jan4"/>
      <sheetName val="FF1_-_Listagem_inicial4"/>
      <sheetName val="Edo_Res4"/>
      <sheetName val="ABRIL_20004"/>
      <sheetName val="P&amp;L_EUR4"/>
      <sheetName val="E4_2_2_testes4"/>
      <sheetName val="TOP_20_-_PC's4"/>
      <sheetName val="Duplicate_Rate4"/>
      <sheetName val="Faturamento_Por_CP4"/>
      <sheetName val="Ajuste_Bacardi4"/>
      <sheetName val="Sales_by_PC's4"/>
      <sheetName val="E03_05_1_-_Base_Invista_Nylon4"/>
      <sheetName val="Internal_Data4"/>
      <sheetName val="Projeção_álcool4"/>
      <sheetName val="Resinas_10_064"/>
      <sheetName val="curva_pre3"/>
      <sheetName val="ST_Bericht3"/>
      <sheetName val="Sources_Assumptions3"/>
      <sheetName val="Assump__Budg4"/>
      <sheetName val="Supuestos_Generales3"/>
      <sheetName val="_CC212"/>
      <sheetName val="CONTAS_PAGAR_CP2"/>
      <sheetName val="REL__MASISA2"/>
      <sheetName val="CSSL_-_Real2"/>
      <sheetName val="T-2_RateRec2"/>
      <sheetName val="Shopping_list2"/>
      <sheetName val="TR_-_Carlos_Barbosa_(Irwin)2"/>
      <sheetName val="tab_dia_x_mês2"/>
      <sheetName val="taxa_selic2"/>
      <sheetName val="cálculo_inflação_dia2"/>
      <sheetName val="ufir_diária2"/>
      <sheetName val="Loan_Data2"/>
      <sheetName val="Consolidado_US$2"/>
      <sheetName val="E2_1_Brapelco2"/>
      <sheetName val="Plan__Rocha1"/>
      <sheetName val="E1_2_-_Jun1"/>
      <sheetName val="Margin_Paid1"/>
      <sheetName val="I_-_PRA1"/>
      <sheetName val="DB_Controle1"/>
      <sheetName val="DEIS_Connect1"/>
      <sheetName val="PROCESSOS_PARA_PROVISAO_GERAL1"/>
      <sheetName val="USA_NT_Detalhe1"/>
      <sheetName val="Taxa_Moeda1"/>
      <sheetName val="Áreas_Técnicas1"/>
      <sheetName val="SG_Profile1"/>
      <sheetName val="Ecc_Analysis1"/>
      <sheetName val="Reserva_de_cartera1"/>
      <sheetName val="Pasivos_estimados1"/>
      <sheetName val="Resumo_Fatur_"/>
      <sheetName val="excess_calc"/>
      <sheetName val="pl_atual"/>
      <sheetName val="nuBMS_P&amp;L_"/>
      <sheetName val="Configurações_Gerais"/>
      <sheetName val="Chart_Data6"/>
      <sheetName val="CTAS_DE_LANÇAMENTO6"/>
      <sheetName val="BASE_BALSAP6"/>
      <sheetName val="Plano_de_Contas6"/>
      <sheetName val="Itens_importados6"/>
      <sheetName val="OUT02_REPORT6"/>
      <sheetName val="Saldo_124800016"/>
      <sheetName val="Saldo_final_324700006"/>
      <sheetName val="EE3_1_-_Conc__Volvo6"/>
      <sheetName val="APIPIAQ_XLS6"/>
      <sheetName val="Fcx_Consol_Diario_Rev_25-016"/>
      <sheetName val="05,06_E_076"/>
      <sheetName val="Filiais_-_todas6"/>
      <sheetName val="ABRIL_20006"/>
      <sheetName val="Edo_Res6"/>
      <sheetName val="P&amp;L_EUR6"/>
      <sheetName val="FF1_-_Listagem_inicial6"/>
      <sheetName val="Sic_-_Jan6"/>
      <sheetName val="E03_05_1_-_Base_Invista_Nylon6"/>
      <sheetName val="Internal_Data6"/>
      <sheetName val="E4_2_2_testes6"/>
      <sheetName val="Projeção_álcool6"/>
      <sheetName val="Resinas_10_066"/>
      <sheetName val="curva_pre5"/>
      <sheetName val="TOP_20_-_PC's6"/>
      <sheetName val="Duplicate_Rate6"/>
      <sheetName val="Faturamento_Por_CP6"/>
      <sheetName val="Ajuste_Bacardi6"/>
      <sheetName val="Sales_by_PC's6"/>
      <sheetName val="Assump__Budg6"/>
      <sheetName val="Sources_Assumptions5"/>
      <sheetName val="ST_Bericht5"/>
      <sheetName val="Supuestos_Generales5"/>
      <sheetName val="T-2_RateRec4"/>
      <sheetName val="Shopping_list4"/>
      <sheetName val="REL__MASISA4"/>
      <sheetName val="_CC214"/>
      <sheetName val="CSSL_-_Real4"/>
      <sheetName val="CONTAS_PAGAR_CP4"/>
      <sheetName val="TR_-_Carlos_Barbosa_(Irwin)4"/>
      <sheetName val="tab_dia_x_mês4"/>
      <sheetName val="taxa_selic4"/>
      <sheetName val="cálculo_inflação_dia4"/>
      <sheetName val="ufir_diária4"/>
      <sheetName val="Loan_Data4"/>
      <sheetName val="Plan__Rocha3"/>
      <sheetName val="Consolidado_US$4"/>
      <sheetName val="E2_1_Brapelco4"/>
      <sheetName val="Margin_Paid3"/>
      <sheetName val="E1_2_-_Jun3"/>
      <sheetName val="DB_Controle3"/>
      <sheetName val="I_-_PRA3"/>
      <sheetName val="DEIS_Connect3"/>
      <sheetName val="PROCESSOS_PARA_PROVISAO_GERAL3"/>
      <sheetName val="USA_NT_Detalhe3"/>
      <sheetName val="Taxa_Moeda3"/>
      <sheetName val="Áreas_Técnicas3"/>
      <sheetName val="SG_Profile3"/>
      <sheetName val="Ecc_Analysis3"/>
      <sheetName val="Reserva_de_cartera3"/>
      <sheetName val="Pasivos_estimados3"/>
      <sheetName val="Resumo_Fatur_2"/>
      <sheetName val="excess_calc2"/>
      <sheetName val="pl_atual2"/>
      <sheetName val="nuBMS_P&amp;L_2"/>
      <sheetName val="Configurações_Gerais2"/>
      <sheetName val="3_2__Fluxo_Semanal_EMESA1"/>
      <sheetName val="3_4__Fluxo_Semanal_TMC1"/>
      <sheetName val="3_3__Fluxo_Semanal_VIGA1"/>
      <sheetName val="Parc__de_ICMS1"/>
      <sheetName val="A4_6-SEAOIL1"/>
      <sheetName val="Chart_Data5"/>
      <sheetName val="CTAS_DE_LANÇAMENTO5"/>
      <sheetName val="BASE_BALSAP5"/>
      <sheetName val="Plano_de_Contas5"/>
      <sheetName val="OUT02_REPORT5"/>
      <sheetName val="Saldo_124800015"/>
      <sheetName val="Saldo_final_324700005"/>
      <sheetName val="Itens_importados5"/>
      <sheetName val="EE3_1_-_Conc__Volvo5"/>
      <sheetName val="APIPIAQ_XLS5"/>
      <sheetName val="FF1_-_Listagem_inicial5"/>
      <sheetName val="Fcx_Consol_Diario_Rev_25-015"/>
      <sheetName val="05,06_E_075"/>
      <sheetName val="Filiais_-_todas5"/>
      <sheetName val="Edo_Res5"/>
      <sheetName val="ABRIL_20005"/>
      <sheetName val="Sic_-_Jan5"/>
      <sheetName val="P&amp;L_EUR5"/>
      <sheetName val="E03_05_1_-_Base_Invista_Nylon5"/>
      <sheetName val="Internal_Data5"/>
      <sheetName val="E4_2_2_testes5"/>
      <sheetName val="TOP_20_-_PC's5"/>
      <sheetName val="Duplicate_Rate5"/>
      <sheetName val="Faturamento_Por_CP5"/>
      <sheetName val="Ajuste_Bacardi5"/>
      <sheetName val="Sales_by_PC's5"/>
      <sheetName val="Assump__Budg5"/>
      <sheetName val="Projeção_álcool5"/>
      <sheetName val="Resinas_10_065"/>
      <sheetName val="curva_pre4"/>
      <sheetName val="ST_Bericht4"/>
      <sheetName val="Sources_Assumptions4"/>
      <sheetName val="Supuestos_Generales4"/>
      <sheetName val="REL__MASISA3"/>
      <sheetName val="_CC213"/>
      <sheetName val="CSSL_-_Real3"/>
      <sheetName val="Loan_Data3"/>
      <sheetName val="tab_dia_x_mês3"/>
      <sheetName val="taxa_selic3"/>
      <sheetName val="cálculo_inflação_dia3"/>
      <sheetName val="ufir_diária3"/>
      <sheetName val="CONTAS_PAGAR_CP3"/>
      <sheetName val="T-2_RateRec3"/>
      <sheetName val="Shopping_list3"/>
      <sheetName val="TR_-_Carlos_Barbosa_(Irwin)3"/>
      <sheetName val="Plan__Rocha2"/>
      <sheetName val="Consolidado_US$3"/>
      <sheetName val="E2_1_Brapelco3"/>
      <sheetName val="E1_2_-_Jun2"/>
      <sheetName val="Margin_Paid2"/>
      <sheetName val="DB_Controle2"/>
      <sheetName val="I_-_PRA2"/>
      <sheetName val="DEIS_Connect2"/>
      <sheetName val="USA_NT_Detalhe2"/>
      <sheetName val="PROCESSOS_PARA_PROVISAO_GERAL2"/>
      <sheetName val="Taxa_Moeda2"/>
      <sheetName val="Áreas_Técnicas2"/>
      <sheetName val="SG_Profile2"/>
      <sheetName val="Ecc_Analysis2"/>
      <sheetName val="Reserva_de_cartera2"/>
      <sheetName val="Pasivos_estimados2"/>
      <sheetName val="Configurações_Gerais1"/>
      <sheetName val="excess_calc1"/>
      <sheetName val="Resumo_Fatur_1"/>
      <sheetName val="pl_atual1"/>
      <sheetName val="nuBMS_P&amp;L_1"/>
      <sheetName val="Resumo_de_Atas"/>
      <sheetName val="A-1_3_1"/>
      <sheetName val="R-7_1_5_40"/>
      <sheetName val="PL-6_1_(2)"/>
      <sheetName val="PL-6_1"/>
      <sheetName val="D-8_1_7_81"/>
      <sheetName val="Todos_Balancetes"/>
      <sheetName val="3_2__Fluxo_Semanal_EMESA"/>
      <sheetName val="3_4__Fluxo_Semanal_TMC"/>
      <sheetName val="3_3__Fluxo_Semanal_VIGA"/>
      <sheetName val="Parc__de_ICMS"/>
      <sheetName val="A4_6-SEAOIL"/>
      <sheetName val="Resumo_de_Atas1"/>
      <sheetName val="A-1_3_11"/>
      <sheetName val="R-7_1_5_401"/>
      <sheetName val="PL-6_1_(2)1"/>
      <sheetName val="PL-6_11"/>
      <sheetName val="D-8_1_7_811"/>
      <sheetName val="Todos_Balancetes1"/>
    </sheetNames>
    <sheetDataSet>
      <sheetData sheetId="0" refreshError="1">
        <row r="2">
          <cell r="G2" t="str">
            <v>RESULTADO DE OPERAÇÕES COM EMPRESAS VINCULADAS - DESPESAS</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Y2" t="str">
            <v>RESULTADO DE OPERAÇÕES COM EMPRESAS VINCULADAS - RECEITAS</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W2">
            <v>0</v>
          </cell>
          <cell r="AX2">
            <v>0</v>
          </cell>
          <cell r="AY2">
            <v>0</v>
          </cell>
          <cell r="AZ2">
            <v>0</v>
          </cell>
          <cell r="BA2">
            <v>0</v>
          </cell>
          <cell r="BB2" t="str">
            <v>LEGISLAÇÃO SOCIETÁRIA</v>
          </cell>
          <cell r="BC2">
            <v>0</v>
          </cell>
          <cell r="BD2">
            <v>0</v>
          </cell>
          <cell r="BE2">
            <v>0</v>
          </cell>
          <cell r="BF2">
            <v>0</v>
          </cell>
          <cell r="BG2">
            <v>0</v>
          </cell>
          <cell r="BH2">
            <v>0</v>
          </cell>
          <cell r="BI2">
            <v>0</v>
          </cell>
          <cell r="BJ2">
            <v>0</v>
          </cell>
          <cell r="BK2">
            <v>0</v>
          </cell>
          <cell r="BL2">
            <v>0</v>
          </cell>
          <cell r="BM2">
            <v>0</v>
          </cell>
          <cell r="BO2">
            <v>0</v>
          </cell>
          <cell r="BP2">
            <v>0</v>
          </cell>
          <cell r="BQ2" t="str">
            <v>CORREÇÃO INTEGRAL</v>
          </cell>
          <cell r="BR2">
            <v>0</v>
          </cell>
          <cell r="BS2">
            <v>0</v>
          </cell>
          <cell r="BT2">
            <v>0</v>
          </cell>
          <cell r="BU2">
            <v>0</v>
          </cell>
          <cell r="BV2">
            <v>0</v>
          </cell>
          <cell r="BW2">
            <v>0</v>
          </cell>
          <cell r="BX2">
            <v>0</v>
          </cell>
          <cell r="BY2">
            <v>0</v>
          </cell>
          <cell r="BZ2">
            <v>0</v>
          </cell>
          <cell r="CA2">
            <v>0</v>
          </cell>
          <cell r="CB2">
            <v>0</v>
          </cell>
          <cell r="CC2">
            <v>0</v>
          </cell>
          <cell r="CD2">
            <v>0</v>
          </cell>
          <cell r="CE2">
            <v>0</v>
          </cell>
          <cell r="CF2">
            <v>0</v>
          </cell>
          <cell r="CG2">
            <v>0</v>
          </cell>
          <cell r="CH2">
            <v>0</v>
          </cell>
          <cell r="CI2">
            <v>0</v>
          </cell>
          <cell r="CL2">
            <v>0</v>
          </cell>
          <cell r="CM2" t="str">
            <v>LEGISLAÇÃO SOCIETÁRIA</v>
          </cell>
          <cell r="CN2">
            <v>0</v>
          </cell>
          <cell r="CO2">
            <v>0</v>
          </cell>
          <cell r="CP2">
            <v>0</v>
          </cell>
          <cell r="CQ2">
            <v>0</v>
          </cell>
          <cell r="CR2">
            <v>0</v>
          </cell>
          <cell r="CS2">
            <v>0</v>
          </cell>
          <cell r="CT2">
            <v>0</v>
          </cell>
          <cell r="CU2">
            <v>0</v>
          </cell>
          <cell r="CV2">
            <v>0</v>
          </cell>
          <cell r="CW2">
            <v>0</v>
          </cell>
          <cell r="CX2">
            <v>0</v>
          </cell>
          <cell r="CZ2">
            <v>0</v>
          </cell>
          <cell r="DA2">
            <v>0</v>
          </cell>
          <cell r="DB2" t="str">
            <v>CORREÇÃO INTEGRAL</v>
          </cell>
        </row>
        <row r="3">
          <cell r="B3" t="str">
            <v>VI - RECEITAS E DESPESAS FINANCEIRAS INTERCOMPANHIAS - ELIMINAÇÕES</v>
          </cell>
          <cell r="C3">
            <v>0</v>
          </cell>
          <cell r="D3">
            <v>0</v>
          </cell>
          <cell r="F3">
            <v>0</v>
          </cell>
          <cell r="G3">
            <v>0</v>
          </cell>
          <cell r="H3">
            <v>0</v>
          </cell>
          <cell r="I3">
            <v>0</v>
          </cell>
          <cell r="J3">
            <v>0</v>
          </cell>
          <cell r="K3">
            <v>0</v>
          </cell>
          <cell r="L3">
            <v>0</v>
          </cell>
          <cell r="M3">
            <v>0</v>
          </cell>
          <cell r="N3" t="str">
            <v>R$000</v>
          </cell>
          <cell r="O3">
            <v>0</v>
          </cell>
          <cell r="P3">
            <v>0</v>
          </cell>
          <cell r="Q3">
            <v>0</v>
          </cell>
          <cell r="R3">
            <v>0</v>
          </cell>
          <cell r="S3">
            <v>0</v>
          </cell>
          <cell r="T3">
            <v>0</v>
          </cell>
          <cell r="U3">
            <v>0</v>
          </cell>
          <cell r="V3">
            <v>0</v>
          </cell>
          <cell r="W3">
            <v>0</v>
          </cell>
          <cell r="Y3">
            <v>0</v>
          </cell>
          <cell r="Z3">
            <v>0</v>
          </cell>
          <cell r="AA3">
            <v>0</v>
          </cell>
          <cell r="AB3">
            <v>0</v>
          </cell>
          <cell r="AC3">
            <v>0</v>
          </cell>
          <cell r="AD3">
            <v>0</v>
          </cell>
          <cell r="AE3">
            <v>0</v>
          </cell>
          <cell r="AF3" t="str">
            <v>R$000</v>
          </cell>
        </row>
        <row r="4">
          <cell r="B4" t="str">
            <v>LEGISLAÇÃO SOCIETÁRIA</v>
          </cell>
          <cell r="C4">
            <v>0</v>
          </cell>
          <cell r="D4">
            <v>0</v>
          </cell>
          <cell r="F4">
            <v>0</v>
          </cell>
          <cell r="G4" t="str">
            <v>PELA LEGISLAÇÃO SOCIETÁRIA</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Y4" t="str">
            <v>PELA LEGISLAÇÃO SOCIETÁRIA</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R4">
            <v>0</v>
          </cell>
          <cell r="AS4">
            <v>0</v>
          </cell>
          <cell r="AT4">
            <v>0</v>
          </cell>
          <cell r="AU4">
            <v>0</v>
          </cell>
          <cell r="AV4">
            <v>0</v>
          </cell>
          <cell r="AW4">
            <v>0</v>
          </cell>
          <cell r="AX4" t="str">
            <v>TABELA DE UFIR</v>
          </cell>
          <cell r="AY4">
            <v>0</v>
          </cell>
          <cell r="AZ4">
            <v>0</v>
          </cell>
          <cell r="BA4">
            <v>0</v>
          </cell>
          <cell r="BB4" t="str">
            <v>DESPESAS/RECEITAS FINANCEIRAS DA PETROBRÁS C/ AS SUBSIDIÁRIAS</v>
          </cell>
          <cell r="BC4">
            <v>0</v>
          </cell>
          <cell r="BD4">
            <v>0</v>
          </cell>
          <cell r="BE4">
            <v>0</v>
          </cell>
          <cell r="BF4">
            <v>0</v>
          </cell>
          <cell r="BG4">
            <v>0</v>
          </cell>
          <cell r="BH4">
            <v>0</v>
          </cell>
          <cell r="BI4">
            <v>0</v>
          </cell>
          <cell r="BJ4">
            <v>0</v>
          </cell>
          <cell r="BK4">
            <v>0</v>
          </cell>
          <cell r="BL4">
            <v>0</v>
          </cell>
          <cell r="BM4">
            <v>0</v>
          </cell>
          <cell r="BO4">
            <v>0</v>
          </cell>
          <cell r="BP4">
            <v>0</v>
          </cell>
          <cell r="BQ4" t="str">
            <v>DESPESAS/RECEITAS FINANCEIRAS DA PETROBRÁS C/ AS SUBSIDIÁRIAS</v>
          </cell>
          <cell r="BR4">
            <v>0</v>
          </cell>
          <cell r="BS4">
            <v>0</v>
          </cell>
          <cell r="BT4">
            <v>0</v>
          </cell>
          <cell r="BU4">
            <v>0</v>
          </cell>
          <cell r="BV4">
            <v>0</v>
          </cell>
          <cell r="BW4">
            <v>0</v>
          </cell>
          <cell r="BX4">
            <v>0</v>
          </cell>
          <cell r="BY4">
            <v>0</v>
          </cell>
          <cell r="BZ4">
            <v>0</v>
          </cell>
          <cell r="CA4">
            <v>0</v>
          </cell>
          <cell r="CB4">
            <v>0</v>
          </cell>
          <cell r="CC4">
            <v>0</v>
          </cell>
          <cell r="CD4">
            <v>0</v>
          </cell>
          <cell r="CE4">
            <v>0</v>
          </cell>
          <cell r="CF4">
            <v>0</v>
          </cell>
          <cell r="CG4">
            <v>0</v>
          </cell>
          <cell r="CH4">
            <v>0</v>
          </cell>
          <cell r="CI4">
            <v>0</v>
          </cell>
          <cell r="CL4">
            <v>0</v>
          </cell>
          <cell r="CM4" t="str">
            <v>DESPESAS/RECEITAS FINANCEIRAS DA PETROBRÁS C/ AS SUBSIDIÁRIAS</v>
          </cell>
          <cell r="CN4">
            <v>0</v>
          </cell>
          <cell r="CO4">
            <v>0</v>
          </cell>
          <cell r="CP4">
            <v>0</v>
          </cell>
          <cell r="CQ4">
            <v>0</v>
          </cell>
          <cell r="CR4">
            <v>0</v>
          </cell>
          <cell r="CS4">
            <v>0</v>
          </cell>
          <cell r="CT4">
            <v>0</v>
          </cell>
          <cell r="CU4">
            <v>0</v>
          </cell>
          <cell r="CV4">
            <v>0</v>
          </cell>
          <cell r="CW4">
            <v>0</v>
          </cell>
          <cell r="CX4">
            <v>0</v>
          </cell>
          <cell r="CZ4">
            <v>0</v>
          </cell>
          <cell r="DA4">
            <v>0</v>
          </cell>
          <cell r="DB4" t="str">
            <v>DESPESAS/RECEITAS FINANCEIRAS DA PETROBRÁS C/ AS SUBSIDIÁRIAS</v>
          </cell>
        </row>
        <row r="5">
          <cell r="BB5" t="str">
            <v>PETROBRAS</v>
          </cell>
          <cell r="BC5">
            <v>0</v>
          </cell>
          <cell r="BD5">
            <v>0</v>
          </cell>
          <cell r="BE5">
            <v>0</v>
          </cell>
          <cell r="BF5">
            <v>0</v>
          </cell>
          <cell r="BG5">
            <v>0</v>
          </cell>
          <cell r="BH5">
            <v>0</v>
          </cell>
          <cell r="BI5">
            <v>0</v>
          </cell>
          <cell r="BJ5">
            <v>0</v>
          </cell>
          <cell r="BK5">
            <v>0</v>
          </cell>
          <cell r="BL5">
            <v>0</v>
          </cell>
          <cell r="BM5">
            <v>0</v>
          </cell>
          <cell r="BO5">
            <v>0</v>
          </cell>
          <cell r="BP5">
            <v>0</v>
          </cell>
          <cell r="BQ5" t="str">
            <v>PETROBRAS</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v>
          </cell>
          <cell r="CI5">
            <v>0</v>
          </cell>
          <cell r="CL5">
            <v>0</v>
          </cell>
          <cell r="CM5" t="str">
            <v>PETROBRAS</v>
          </cell>
          <cell r="CN5">
            <v>0</v>
          </cell>
          <cell r="CO5">
            <v>0</v>
          </cell>
          <cell r="CP5">
            <v>0</v>
          </cell>
          <cell r="CQ5">
            <v>0</v>
          </cell>
          <cell r="CR5">
            <v>0</v>
          </cell>
          <cell r="CS5">
            <v>0</v>
          </cell>
          <cell r="CT5">
            <v>0</v>
          </cell>
          <cell r="CU5">
            <v>0</v>
          </cell>
          <cell r="CV5">
            <v>0</v>
          </cell>
          <cell r="CW5">
            <v>0</v>
          </cell>
          <cell r="CX5">
            <v>0</v>
          </cell>
          <cell r="CZ5">
            <v>0</v>
          </cell>
          <cell r="DA5">
            <v>0</v>
          </cell>
          <cell r="DB5" t="str">
            <v>PETROBRAS</v>
          </cell>
        </row>
        <row r="6">
          <cell r="G6" t="str">
            <v>CONTAS</v>
          </cell>
          <cell r="H6">
            <v>0</v>
          </cell>
          <cell r="I6">
            <v>0</v>
          </cell>
          <cell r="J6">
            <v>0</v>
          </cell>
          <cell r="K6">
            <v>0</v>
          </cell>
          <cell r="L6">
            <v>0</v>
          </cell>
          <cell r="M6">
            <v>0</v>
          </cell>
          <cell r="N6">
            <v>0</v>
          </cell>
          <cell r="O6">
            <v>0</v>
          </cell>
          <cell r="P6" t="str">
            <v/>
          </cell>
          <cell r="Q6" t="str">
            <v/>
          </cell>
          <cell r="R6" t="str">
            <v/>
          </cell>
          <cell r="S6">
            <v>0</v>
          </cell>
          <cell r="T6" t="str">
            <v/>
          </cell>
          <cell r="U6" t="str">
            <v/>
          </cell>
          <cell r="V6" t="str">
            <v/>
          </cell>
          <cell r="W6">
            <v>0</v>
          </cell>
          <cell r="Y6" t="str">
            <v>CONTAS</v>
          </cell>
          <cell r="Z6">
            <v>0</v>
          </cell>
          <cell r="AA6">
            <v>0</v>
          </cell>
          <cell r="AB6">
            <v>0</v>
          </cell>
          <cell r="AC6">
            <v>0</v>
          </cell>
          <cell r="AD6">
            <v>0</v>
          </cell>
          <cell r="AE6">
            <v>0</v>
          </cell>
          <cell r="AF6">
            <v>0</v>
          </cell>
          <cell r="AG6">
            <v>0</v>
          </cell>
          <cell r="AH6" t="str">
            <v/>
          </cell>
          <cell r="AI6" t="str">
            <v/>
          </cell>
          <cell r="AJ6" t="str">
            <v/>
          </cell>
          <cell r="AK6">
            <v>0</v>
          </cell>
          <cell r="AL6" t="str">
            <v/>
          </cell>
          <cell r="AM6" t="str">
            <v/>
          </cell>
          <cell r="AN6" t="str">
            <v/>
          </cell>
          <cell r="AO6">
            <v>0</v>
          </cell>
          <cell r="AR6">
            <v>0</v>
          </cell>
          <cell r="AS6">
            <v>0</v>
          </cell>
          <cell r="AT6">
            <v>0</v>
          </cell>
          <cell r="AU6">
            <v>0</v>
          </cell>
          <cell r="AV6">
            <v>0</v>
          </cell>
          <cell r="AW6">
            <v>0</v>
          </cell>
          <cell r="AX6">
            <v>35065</v>
          </cell>
          <cell r="AY6">
            <v>0.84489999999999998</v>
          </cell>
          <cell r="AZ6">
            <v>0</v>
          </cell>
          <cell r="BA6">
            <v>0</v>
          </cell>
          <cell r="BB6">
            <v>0</v>
          </cell>
          <cell r="BC6">
            <v>0</v>
          </cell>
          <cell r="BD6" t="str">
            <v>DESPESA</v>
          </cell>
          <cell r="BE6">
            <v>0</v>
          </cell>
          <cell r="BF6">
            <v>0</v>
          </cell>
          <cell r="BG6" t="str">
            <v>RECEITA</v>
          </cell>
          <cell r="BH6">
            <v>0</v>
          </cell>
          <cell r="BI6">
            <v>0</v>
          </cell>
          <cell r="BJ6">
            <v>0</v>
          </cell>
          <cell r="BK6" t="str">
            <v>VAR.CAMBIAL</v>
          </cell>
          <cell r="BL6">
            <v>0</v>
          </cell>
          <cell r="BM6">
            <v>0</v>
          </cell>
          <cell r="BO6">
            <v>0</v>
          </cell>
          <cell r="BP6">
            <v>0</v>
          </cell>
          <cell r="BQ6" t="str">
            <v>DESPESA</v>
          </cell>
          <cell r="BR6">
            <v>0</v>
          </cell>
          <cell r="BS6">
            <v>0</v>
          </cell>
          <cell r="BT6" t="str">
            <v>RECEITA</v>
          </cell>
          <cell r="BU6">
            <v>0</v>
          </cell>
          <cell r="BV6">
            <v>0</v>
          </cell>
          <cell r="BW6">
            <v>0</v>
          </cell>
          <cell r="BX6">
            <v>0</v>
          </cell>
          <cell r="BY6">
            <v>0</v>
          </cell>
          <cell r="BZ6" t="str">
            <v>VAR.CAMBIAL</v>
          </cell>
          <cell r="CA6">
            <v>0</v>
          </cell>
          <cell r="CB6">
            <v>0</v>
          </cell>
          <cell r="CC6">
            <v>0</v>
          </cell>
          <cell r="CD6" t="str">
            <v>PERDA S/ATIVO MONET.</v>
          </cell>
          <cell r="CE6">
            <v>0</v>
          </cell>
          <cell r="CF6">
            <v>0</v>
          </cell>
          <cell r="CG6" t="str">
            <v>GANHO S/ PASS.MONET.</v>
          </cell>
          <cell r="CH6">
            <v>0</v>
          </cell>
          <cell r="CI6">
            <v>0</v>
          </cell>
          <cell r="CL6">
            <v>0</v>
          </cell>
          <cell r="CM6">
            <v>0</v>
          </cell>
          <cell r="CN6">
            <v>0</v>
          </cell>
          <cell r="CO6" t="str">
            <v>DESPESA</v>
          </cell>
          <cell r="CP6">
            <v>0</v>
          </cell>
          <cell r="CQ6">
            <v>0</v>
          </cell>
          <cell r="CR6" t="str">
            <v>RECEITA</v>
          </cell>
          <cell r="CS6">
            <v>0</v>
          </cell>
          <cell r="CT6">
            <v>0</v>
          </cell>
          <cell r="CU6">
            <v>0</v>
          </cell>
          <cell r="CV6" t="str">
            <v>VAR.CAMBIAL</v>
          </cell>
          <cell r="CW6">
            <v>0</v>
          </cell>
          <cell r="CX6">
            <v>0</v>
          </cell>
          <cell r="CZ6">
            <v>0</v>
          </cell>
          <cell r="DA6">
            <v>0</v>
          </cell>
          <cell r="DB6" t="str">
            <v>DESPESA</v>
          </cell>
          <cell r="DC6">
            <v>0</v>
          </cell>
          <cell r="DD6">
            <v>0</v>
          </cell>
          <cell r="DE6" t="str">
            <v>RECEITA</v>
          </cell>
          <cell r="DF6">
            <v>0</v>
          </cell>
          <cell r="DG6">
            <v>0</v>
          </cell>
          <cell r="DH6">
            <v>0</v>
          </cell>
          <cell r="DI6">
            <v>0</v>
          </cell>
          <cell r="DJ6">
            <v>0</v>
          </cell>
          <cell r="DK6" t="str">
            <v>VAR.CAMBIAL</v>
          </cell>
          <cell r="DL6">
            <v>0</v>
          </cell>
          <cell r="DM6">
            <v>0</v>
          </cell>
          <cell r="DN6">
            <v>0</v>
          </cell>
          <cell r="DO6" t="str">
            <v>PERDA S/ATIVO MONET.</v>
          </cell>
          <cell r="DP6">
            <v>0</v>
          </cell>
          <cell r="DQ6">
            <v>0</v>
          </cell>
          <cell r="DR6" t="str">
            <v>GANHO S/ PASS.MONET.</v>
          </cell>
        </row>
        <row r="7">
          <cell r="B7" t="str">
            <v>D - RECEITA FINANCEIRA</v>
          </cell>
          <cell r="C7">
            <v>33653</v>
          </cell>
          <cell r="D7">
            <v>0</v>
          </cell>
          <cell r="F7">
            <v>0</v>
          </cell>
          <cell r="G7">
            <v>3540</v>
          </cell>
          <cell r="H7" t="str">
            <v>TOTAL</v>
          </cell>
          <cell r="I7">
            <v>0</v>
          </cell>
          <cell r="J7">
            <v>0</v>
          </cell>
          <cell r="K7">
            <v>0</v>
          </cell>
          <cell r="L7">
            <v>0</v>
          </cell>
          <cell r="M7">
            <v>0</v>
          </cell>
          <cell r="N7">
            <v>0</v>
          </cell>
          <cell r="O7">
            <v>0</v>
          </cell>
          <cell r="P7" t="str">
            <v/>
          </cell>
          <cell r="Q7" t="str">
            <v/>
          </cell>
          <cell r="R7" t="str">
            <v/>
          </cell>
          <cell r="S7">
            <v>0</v>
          </cell>
          <cell r="T7" t="str">
            <v/>
          </cell>
          <cell r="U7" t="str">
            <v/>
          </cell>
          <cell r="V7" t="str">
            <v/>
          </cell>
          <cell r="W7" t="str">
            <v>TOTAL</v>
          </cell>
          <cell r="Y7">
            <v>3540</v>
          </cell>
          <cell r="Z7" t="str">
            <v>TOTAL</v>
          </cell>
          <cell r="AA7">
            <v>0</v>
          </cell>
          <cell r="AB7">
            <v>0</v>
          </cell>
          <cell r="AC7">
            <v>0</v>
          </cell>
          <cell r="AD7">
            <v>0</v>
          </cell>
          <cell r="AE7">
            <v>0</v>
          </cell>
          <cell r="AF7">
            <v>0</v>
          </cell>
          <cell r="AG7">
            <v>0</v>
          </cell>
          <cell r="AH7" t="str">
            <v/>
          </cell>
          <cell r="AI7" t="str">
            <v/>
          </cell>
          <cell r="AJ7" t="str">
            <v/>
          </cell>
          <cell r="AK7">
            <v>0</v>
          </cell>
          <cell r="AL7" t="str">
            <v/>
          </cell>
          <cell r="AM7" t="str">
            <v/>
          </cell>
          <cell r="AN7" t="str">
            <v/>
          </cell>
          <cell r="AO7" t="str">
            <v>TOTAL</v>
          </cell>
          <cell r="AR7">
            <v>0</v>
          </cell>
          <cell r="AS7" t="str">
            <v>• Ganhos s/passivos monet.c/enc.financ. pós-fixados    =</v>
          </cell>
          <cell r="AT7">
            <v>0</v>
          </cell>
          <cell r="AU7">
            <v>0</v>
          </cell>
          <cell r="AV7">
            <v>19563</v>
          </cell>
          <cell r="AW7">
            <v>0</v>
          </cell>
          <cell r="AX7">
            <v>35096</v>
          </cell>
          <cell r="AY7">
            <v>0.85119999999999996</v>
          </cell>
          <cell r="AZ7">
            <v>0</v>
          </cell>
          <cell r="BA7">
            <v>0</v>
          </cell>
          <cell r="BB7" t="str">
            <v>PETROQUISA</v>
          </cell>
          <cell r="BC7">
            <v>0</v>
          </cell>
          <cell r="BD7">
            <v>16086</v>
          </cell>
          <cell r="BE7">
            <v>0</v>
          </cell>
          <cell r="BF7">
            <v>0</v>
          </cell>
          <cell r="BG7">
            <v>0</v>
          </cell>
          <cell r="BH7">
            <v>0</v>
          </cell>
          <cell r="BI7">
            <v>0</v>
          </cell>
          <cell r="BJ7" t="str">
            <v>BRASOIL</v>
          </cell>
          <cell r="BK7">
            <v>13051</v>
          </cell>
          <cell r="BL7">
            <v>11564</v>
          </cell>
          <cell r="BM7">
            <v>0</v>
          </cell>
          <cell r="BO7">
            <v>0</v>
          </cell>
          <cell r="BP7" t="str">
            <v>PETROQUISA</v>
          </cell>
          <cell r="BQ7">
            <v>16174</v>
          </cell>
          <cell r="BR7">
            <v>0</v>
          </cell>
          <cell r="BS7">
            <v>0</v>
          </cell>
          <cell r="BT7">
            <v>0</v>
          </cell>
          <cell r="BU7">
            <v>0</v>
          </cell>
          <cell r="BV7">
            <v>0</v>
          </cell>
          <cell r="BW7">
            <v>0</v>
          </cell>
          <cell r="BX7" t="str">
            <v>BRASOIL</v>
          </cell>
          <cell r="BY7">
            <v>0</v>
          </cell>
          <cell r="BZ7">
            <v>13127</v>
          </cell>
          <cell r="CA7">
            <v>11634</v>
          </cell>
          <cell r="CB7">
            <v>0</v>
          </cell>
          <cell r="CC7" t="str">
            <v>NO PAÍS</v>
          </cell>
          <cell r="CD7">
            <v>4376.2352091518378</v>
          </cell>
          <cell r="CE7">
            <v>0</v>
          </cell>
          <cell r="CF7">
            <v>0</v>
          </cell>
          <cell r="CG7">
            <v>0</v>
          </cell>
          <cell r="CH7">
            <v>10579.864167239179</v>
          </cell>
          <cell r="CI7">
            <v>0</v>
          </cell>
          <cell r="CL7">
            <v>0</v>
          </cell>
          <cell r="CM7" t="str">
            <v>PETROQUISA</v>
          </cell>
          <cell r="CN7">
            <v>0</v>
          </cell>
          <cell r="CO7">
            <v>16086</v>
          </cell>
          <cell r="CP7">
            <v>0</v>
          </cell>
          <cell r="CQ7">
            <v>0</v>
          </cell>
          <cell r="CR7">
            <v>0</v>
          </cell>
          <cell r="CS7">
            <v>0</v>
          </cell>
          <cell r="CT7">
            <v>0</v>
          </cell>
          <cell r="CU7" t="str">
            <v>BRASOIL</v>
          </cell>
          <cell r="CV7">
            <v>13051</v>
          </cell>
          <cell r="CW7">
            <v>11564</v>
          </cell>
          <cell r="CX7">
            <v>0</v>
          </cell>
          <cell r="CZ7">
            <v>0</v>
          </cell>
          <cell r="DA7" t="str">
            <v>PETROQUISA</v>
          </cell>
          <cell r="DB7">
            <v>16174</v>
          </cell>
          <cell r="DC7">
            <v>0</v>
          </cell>
          <cell r="DD7">
            <v>0</v>
          </cell>
          <cell r="DE7">
            <v>0</v>
          </cell>
          <cell r="DF7">
            <v>0</v>
          </cell>
          <cell r="DG7">
            <v>0</v>
          </cell>
          <cell r="DH7">
            <v>0</v>
          </cell>
          <cell r="DI7" t="str">
            <v>BRASOIL</v>
          </cell>
          <cell r="DJ7">
            <v>0</v>
          </cell>
          <cell r="DK7">
            <v>13127</v>
          </cell>
          <cell r="DL7">
            <v>11634</v>
          </cell>
          <cell r="DM7">
            <v>0</v>
          </cell>
          <cell r="DN7" t="str">
            <v>NO PAÍS</v>
          </cell>
          <cell r="DO7">
            <v>4143.2352091518378</v>
          </cell>
          <cell r="DP7">
            <v>0</v>
          </cell>
          <cell r="DQ7">
            <v>0</v>
          </cell>
          <cell r="DR7">
            <v>0</v>
          </cell>
          <cell r="DS7">
            <v>10460.864167239179</v>
          </cell>
        </row>
        <row r="8">
          <cell r="C8" t="str">
            <v/>
          </cell>
          <cell r="G8">
            <v>3541</v>
          </cell>
          <cell r="H8" t="str">
            <v>JAN</v>
          </cell>
          <cell r="I8" t="str">
            <v>FEV</v>
          </cell>
          <cell r="J8" t="str">
            <v>MAR</v>
          </cell>
          <cell r="K8" t="str">
            <v>ACUMULADO</v>
          </cell>
          <cell r="L8" t="str">
            <v>ABR</v>
          </cell>
          <cell r="M8" t="str">
            <v>MAI</v>
          </cell>
          <cell r="N8" t="str">
            <v>JUN</v>
          </cell>
          <cell r="O8" t="str">
            <v>ACUMULADO</v>
          </cell>
          <cell r="P8" t="str">
            <v>JUL</v>
          </cell>
          <cell r="Q8" t="str">
            <v>AGO</v>
          </cell>
          <cell r="R8" t="str">
            <v>SET</v>
          </cell>
          <cell r="S8" t="str">
            <v>ACUMULADO</v>
          </cell>
          <cell r="T8" t="str">
            <v>OUT</v>
          </cell>
          <cell r="U8" t="str">
            <v>NOV</v>
          </cell>
          <cell r="V8" t="str">
            <v>DEZ</v>
          </cell>
          <cell r="W8" t="str">
            <v>ACUMULADO</v>
          </cell>
          <cell r="Y8">
            <v>3541</v>
          </cell>
          <cell r="Z8" t="str">
            <v>JAN</v>
          </cell>
          <cell r="AA8" t="str">
            <v>FEV</v>
          </cell>
          <cell r="AB8" t="str">
            <v>MAR</v>
          </cell>
          <cell r="AC8" t="str">
            <v>ACUMULADO</v>
          </cell>
          <cell r="AD8" t="str">
            <v>ABR</v>
          </cell>
          <cell r="AE8" t="str">
            <v>MAI</v>
          </cell>
          <cell r="AF8" t="str">
            <v>JUN</v>
          </cell>
          <cell r="AG8" t="str">
            <v>ACUMULADO</v>
          </cell>
          <cell r="AH8" t="str">
            <v>JUL</v>
          </cell>
          <cell r="AI8" t="str">
            <v>AGO</v>
          </cell>
          <cell r="AJ8" t="str">
            <v>SET</v>
          </cell>
          <cell r="AK8" t="str">
            <v>ACUMULADO</v>
          </cell>
          <cell r="AL8" t="str">
            <v>OUT</v>
          </cell>
          <cell r="AM8" t="str">
            <v>NOV</v>
          </cell>
          <cell r="AN8" t="str">
            <v>DEZ</v>
          </cell>
          <cell r="AO8" t="str">
            <v>ACUMULADO</v>
          </cell>
          <cell r="AR8">
            <v>0</v>
          </cell>
          <cell r="AS8" t="str">
            <v>- país</v>
          </cell>
          <cell r="AT8">
            <v>0.53472699316256089</v>
          </cell>
          <cell r="AU8" t="str">
            <v>=</v>
          </cell>
          <cell r="AV8">
            <v>10460.864167239179</v>
          </cell>
          <cell r="AW8">
            <v>0</v>
          </cell>
          <cell r="AX8">
            <v>35125</v>
          </cell>
          <cell r="AY8">
            <v>0.8548</v>
          </cell>
          <cell r="AZ8">
            <v>0</v>
          </cell>
          <cell r="BA8">
            <v>0</v>
          </cell>
          <cell r="BB8" t="str">
            <v>PETROFÉRTIL</v>
          </cell>
          <cell r="BC8">
            <v>0</v>
          </cell>
          <cell r="BD8">
            <v>24</v>
          </cell>
          <cell r="BE8">
            <v>0</v>
          </cell>
          <cell r="BF8">
            <v>0</v>
          </cell>
          <cell r="BG8">
            <v>0</v>
          </cell>
          <cell r="BH8">
            <v>29</v>
          </cell>
          <cell r="BI8">
            <v>0</v>
          </cell>
          <cell r="BJ8" t="str">
            <v>PAI</v>
          </cell>
          <cell r="BK8">
            <v>1171</v>
          </cell>
          <cell r="BL8">
            <v>127</v>
          </cell>
          <cell r="BM8">
            <v>0</v>
          </cell>
          <cell r="BO8">
            <v>0</v>
          </cell>
          <cell r="BP8" t="str">
            <v>PETROFÉRTIL</v>
          </cell>
          <cell r="BQ8">
            <v>24</v>
          </cell>
          <cell r="BR8">
            <v>0</v>
          </cell>
          <cell r="BS8">
            <v>0</v>
          </cell>
          <cell r="BT8">
            <v>0</v>
          </cell>
          <cell r="BU8">
            <v>46</v>
          </cell>
          <cell r="BV8">
            <v>0</v>
          </cell>
          <cell r="BW8">
            <v>0</v>
          </cell>
          <cell r="BX8" t="str">
            <v>PAI</v>
          </cell>
          <cell r="BY8">
            <v>0</v>
          </cell>
          <cell r="BZ8">
            <v>1180</v>
          </cell>
          <cell r="CA8">
            <v>128</v>
          </cell>
          <cell r="CB8">
            <v>0</v>
          </cell>
          <cell r="CC8" t="str">
            <v>NO EXTERIOR</v>
          </cell>
          <cell r="CD8">
            <v>8673.7647908481631</v>
          </cell>
          <cell r="CE8">
            <v>0</v>
          </cell>
          <cell r="CF8">
            <v>0</v>
          </cell>
          <cell r="CG8">
            <v>0</v>
          </cell>
          <cell r="CH8">
            <v>9102.1358327608195</v>
          </cell>
          <cell r="CI8">
            <v>0</v>
          </cell>
          <cell r="CL8">
            <v>0</v>
          </cell>
          <cell r="CM8" t="str">
            <v>PETROFÉRTIL</v>
          </cell>
          <cell r="CN8">
            <v>0</v>
          </cell>
          <cell r="CO8">
            <v>24</v>
          </cell>
          <cell r="CP8">
            <v>0</v>
          </cell>
          <cell r="CQ8">
            <v>0</v>
          </cell>
          <cell r="CR8">
            <v>0</v>
          </cell>
          <cell r="CS8">
            <v>29</v>
          </cell>
          <cell r="CT8">
            <v>0</v>
          </cell>
          <cell r="CU8" t="str">
            <v>PAI</v>
          </cell>
          <cell r="CV8">
            <v>1171</v>
          </cell>
          <cell r="CW8">
            <v>127</v>
          </cell>
          <cell r="CX8">
            <v>0</v>
          </cell>
          <cell r="CZ8">
            <v>0</v>
          </cell>
          <cell r="DA8" t="str">
            <v>PETROFÉRTIL</v>
          </cell>
          <cell r="DB8">
            <v>24</v>
          </cell>
          <cell r="DC8">
            <v>0</v>
          </cell>
          <cell r="DD8">
            <v>0</v>
          </cell>
          <cell r="DE8">
            <v>0</v>
          </cell>
          <cell r="DF8">
            <v>46</v>
          </cell>
          <cell r="DG8">
            <v>0</v>
          </cell>
          <cell r="DH8">
            <v>0</v>
          </cell>
          <cell r="DI8" t="str">
            <v>PAI</v>
          </cell>
          <cell r="DJ8">
            <v>0</v>
          </cell>
          <cell r="DK8">
            <v>1180</v>
          </cell>
          <cell r="DL8">
            <v>128</v>
          </cell>
          <cell r="DM8">
            <v>0</v>
          </cell>
          <cell r="DN8" t="str">
            <v>NO EXTERIOR</v>
          </cell>
          <cell r="DO8">
            <v>8673.7647908481631</v>
          </cell>
          <cell r="DP8">
            <v>0</v>
          </cell>
          <cell r="DQ8">
            <v>0</v>
          </cell>
          <cell r="DR8">
            <v>0</v>
          </cell>
          <cell r="DS8">
            <v>9102.1358327608195</v>
          </cell>
        </row>
        <row r="9">
          <cell r="B9" t="str">
            <v>C - DESPESA FINANCEIRA</v>
          </cell>
          <cell r="C9">
            <v>36184</v>
          </cell>
          <cell r="D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R9">
            <v>0</v>
          </cell>
          <cell r="AS9" t="str">
            <v>- exterior</v>
          </cell>
          <cell r="AT9">
            <v>0.46527300683743905</v>
          </cell>
          <cell r="AU9" t="str">
            <v>=</v>
          </cell>
          <cell r="AV9">
            <v>9102.1358327608195</v>
          </cell>
          <cell r="AW9">
            <v>0</v>
          </cell>
          <cell r="AX9">
            <v>35156</v>
          </cell>
          <cell r="AY9">
            <v>1</v>
          </cell>
          <cell r="AZ9">
            <v>0</v>
          </cell>
          <cell r="BA9">
            <v>0</v>
          </cell>
          <cell r="BB9" t="str">
            <v>BRASPETRO</v>
          </cell>
          <cell r="BC9">
            <v>0</v>
          </cell>
          <cell r="BD9">
            <v>0</v>
          </cell>
          <cell r="BE9">
            <v>0</v>
          </cell>
          <cell r="BF9">
            <v>0</v>
          </cell>
          <cell r="BG9">
            <v>0</v>
          </cell>
          <cell r="BH9">
            <v>148</v>
          </cell>
          <cell r="BI9">
            <v>0</v>
          </cell>
          <cell r="BJ9">
            <v>0</v>
          </cell>
          <cell r="BK9">
            <v>0</v>
          </cell>
          <cell r="BL9">
            <v>0</v>
          </cell>
          <cell r="BM9">
            <v>0</v>
          </cell>
          <cell r="BO9">
            <v>0</v>
          </cell>
          <cell r="BP9" t="str">
            <v>BRASPETRO</v>
          </cell>
          <cell r="BQ9">
            <v>0</v>
          </cell>
          <cell r="BR9">
            <v>0</v>
          </cell>
          <cell r="BS9">
            <v>0</v>
          </cell>
          <cell r="BT9">
            <v>0</v>
          </cell>
          <cell r="BU9">
            <v>148</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L9">
            <v>0</v>
          </cell>
          <cell r="CM9" t="str">
            <v>BRASPETRO</v>
          </cell>
          <cell r="CN9">
            <v>0</v>
          </cell>
          <cell r="CO9">
            <v>0</v>
          </cell>
          <cell r="CP9">
            <v>0</v>
          </cell>
          <cell r="CQ9">
            <v>0</v>
          </cell>
          <cell r="CR9">
            <v>0</v>
          </cell>
          <cell r="CS9">
            <v>148</v>
          </cell>
          <cell r="CT9">
            <v>0</v>
          </cell>
          <cell r="CU9">
            <v>0</v>
          </cell>
          <cell r="CV9">
            <v>0</v>
          </cell>
          <cell r="CW9">
            <v>0</v>
          </cell>
          <cell r="CX9">
            <v>0</v>
          </cell>
          <cell r="CZ9">
            <v>0</v>
          </cell>
          <cell r="DA9" t="str">
            <v>BRASPETRO</v>
          </cell>
          <cell r="DB9">
            <v>0</v>
          </cell>
          <cell r="DC9">
            <v>0</v>
          </cell>
          <cell r="DD9">
            <v>0</v>
          </cell>
          <cell r="DE9">
            <v>0</v>
          </cell>
          <cell r="DF9">
            <v>148</v>
          </cell>
        </row>
        <row r="10">
          <cell r="G10" t="str">
            <v>PETROQUISA</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Y10" t="str">
            <v>PETROQUISA</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R10">
            <v>0</v>
          </cell>
          <cell r="AS10">
            <v>0</v>
          </cell>
          <cell r="AT10">
            <v>0</v>
          </cell>
          <cell r="AU10">
            <v>0</v>
          </cell>
          <cell r="AV10">
            <v>0</v>
          </cell>
          <cell r="AW10">
            <v>0</v>
          </cell>
          <cell r="AX10">
            <v>35186</v>
          </cell>
          <cell r="AY10">
            <v>1</v>
          </cell>
          <cell r="AZ10">
            <v>0</v>
          </cell>
          <cell r="BA10">
            <v>0</v>
          </cell>
          <cell r="BB10" t="str">
            <v>BRASOIL</v>
          </cell>
          <cell r="BC10">
            <v>0</v>
          </cell>
          <cell r="BD10">
            <v>0</v>
          </cell>
          <cell r="BE10">
            <v>0</v>
          </cell>
          <cell r="BF10">
            <v>0</v>
          </cell>
          <cell r="BG10">
            <v>0</v>
          </cell>
          <cell r="BH10">
            <v>22</v>
          </cell>
          <cell r="BI10">
            <v>0</v>
          </cell>
          <cell r="BJ10">
            <v>0</v>
          </cell>
          <cell r="BK10">
            <v>0</v>
          </cell>
          <cell r="BL10">
            <v>0</v>
          </cell>
          <cell r="BM10">
            <v>0</v>
          </cell>
          <cell r="BO10">
            <v>0</v>
          </cell>
          <cell r="BP10" t="str">
            <v>BRASOIL</v>
          </cell>
          <cell r="BQ10">
            <v>0</v>
          </cell>
          <cell r="BR10">
            <v>0</v>
          </cell>
          <cell r="BS10">
            <v>0</v>
          </cell>
          <cell r="BT10">
            <v>0</v>
          </cell>
          <cell r="BU10">
            <v>22</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L10">
            <v>0</v>
          </cell>
          <cell r="CM10" t="str">
            <v>BRASOIL</v>
          </cell>
          <cell r="CN10">
            <v>0</v>
          </cell>
          <cell r="CO10">
            <v>0</v>
          </cell>
          <cell r="CP10">
            <v>0</v>
          </cell>
          <cell r="CQ10">
            <v>0</v>
          </cell>
          <cell r="CR10">
            <v>0</v>
          </cell>
          <cell r="CS10">
            <v>22</v>
          </cell>
          <cell r="CT10">
            <v>0</v>
          </cell>
          <cell r="CU10">
            <v>0</v>
          </cell>
          <cell r="CV10">
            <v>0</v>
          </cell>
          <cell r="CW10">
            <v>0</v>
          </cell>
          <cell r="CX10">
            <v>0</v>
          </cell>
          <cell r="CZ10">
            <v>0</v>
          </cell>
          <cell r="DA10" t="str">
            <v>BRASOIL</v>
          </cell>
          <cell r="DB10">
            <v>0</v>
          </cell>
          <cell r="DC10">
            <v>0</v>
          </cell>
          <cell r="DD10">
            <v>0</v>
          </cell>
          <cell r="DE10">
            <v>0</v>
          </cell>
          <cell r="DF10">
            <v>22</v>
          </cell>
        </row>
        <row r="11">
          <cell r="B11" t="str">
            <v>C/D - GANHO/PERDA CAMBIAL</v>
          </cell>
          <cell r="C11">
            <v>-2531</v>
          </cell>
          <cell r="D11">
            <v>0</v>
          </cell>
          <cell r="F11">
            <v>0</v>
          </cell>
          <cell r="G11" t="str">
            <v>- Despesa financeira - 3540.002/005</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Y11" t="str">
            <v>- Receita financeira - 3540.012/014</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R11">
            <v>0</v>
          </cell>
          <cell r="AS11">
            <v>0</v>
          </cell>
          <cell r="AT11">
            <v>0</v>
          </cell>
          <cell r="AU11">
            <v>0</v>
          </cell>
          <cell r="AV11">
            <v>0</v>
          </cell>
          <cell r="AW11">
            <v>0</v>
          </cell>
          <cell r="AX11">
            <v>35217</v>
          </cell>
          <cell r="AY11">
            <v>1</v>
          </cell>
          <cell r="AZ11">
            <v>0</v>
          </cell>
          <cell r="BA11">
            <v>0</v>
          </cell>
          <cell r="BB11" t="str">
            <v>PAI</v>
          </cell>
          <cell r="BC11">
            <v>0</v>
          </cell>
          <cell r="BD11">
            <v>0</v>
          </cell>
          <cell r="BE11">
            <v>0</v>
          </cell>
          <cell r="BF11">
            <v>0</v>
          </cell>
          <cell r="BG11">
            <v>0</v>
          </cell>
          <cell r="BH11">
            <v>0</v>
          </cell>
          <cell r="BI11">
            <v>0</v>
          </cell>
          <cell r="BJ11">
            <v>0</v>
          </cell>
          <cell r="BK11">
            <v>0</v>
          </cell>
          <cell r="BL11">
            <v>0</v>
          </cell>
          <cell r="BM11">
            <v>0</v>
          </cell>
          <cell r="BO11">
            <v>0</v>
          </cell>
          <cell r="BP11" t="str">
            <v>PAI</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L11">
            <v>0</v>
          </cell>
          <cell r="CM11" t="str">
            <v>PAI</v>
          </cell>
          <cell r="CN11">
            <v>0</v>
          </cell>
          <cell r="CO11">
            <v>0</v>
          </cell>
          <cell r="CP11">
            <v>0</v>
          </cell>
          <cell r="CQ11">
            <v>0</v>
          </cell>
          <cell r="CR11">
            <v>0</v>
          </cell>
          <cell r="CS11">
            <v>0</v>
          </cell>
          <cell r="CT11">
            <v>0</v>
          </cell>
          <cell r="CU11">
            <v>0</v>
          </cell>
          <cell r="CV11">
            <v>0</v>
          </cell>
          <cell r="CW11">
            <v>0</v>
          </cell>
          <cell r="CX11">
            <v>0</v>
          </cell>
          <cell r="CZ11">
            <v>0</v>
          </cell>
          <cell r="DA11" t="str">
            <v>PAI</v>
          </cell>
          <cell r="DB11">
            <v>0</v>
          </cell>
          <cell r="DC11">
            <v>0</v>
          </cell>
          <cell r="DD11">
            <v>0</v>
          </cell>
          <cell r="DE11">
            <v>0</v>
          </cell>
          <cell r="DF11">
            <v>0</v>
          </cell>
        </row>
        <row r="12">
          <cell r="G12" t="str">
            <v>- Desp.variação cambial - 3541.012</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Y12" t="str">
            <v>- Rec.var.cambial - 3542.012/015/022</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R12">
            <v>0</v>
          </cell>
          <cell r="AS12" t="str">
            <v>• Perdas s/ativos monet.c/enc.financ. pós-fixados            =</v>
          </cell>
          <cell r="AT12">
            <v>0</v>
          </cell>
          <cell r="AU12">
            <v>0</v>
          </cell>
          <cell r="AV12">
            <v>12817</v>
          </cell>
          <cell r="AW12">
            <v>0</v>
          </cell>
          <cell r="AX12">
            <v>35247</v>
          </cell>
          <cell r="AY12">
            <v>1</v>
          </cell>
          <cell r="AZ12">
            <v>0</v>
          </cell>
          <cell r="BA12">
            <v>0</v>
          </cell>
          <cell r="BB12" t="str">
            <v>BR</v>
          </cell>
          <cell r="BC12">
            <v>0</v>
          </cell>
          <cell r="BD12">
            <v>235</v>
          </cell>
          <cell r="BE12">
            <v>0</v>
          </cell>
          <cell r="BF12">
            <v>0</v>
          </cell>
          <cell r="BG12">
            <v>0</v>
          </cell>
          <cell r="BH12">
            <v>5418</v>
          </cell>
          <cell r="BI12">
            <v>0</v>
          </cell>
          <cell r="BJ12">
            <v>0</v>
          </cell>
          <cell r="BK12">
            <v>0</v>
          </cell>
          <cell r="BL12">
            <v>0</v>
          </cell>
          <cell r="BM12">
            <v>0</v>
          </cell>
          <cell r="BO12">
            <v>0</v>
          </cell>
          <cell r="BP12" t="str">
            <v>BR</v>
          </cell>
          <cell r="BQ12">
            <v>236</v>
          </cell>
          <cell r="BR12">
            <v>0</v>
          </cell>
          <cell r="BS12">
            <v>0</v>
          </cell>
          <cell r="BT12">
            <v>0</v>
          </cell>
          <cell r="BU12">
            <v>5454</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L12">
            <v>0</v>
          </cell>
          <cell r="CM12" t="str">
            <v>BR</v>
          </cell>
          <cell r="CN12">
            <v>0</v>
          </cell>
          <cell r="CO12">
            <v>235</v>
          </cell>
          <cell r="CP12">
            <v>0</v>
          </cell>
          <cell r="CQ12">
            <v>0</v>
          </cell>
          <cell r="CR12">
            <v>0</v>
          </cell>
          <cell r="CS12">
            <v>5418</v>
          </cell>
          <cell r="CT12">
            <v>0</v>
          </cell>
          <cell r="CU12">
            <v>0</v>
          </cell>
          <cell r="CV12">
            <v>0</v>
          </cell>
          <cell r="CW12">
            <v>0</v>
          </cell>
          <cell r="CX12">
            <v>0</v>
          </cell>
          <cell r="CZ12">
            <v>0</v>
          </cell>
          <cell r="DA12" t="str">
            <v>BR</v>
          </cell>
          <cell r="DB12">
            <v>236</v>
          </cell>
          <cell r="DC12">
            <v>0</v>
          </cell>
          <cell r="DD12">
            <v>0</v>
          </cell>
          <cell r="DE12">
            <v>0</v>
          </cell>
          <cell r="DF12">
            <v>5454</v>
          </cell>
        </row>
        <row r="13">
          <cell r="C13" t="str">
            <v/>
          </cell>
          <cell r="D13" t="str">
            <v/>
          </cell>
          <cell r="G13" t="str">
            <v>- Desp.cor.monet. - 3541.002/022</v>
          </cell>
          <cell r="H13">
            <v>5624</v>
          </cell>
          <cell r="I13">
            <v>5209</v>
          </cell>
          <cell r="J13">
            <v>5253</v>
          </cell>
          <cell r="K13">
            <v>16086</v>
          </cell>
          <cell r="L13">
            <v>4991</v>
          </cell>
          <cell r="M13">
            <v>3310</v>
          </cell>
          <cell r="N13">
            <v>3428</v>
          </cell>
          <cell r="O13">
            <v>16086</v>
          </cell>
          <cell r="P13">
            <v>0</v>
          </cell>
          <cell r="Q13">
            <v>0</v>
          </cell>
          <cell r="R13">
            <v>0</v>
          </cell>
          <cell r="S13">
            <v>16086</v>
          </cell>
          <cell r="T13">
            <v>0</v>
          </cell>
          <cell r="U13">
            <v>0</v>
          </cell>
          <cell r="V13">
            <v>0</v>
          </cell>
          <cell r="W13">
            <v>16086</v>
          </cell>
          <cell r="Y13" t="str">
            <v>- Rec.cor.monet. -  3542.002/004/025</v>
          </cell>
          <cell r="Z13">
            <v>0</v>
          </cell>
          <cell r="AA13">
            <v>0</v>
          </cell>
          <cell r="AB13">
            <v>0</v>
          </cell>
          <cell r="AC13">
            <v>0</v>
          </cell>
          <cell r="AD13">
            <v>683</v>
          </cell>
          <cell r="AE13">
            <v>0</v>
          </cell>
          <cell r="AF13">
            <v>0</v>
          </cell>
          <cell r="AG13">
            <v>0</v>
          </cell>
          <cell r="AH13">
            <v>0</v>
          </cell>
          <cell r="AI13">
            <v>0</v>
          </cell>
          <cell r="AJ13">
            <v>0</v>
          </cell>
          <cell r="AK13">
            <v>0</v>
          </cell>
          <cell r="AL13">
            <v>0</v>
          </cell>
          <cell r="AM13">
            <v>0</v>
          </cell>
          <cell r="AN13">
            <v>0</v>
          </cell>
          <cell r="AO13">
            <v>0</v>
          </cell>
          <cell r="AR13">
            <v>0</v>
          </cell>
          <cell r="AS13" t="str">
            <v>- país</v>
          </cell>
          <cell r="AT13">
            <v>0.32326091980587013</v>
          </cell>
          <cell r="AU13" t="str">
            <v>=</v>
          </cell>
          <cell r="AV13">
            <v>4143.2352091518378</v>
          </cell>
          <cell r="AW13">
            <v>0</v>
          </cell>
          <cell r="AX13">
            <v>35278</v>
          </cell>
          <cell r="AY13">
            <v>1</v>
          </cell>
          <cell r="AZ13">
            <v>0</v>
          </cell>
          <cell r="BA13">
            <v>0</v>
          </cell>
          <cell r="BB13">
            <v>0</v>
          </cell>
          <cell r="BC13">
            <v>0</v>
          </cell>
          <cell r="BD13">
            <v>16345</v>
          </cell>
          <cell r="BE13">
            <v>0</v>
          </cell>
          <cell r="BF13">
            <v>0</v>
          </cell>
          <cell r="BG13">
            <v>0</v>
          </cell>
          <cell r="BH13">
            <v>5617</v>
          </cell>
          <cell r="BI13">
            <v>0</v>
          </cell>
          <cell r="BJ13">
            <v>0</v>
          </cell>
          <cell r="BK13">
            <v>14222</v>
          </cell>
          <cell r="BL13">
            <v>11691</v>
          </cell>
          <cell r="BM13">
            <v>0</v>
          </cell>
          <cell r="BO13">
            <v>0</v>
          </cell>
          <cell r="BP13">
            <v>0</v>
          </cell>
          <cell r="BQ13">
            <v>16434</v>
          </cell>
          <cell r="BR13">
            <v>0</v>
          </cell>
          <cell r="BS13">
            <v>0</v>
          </cell>
          <cell r="BT13">
            <v>0</v>
          </cell>
          <cell r="BU13">
            <v>5670</v>
          </cell>
          <cell r="BV13">
            <v>0</v>
          </cell>
          <cell r="BW13">
            <v>0</v>
          </cell>
          <cell r="BX13">
            <v>0</v>
          </cell>
          <cell r="BY13">
            <v>0</v>
          </cell>
          <cell r="BZ13">
            <v>14307</v>
          </cell>
          <cell r="CA13">
            <v>11762</v>
          </cell>
          <cell r="CB13">
            <v>0</v>
          </cell>
          <cell r="CC13">
            <v>0</v>
          </cell>
          <cell r="CD13">
            <v>13050</v>
          </cell>
          <cell r="CE13">
            <v>0</v>
          </cell>
          <cell r="CF13">
            <v>0</v>
          </cell>
          <cell r="CG13">
            <v>0</v>
          </cell>
          <cell r="CH13">
            <v>19682</v>
          </cell>
          <cell r="CI13">
            <v>0</v>
          </cell>
          <cell r="CL13">
            <v>0</v>
          </cell>
          <cell r="CM13">
            <v>0</v>
          </cell>
          <cell r="CN13">
            <v>0</v>
          </cell>
          <cell r="CO13">
            <v>16345</v>
          </cell>
          <cell r="CP13">
            <v>0</v>
          </cell>
          <cell r="CQ13">
            <v>0</v>
          </cell>
          <cell r="CR13">
            <v>0</v>
          </cell>
          <cell r="CS13">
            <v>5617</v>
          </cell>
          <cell r="CT13">
            <v>0</v>
          </cell>
          <cell r="CU13">
            <v>0</v>
          </cell>
          <cell r="CV13">
            <v>14222</v>
          </cell>
          <cell r="CW13">
            <v>11691</v>
          </cell>
          <cell r="CX13">
            <v>0</v>
          </cell>
          <cell r="CZ13">
            <v>0</v>
          </cell>
          <cell r="DA13">
            <v>0</v>
          </cell>
          <cell r="DB13">
            <v>16434</v>
          </cell>
          <cell r="DC13">
            <v>0</v>
          </cell>
          <cell r="DD13">
            <v>0</v>
          </cell>
          <cell r="DE13">
            <v>0</v>
          </cell>
          <cell r="DF13">
            <v>5670</v>
          </cell>
          <cell r="DG13">
            <v>0</v>
          </cell>
          <cell r="DH13">
            <v>0</v>
          </cell>
          <cell r="DI13">
            <v>0</v>
          </cell>
          <cell r="DJ13">
            <v>0</v>
          </cell>
          <cell r="DK13">
            <v>14307</v>
          </cell>
          <cell r="DL13">
            <v>11762</v>
          </cell>
          <cell r="DM13">
            <v>0</v>
          </cell>
          <cell r="DN13">
            <v>0</v>
          </cell>
          <cell r="DO13">
            <v>12817</v>
          </cell>
          <cell r="DP13">
            <v>0</v>
          </cell>
          <cell r="DQ13">
            <v>0</v>
          </cell>
          <cell r="DR13">
            <v>0</v>
          </cell>
          <cell r="DS13">
            <v>19563</v>
          </cell>
        </row>
        <row r="14">
          <cell r="G14" t="str">
            <v>- Total</v>
          </cell>
          <cell r="H14">
            <v>5624</v>
          </cell>
          <cell r="I14">
            <v>5209</v>
          </cell>
          <cell r="J14">
            <v>5253</v>
          </cell>
          <cell r="K14">
            <v>16086</v>
          </cell>
          <cell r="L14">
            <v>0</v>
          </cell>
          <cell r="M14">
            <v>0</v>
          </cell>
          <cell r="N14">
            <v>0</v>
          </cell>
          <cell r="O14">
            <v>16086</v>
          </cell>
          <cell r="P14">
            <v>0</v>
          </cell>
          <cell r="Q14">
            <v>0</v>
          </cell>
          <cell r="R14">
            <v>0</v>
          </cell>
          <cell r="S14">
            <v>16086</v>
          </cell>
          <cell r="T14">
            <v>0</v>
          </cell>
          <cell r="U14">
            <v>0</v>
          </cell>
          <cell r="V14">
            <v>0</v>
          </cell>
          <cell r="W14">
            <v>16086</v>
          </cell>
          <cell r="Y14" t="str">
            <v>- Total</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R14">
            <v>0</v>
          </cell>
          <cell r="AS14" t="str">
            <v>- exterior</v>
          </cell>
          <cell r="AT14">
            <v>0.67673908019412987</v>
          </cell>
          <cell r="AU14" t="str">
            <v>=</v>
          </cell>
          <cell r="AV14">
            <v>8673.7647908481631</v>
          </cell>
          <cell r="AW14">
            <v>0</v>
          </cell>
          <cell r="AX14">
            <v>35309</v>
          </cell>
          <cell r="AY14">
            <v>1</v>
          </cell>
        </row>
        <row r="15">
          <cell r="G15" t="str">
            <v>PETROFERTIL</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Y15" t="str">
            <v>PETROFERTIL</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R15">
            <v>0</v>
          </cell>
          <cell r="AS15">
            <v>0</v>
          </cell>
          <cell r="AT15">
            <v>0</v>
          </cell>
          <cell r="AU15">
            <v>0</v>
          </cell>
          <cell r="AV15">
            <v>0</v>
          </cell>
          <cell r="AW15">
            <v>0</v>
          </cell>
          <cell r="AX15">
            <v>35339</v>
          </cell>
          <cell r="AY15">
            <v>1</v>
          </cell>
        </row>
        <row r="16">
          <cell r="G16" t="str">
            <v>- Despesa financeira - 3540.002/005</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Y16" t="str">
            <v>- Receita financeira - 3540.012/014</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R16">
            <v>0</v>
          </cell>
          <cell r="AS16">
            <v>0</v>
          </cell>
          <cell r="AT16">
            <v>0</v>
          </cell>
          <cell r="AU16">
            <v>0</v>
          </cell>
          <cell r="AV16">
            <v>0</v>
          </cell>
          <cell r="AW16">
            <v>0</v>
          </cell>
          <cell r="AX16">
            <v>35370</v>
          </cell>
          <cell r="AY16">
            <v>1</v>
          </cell>
          <cell r="AZ16">
            <v>0</v>
          </cell>
          <cell r="BA16">
            <v>0</v>
          </cell>
          <cell r="BB16" t="str">
            <v>DESPESAS/RECEITAS FINANCEIRAS DAS SUBSIDIÁRIAS  C/ AS PETROBRÁS</v>
          </cell>
          <cell r="BC16">
            <v>0</v>
          </cell>
          <cell r="BD16">
            <v>0</v>
          </cell>
          <cell r="BE16">
            <v>0</v>
          </cell>
          <cell r="BF16">
            <v>0</v>
          </cell>
          <cell r="BG16">
            <v>0</v>
          </cell>
          <cell r="BH16">
            <v>0</v>
          </cell>
          <cell r="BI16">
            <v>0</v>
          </cell>
          <cell r="BJ16">
            <v>0</v>
          </cell>
          <cell r="BK16">
            <v>0</v>
          </cell>
          <cell r="BL16">
            <v>0</v>
          </cell>
          <cell r="BM16">
            <v>0</v>
          </cell>
          <cell r="BO16">
            <v>0</v>
          </cell>
          <cell r="BP16">
            <v>0</v>
          </cell>
          <cell r="BQ16">
            <v>0</v>
          </cell>
          <cell r="BR16" t="str">
            <v>DESPESAS/RECEITAS FINANCEIRAS DAS SUBSIDIÁRIAS  C/ AS PETROBRÁS</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L16">
            <v>0</v>
          </cell>
          <cell r="CM16" t="str">
            <v>DESPESAS/RECEITAS FINANCEIRAS DAS SUBSIDIÁRIAS  C/ AS PETROBRÁS</v>
          </cell>
          <cell r="CN16">
            <v>0</v>
          </cell>
          <cell r="CO16">
            <v>0</v>
          </cell>
          <cell r="CP16">
            <v>0</v>
          </cell>
          <cell r="CQ16">
            <v>0</v>
          </cell>
          <cell r="CR16">
            <v>0</v>
          </cell>
          <cell r="CS16">
            <v>0</v>
          </cell>
          <cell r="CT16">
            <v>0</v>
          </cell>
          <cell r="CU16">
            <v>0</v>
          </cell>
          <cell r="CV16">
            <v>0</v>
          </cell>
          <cell r="CW16">
            <v>0</v>
          </cell>
          <cell r="CX16">
            <v>0</v>
          </cell>
          <cell r="CZ16">
            <v>0</v>
          </cell>
          <cell r="DA16">
            <v>0</v>
          </cell>
          <cell r="DB16">
            <v>0</v>
          </cell>
          <cell r="DC16" t="str">
            <v>DESPESAS/RECEITAS FINANCEIRAS DAS SUBSIDIÁRIAS  C/ AS PETROBRÁS</v>
          </cell>
        </row>
        <row r="17">
          <cell r="G17" t="str">
            <v>- Desp.variação cambial - 3541.012</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Y17" t="str">
            <v>- Rec.var.cambial - 3542.012/015/022</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R17">
            <v>0</v>
          </cell>
          <cell r="AS17">
            <v>0</v>
          </cell>
          <cell r="AT17">
            <v>0</v>
          </cell>
          <cell r="AU17">
            <v>0</v>
          </cell>
          <cell r="AV17">
            <v>0</v>
          </cell>
          <cell r="AW17">
            <v>0</v>
          </cell>
          <cell r="AX17">
            <v>35400</v>
          </cell>
          <cell r="AY17">
            <v>1</v>
          </cell>
          <cell r="AZ17">
            <v>0</v>
          </cell>
          <cell r="BA17">
            <v>0</v>
          </cell>
          <cell r="BB17">
            <v>0</v>
          </cell>
          <cell r="BC17">
            <v>0</v>
          </cell>
          <cell r="BD17" t="str">
            <v>(saldos da contabilidade da PETROBRAS)</v>
          </cell>
          <cell r="BE17">
            <v>0</v>
          </cell>
          <cell r="BF17">
            <v>0</v>
          </cell>
          <cell r="BG17">
            <v>0</v>
          </cell>
          <cell r="BH17">
            <v>0</v>
          </cell>
          <cell r="BI17">
            <v>0</v>
          </cell>
          <cell r="BJ17">
            <v>0</v>
          </cell>
          <cell r="BK17">
            <v>0</v>
          </cell>
          <cell r="BL17">
            <v>0</v>
          </cell>
          <cell r="BM17">
            <v>0</v>
          </cell>
          <cell r="BO17">
            <v>0</v>
          </cell>
          <cell r="BP17">
            <v>0</v>
          </cell>
          <cell r="BQ17">
            <v>0</v>
          </cell>
          <cell r="BR17">
            <v>0</v>
          </cell>
          <cell r="BS17">
            <v>0</v>
          </cell>
          <cell r="BT17" t="str">
            <v>(saldos da contabilidade da PETROBRAS)</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L17">
            <v>0</v>
          </cell>
          <cell r="CM17">
            <v>0</v>
          </cell>
          <cell r="CN17">
            <v>0</v>
          </cell>
          <cell r="CO17" t="str">
            <v>(saldos da contabilidade das SUBSIDIÁRIAS)</v>
          </cell>
          <cell r="CP17">
            <v>0</v>
          </cell>
          <cell r="CQ17">
            <v>0</v>
          </cell>
          <cell r="CR17">
            <v>0</v>
          </cell>
          <cell r="CS17">
            <v>0</v>
          </cell>
          <cell r="CT17">
            <v>0</v>
          </cell>
          <cell r="CU17">
            <v>0</v>
          </cell>
          <cell r="CV17">
            <v>0</v>
          </cell>
          <cell r="CW17">
            <v>0</v>
          </cell>
          <cell r="CX17">
            <v>0</v>
          </cell>
          <cell r="CZ17">
            <v>0</v>
          </cell>
          <cell r="DA17">
            <v>0</v>
          </cell>
          <cell r="DB17">
            <v>0</v>
          </cell>
          <cell r="DC17">
            <v>0</v>
          </cell>
          <cell r="DD17">
            <v>0</v>
          </cell>
          <cell r="DE17" t="str">
            <v>(saldos da contabilidade das SUBSIDIÁRIAS)</v>
          </cell>
        </row>
        <row r="18">
          <cell r="G18" t="str">
            <v>- Desp.cor.monet. - 3541.002/022</v>
          </cell>
          <cell r="H18">
            <v>0</v>
          </cell>
          <cell r="I18">
            <v>7</v>
          </cell>
          <cell r="J18">
            <v>17</v>
          </cell>
          <cell r="K18">
            <v>24</v>
          </cell>
          <cell r="L18">
            <v>6</v>
          </cell>
          <cell r="M18">
            <v>5</v>
          </cell>
          <cell r="N18">
            <v>0</v>
          </cell>
          <cell r="O18">
            <v>24</v>
          </cell>
          <cell r="P18">
            <v>0</v>
          </cell>
          <cell r="Q18">
            <v>0</v>
          </cell>
          <cell r="R18">
            <v>0</v>
          </cell>
          <cell r="S18">
            <v>24</v>
          </cell>
          <cell r="T18">
            <v>0</v>
          </cell>
          <cell r="U18">
            <v>0</v>
          </cell>
          <cell r="V18">
            <v>0</v>
          </cell>
          <cell r="W18">
            <v>24</v>
          </cell>
          <cell r="Y18" t="str">
            <v>- Rec.cor.monet. -  3542.002/004/025</v>
          </cell>
          <cell r="Z18">
            <v>2337</v>
          </cell>
          <cell r="AA18">
            <v>-2320</v>
          </cell>
          <cell r="AB18">
            <v>12</v>
          </cell>
          <cell r="AC18">
            <v>29</v>
          </cell>
          <cell r="AD18">
            <v>12</v>
          </cell>
          <cell r="AE18">
            <v>12</v>
          </cell>
          <cell r="AF18">
            <v>122</v>
          </cell>
          <cell r="AG18">
            <v>29</v>
          </cell>
          <cell r="AH18">
            <v>0</v>
          </cell>
          <cell r="AI18">
            <v>0</v>
          </cell>
          <cell r="AJ18">
            <v>0</v>
          </cell>
          <cell r="AK18">
            <v>29</v>
          </cell>
          <cell r="AL18">
            <v>0</v>
          </cell>
          <cell r="AM18">
            <v>0</v>
          </cell>
          <cell r="AN18">
            <v>0</v>
          </cell>
          <cell r="AO18">
            <v>29</v>
          </cell>
          <cell r="AW18">
            <v>0</v>
          </cell>
          <cell r="AX18">
            <v>0</v>
          </cell>
          <cell r="AY18">
            <v>0</v>
          </cell>
          <cell r="AZ18">
            <v>0</v>
          </cell>
          <cell r="BA18">
            <v>0</v>
          </cell>
          <cell r="BB18">
            <v>0</v>
          </cell>
          <cell r="BC18">
            <v>0</v>
          </cell>
          <cell r="BD18" t="str">
            <v>PETROQUISA</v>
          </cell>
          <cell r="BE18">
            <v>0</v>
          </cell>
          <cell r="BF18">
            <v>0</v>
          </cell>
          <cell r="BG18">
            <v>0</v>
          </cell>
          <cell r="BH18">
            <v>0</v>
          </cell>
          <cell r="BI18">
            <v>0</v>
          </cell>
          <cell r="BJ18">
            <v>0</v>
          </cell>
          <cell r="BK18">
            <v>0</v>
          </cell>
          <cell r="BL18">
            <v>0</v>
          </cell>
          <cell r="BM18">
            <v>0</v>
          </cell>
          <cell r="BO18">
            <v>0</v>
          </cell>
          <cell r="BP18">
            <v>0</v>
          </cell>
          <cell r="BQ18">
            <v>0</v>
          </cell>
          <cell r="BR18">
            <v>0</v>
          </cell>
          <cell r="BS18">
            <v>0</v>
          </cell>
          <cell r="BT18" t="str">
            <v>PETROQUISA</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L18">
            <v>0</v>
          </cell>
          <cell r="CM18">
            <v>0</v>
          </cell>
          <cell r="CN18">
            <v>0</v>
          </cell>
          <cell r="CO18" t="str">
            <v>PETROQUISA</v>
          </cell>
          <cell r="CP18">
            <v>0</v>
          </cell>
          <cell r="CQ18">
            <v>0</v>
          </cell>
          <cell r="CR18">
            <v>0</v>
          </cell>
          <cell r="CS18">
            <v>0</v>
          </cell>
          <cell r="CT18">
            <v>0</v>
          </cell>
          <cell r="CU18">
            <v>0</v>
          </cell>
          <cell r="CV18">
            <v>0</v>
          </cell>
          <cell r="CW18">
            <v>0</v>
          </cell>
          <cell r="CX18">
            <v>0</v>
          </cell>
          <cell r="CZ18">
            <v>0</v>
          </cell>
          <cell r="DA18">
            <v>0</v>
          </cell>
          <cell r="DB18">
            <v>0</v>
          </cell>
          <cell r="DC18">
            <v>0</v>
          </cell>
          <cell r="DD18">
            <v>0</v>
          </cell>
          <cell r="DE18" t="str">
            <v>PETROQUISA</v>
          </cell>
        </row>
        <row r="19">
          <cell r="G19" t="str">
            <v>- Total</v>
          </cell>
          <cell r="H19">
            <v>0</v>
          </cell>
          <cell r="I19">
            <v>7</v>
          </cell>
          <cell r="J19">
            <v>17</v>
          </cell>
          <cell r="K19">
            <v>24</v>
          </cell>
          <cell r="L19">
            <v>0</v>
          </cell>
          <cell r="M19">
            <v>0</v>
          </cell>
          <cell r="N19">
            <v>0</v>
          </cell>
          <cell r="O19">
            <v>24</v>
          </cell>
          <cell r="P19">
            <v>0</v>
          </cell>
          <cell r="Q19">
            <v>0</v>
          </cell>
          <cell r="R19">
            <v>0</v>
          </cell>
          <cell r="S19">
            <v>24</v>
          </cell>
          <cell r="T19">
            <v>0</v>
          </cell>
          <cell r="U19">
            <v>0</v>
          </cell>
          <cell r="V19">
            <v>0</v>
          </cell>
          <cell r="W19">
            <v>24</v>
          </cell>
          <cell r="Y19" t="str">
            <v>- Total</v>
          </cell>
          <cell r="Z19">
            <v>2337</v>
          </cell>
          <cell r="AA19">
            <v>-2320</v>
          </cell>
          <cell r="AB19">
            <v>12</v>
          </cell>
          <cell r="AC19">
            <v>29</v>
          </cell>
          <cell r="AD19">
            <v>0</v>
          </cell>
          <cell r="AE19">
            <v>0</v>
          </cell>
          <cell r="AF19">
            <v>0</v>
          </cell>
          <cell r="AG19">
            <v>29</v>
          </cell>
          <cell r="AH19">
            <v>0</v>
          </cell>
          <cell r="AI19">
            <v>0</v>
          </cell>
          <cell r="AJ19">
            <v>0</v>
          </cell>
          <cell r="AK19">
            <v>29</v>
          </cell>
          <cell r="AL19">
            <v>0</v>
          </cell>
          <cell r="AM19">
            <v>0</v>
          </cell>
          <cell r="AN19">
            <v>0</v>
          </cell>
          <cell r="AO19">
            <v>29</v>
          </cell>
          <cell r="AW19">
            <v>0</v>
          </cell>
          <cell r="AX19" t="str">
            <v>UFIR P/CORREÇÃO</v>
          </cell>
          <cell r="AY19">
            <v>0</v>
          </cell>
          <cell r="AZ19">
            <v>0</v>
          </cell>
          <cell r="BA19">
            <v>0</v>
          </cell>
          <cell r="BB19">
            <v>0</v>
          </cell>
          <cell r="BC19">
            <v>0</v>
          </cell>
          <cell r="BD19" t="str">
            <v>DESPESA</v>
          </cell>
          <cell r="BE19">
            <v>0</v>
          </cell>
          <cell r="BF19">
            <v>0</v>
          </cell>
          <cell r="BG19" t="str">
            <v>RECEITA</v>
          </cell>
          <cell r="BH19">
            <v>0</v>
          </cell>
          <cell r="BI19">
            <v>0</v>
          </cell>
          <cell r="BJ19">
            <v>0</v>
          </cell>
          <cell r="BK19">
            <v>0</v>
          </cell>
          <cell r="BL19">
            <v>0</v>
          </cell>
          <cell r="BM19">
            <v>0</v>
          </cell>
          <cell r="BO19">
            <v>0</v>
          </cell>
          <cell r="BP19">
            <v>0</v>
          </cell>
          <cell r="BQ19">
            <v>0</v>
          </cell>
          <cell r="BR19">
            <v>0</v>
          </cell>
          <cell r="BS19">
            <v>0</v>
          </cell>
          <cell r="BT19" t="str">
            <v>DESPESA</v>
          </cell>
          <cell r="BU19">
            <v>0</v>
          </cell>
          <cell r="BV19">
            <v>0</v>
          </cell>
          <cell r="BW19" t="str">
            <v>RECEITA</v>
          </cell>
          <cell r="BX19">
            <v>0</v>
          </cell>
          <cell r="BY19">
            <v>0</v>
          </cell>
          <cell r="BZ19">
            <v>0</v>
          </cell>
          <cell r="CA19">
            <v>0</v>
          </cell>
          <cell r="CB19">
            <v>0</v>
          </cell>
          <cell r="CC19">
            <v>0</v>
          </cell>
          <cell r="CD19">
            <v>0</v>
          </cell>
          <cell r="CE19">
            <v>0</v>
          </cell>
          <cell r="CF19">
            <v>0</v>
          </cell>
          <cell r="CG19">
            <v>0</v>
          </cell>
          <cell r="CH19">
            <v>0</v>
          </cell>
          <cell r="CI19">
            <v>0</v>
          </cell>
          <cell r="CL19">
            <v>0</v>
          </cell>
          <cell r="CM19">
            <v>0</v>
          </cell>
          <cell r="CN19">
            <v>0</v>
          </cell>
          <cell r="CO19" t="str">
            <v>DESPESA</v>
          </cell>
          <cell r="CP19">
            <v>0</v>
          </cell>
          <cell r="CQ19">
            <v>0</v>
          </cell>
          <cell r="CR19" t="str">
            <v>RECEITA</v>
          </cell>
          <cell r="CS19">
            <v>0</v>
          </cell>
          <cell r="CT19">
            <v>0</v>
          </cell>
          <cell r="CU19">
            <v>0</v>
          </cell>
          <cell r="CV19">
            <v>0</v>
          </cell>
          <cell r="CW19">
            <v>0</v>
          </cell>
          <cell r="CX19">
            <v>0</v>
          </cell>
          <cell r="CZ19">
            <v>0</v>
          </cell>
          <cell r="DA19">
            <v>0</v>
          </cell>
          <cell r="DB19">
            <v>0</v>
          </cell>
          <cell r="DC19">
            <v>0</v>
          </cell>
          <cell r="DD19">
            <v>0</v>
          </cell>
          <cell r="DE19" t="str">
            <v>DESPESA</v>
          </cell>
          <cell r="DF19">
            <v>0</v>
          </cell>
          <cell r="DG19">
            <v>0</v>
          </cell>
          <cell r="DH19" t="str">
            <v>RECEITA</v>
          </cell>
        </row>
        <row r="20">
          <cell r="B20" t="str">
            <v>VI - RECEITAS E DESPESAS FINANCEIRAS INTERCOMPANHIAS - ELIMINAÇÕES</v>
          </cell>
          <cell r="C20">
            <v>0</v>
          </cell>
          <cell r="D20">
            <v>0</v>
          </cell>
          <cell r="F20">
            <v>0</v>
          </cell>
          <cell r="G20" t="str">
            <v>BRASPETRO</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Y20" t="str">
            <v>BRASPETRO</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W20">
            <v>0</v>
          </cell>
          <cell r="AX20">
            <v>0</v>
          </cell>
          <cell r="AY20">
            <v>0</v>
          </cell>
          <cell r="AZ20">
            <v>0</v>
          </cell>
          <cell r="BA20">
            <v>0</v>
          </cell>
          <cell r="BB20">
            <v>0</v>
          </cell>
          <cell r="BC20">
            <v>0</v>
          </cell>
          <cell r="BD20">
            <v>0</v>
          </cell>
          <cell r="BE20">
            <v>0</v>
          </cell>
          <cell r="BF20">
            <v>0</v>
          </cell>
          <cell r="BG20">
            <v>0</v>
          </cell>
          <cell r="BH20">
            <v>16086</v>
          </cell>
          <cell r="BI20">
            <v>0</v>
          </cell>
          <cell r="BJ20">
            <v>0</v>
          </cell>
          <cell r="BK20">
            <v>0</v>
          </cell>
          <cell r="BL20">
            <v>0</v>
          </cell>
          <cell r="BM20">
            <v>0</v>
          </cell>
          <cell r="BO20">
            <v>0</v>
          </cell>
          <cell r="BP20">
            <v>0</v>
          </cell>
          <cell r="BQ20">
            <v>0</v>
          </cell>
          <cell r="BR20">
            <v>0</v>
          </cell>
          <cell r="BS20">
            <v>0</v>
          </cell>
          <cell r="BT20">
            <v>0</v>
          </cell>
          <cell r="BU20">
            <v>0</v>
          </cell>
          <cell r="BV20">
            <v>0</v>
          </cell>
          <cell r="BW20">
            <v>0</v>
          </cell>
          <cell r="BX20">
            <v>16174</v>
          </cell>
          <cell r="BY20">
            <v>0</v>
          </cell>
          <cell r="BZ20">
            <v>0</v>
          </cell>
          <cell r="CA20">
            <v>0</v>
          </cell>
          <cell r="CB20">
            <v>0</v>
          </cell>
          <cell r="CC20">
            <v>0</v>
          </cell>
          <cell r="CD20">
            <v>0</v>
          </cell>
          <cell r="CE20">
            <v>0</v>
          </cell>
          <cell r="CF20">
            <v>0</v>
          </cell>
          <cell r="CG20">
            <v>0</v>
          </cell>
          <cell r="CH20">
            <v>0</v>
          </cell>
          <cell r="CI20">
            <v>0</v>
          </cell>
          <cell r="CL20">
            <v>0</v>
          </cell>
          <cell r="CM20">
            <v>0</v>
          </cell>
          <cell r="CN20">
            <v>0</v>
          </cell>
          <cell r="CO20">
            <v>0</v>
          </cell>
          <cell r="CP20">
            <v>0</v>
          </cell>
          <cell r="CQ20">
            <v>0</v>
          </cell>
          <cell r="CR20">
            <v>0</v>
          </cell>
          <cell r="CS20">
            <v>16086</v>
          </cell>
        </row>
        <row r="21">
          <cell r="B21" t="str">
            <v>CORREÇÃO INTEGRAL</v>
          </cell>
          <cell r="C21">
            <v>0</v>
          </cell>
          <cell r="D21">
            <v>0</v>
          </cell>
          <cell r="F21">
            <v>0</v>
          </cell>
          <cell r="G21" t="str">
            <v>- Despesa financeira - 3540.002/005</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Y21" t="str">
            <v>- Receita financeira - 3540.012/014</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W21">
            <v>0</v>
          </cell>
          <cell r="AX21" t="str">
            <v>mar/96 (1sem/96)</v>
          </cell>
          <cell r="AY21">
            <v>0.8548</v>
          </cell>
        </row>
        <row r="22">
          <cell r="G22" t="str">
            <v>- Desp.variação cambial - 3541.012</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Y22" t="str">
            <v>- Rec.var.cambial - 3542.012/015/022</v>
          </cell>
          <cell r="Z22">
            <v>0</v>
          </cell>
          <cell r="AA22">
            <v>1</v>
          </cell>
          <cell r="AB22">
            <v>147</v>
          </cell>
          <cell r="AC22">
            <v>148</v>
          </cell>
          <cell r="AD22">
            <v>0</v>
          </cell>
          <cell r="AE22">
            <v>2</v>
          </cell>
          <cell r="AF22">
            <v>1</v>
          </cell>
          <cell r="AG22">
            <v>148</v>
          </cell>
          <cell r="AH22">
            <v>0</v>
          </cell>
          <cell r="AI22">
            <v>0</v>
          </cell>
          <cell r="AJ22">
            <v>0</v>
          </cell>
          <cell r="AK22">
            <v>148</v>
          </cell>
          <cell r="AL22">
            <v>0</v>
          </cell>
          <cell r="AM22">
            <v>0</v>
          </cell>
          <cell r="AN22">
            <v>0</v>
          </cell>
          <cell r="AO22">
            <v>148</v>
          </cell>
        </row>
        <row r="23">
          <cell r="G23" t="str">
            <v>- Desp.cor.monet. - 3541.002/022</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Y23" t="str">
            <v>- Rec.cor.monet. -  3542.002/004/025</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W23">
            <v>0</v>
          </cell>
          <cell r="AX23">
            <v>0</v>
          </cell>
          <cell r="AY23">
            <v>0</v>
          </cell>
          <cell r="AZ23">
            <v>0</v>
          </cell>
          <cell r="BA23">
            <v>0</v>
          </cell>
          <cell r="BB23">
            <v>0</v>
          </cell>
          <cell r="BC23">
            <v>0</v>
          </cell>
          <cell r="BD23" t="str">
            <v>PETROFÉRTIL</v>
          </cell>
          <cell r="BE23">
            <v>0</v>
          </cell>
          <cell r="BF23">
            <v>0</v>
          </cell>
          <cell r="BG23">
            <v>0</v>
          </cell>
          <cell r="BH23">
            <v>0</v>
          </cell>
          <cell r="BI23">
            <v>0</v>
          </cell>
          <cell r="BJ23">
            <v>0</v>
          </cell>
          <cell r="BK23">
            <v>0</v>
          </cell>
          <cell r="BL23">
            <v>0</v>
          </cell>
          <cell r="BM23">
            <v>0</v>
          </cell>
          <cell r="BO23">
            <v>0</v>
          </cell>
          <cell r="BP23">
            <v>0</v>
          </cell>
          <cell r="BQ23">
            <v>0</v>
          </cell>
          <cell r="BR23">
            <v>0</v>
          </cell>
          <cell r="BS23">
            <v>0</v>
          </cell>
          <cell r="BT23" t="str">
            <v>PETROFÉRTIL</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L23">
            <v>0</v>
          </cell>
          <cell r="CM23">
            <v>0</v>
          </cell>
          <cell r="CN23">
            <v>0</v>
          </cell>
          <cell r="CO23" t="str">
            <v>PETROFÉRTIL</v>
          </cell>
          <cell r="CP23">
            <v>0</v>
          </cell>
          <cell r="CQ23">
            <v>0</v>
          </cell>
          <cell r="CR23">
            <v>0</v>
          </cell>
          <cell r="CS23">
            <v>0</v>
          </cell>
          <cell r="CT23">
            <v>0</v>
          </cell>
          <cell r="CU23">
            <v>0</v>
          </cell>
          <cell r="CV23">
            <v>0</v>
          </cell>
          <cell r="CW23">
            <v>0</v>
          </cell>
          <cell r="CX23">
            <v>0</v>
          </cell>
          <cell r="CZ23">
            <v>0</v>
          </cell>
          <cell r="DA23">
            <v>0</v>
          </cell>
          <cell r="DB23">
            <v>0</v>
          </cell>
          <cell r="DC23">
            <v>0</v>
          </cell>
          <cell r="DD23">
            <v>0</v>
          </cell>
          <cell r="DE23" t="str">
            <v>PETROFERTIL</v>
          </cell>
        </row>
        <row r="24">
          <cell r="B24" t="str">
            <v>D - RECEITA FINANCEIRA</v>
          </cell>
          <cell r="C24">
            <v>10236.135832760821</v>
          </cell>
          <cell r="D24">
            <v>0</v>
          </cell>
          <cell r="F24">
            <v>0</v>
          </cell>
          <cell r="G24" t="str">
            <v>- Total</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Y24" t="str">
            <v>- Total</v>
          </cell>
          <cell r="Z24">
            <v>0</v>
          </cell>
          <cell r="AA24">
            <v>1</v>
          </cell>
          <cell r="AB24">
            <v>147</v>
          </cell>
          <cell r="AC24">
            <v>148</v>
          </cell>
          <cell r="AD24">
            <v>0</v>
          </cell>
          <cell r="AE24">
            <v>0</v>
          </cell>
          <cell r="AF24">
            <v>0</v>
          </cell>
          <cell r="AG24">
            <v>148</v>
          </cell>
          <cell r="AH24">
            <v>0</v>
          </cell>
          <cell r="AI24">
            <v>0</v>
          </cell>
          <cell r="AJ24">
            <v>0</v>
          </cell>
          <cell r="AK24">
            <v>148</v>
          </cell>
          <cell r="AL24">
            <v>0</v>
          </cell>
          <cell r="AM24">
            <v>0</v>
          </cell>
          <cell r="AN24">
            <v>0</v>
          </cell>
          <cell r="AO24">
            <v>148</v>
          </cell>
          <cell r="AW24">
            <v>0</v>
          </cell>
          <cell r="AX24">
            <v>0</v>
          </cell>
          <cell r="AY24">
            <v>0</v>
          </cell>
          <cell r="AZ24">
            <v>0</v>
          </cell>
          <cell r="BA24">
            <v>0</v>
          </cell>
          <cell r="BB24">
            <v>0</v>
          </cell>
          <cell r="BC24">
            <v>0</v>
          </cell>
          <cell r="BD24" t="str">
            <v>DESPESA</v>
          </cell>
          <cell r="BE24">
            <v>0</v>
          </cell>
          <cell r="BF24">
            <v>0</v>
          </cell>
          <cell r="BG24" t="str">
            <v>RECEITA</v>
          </cell>
          <cell r="BH24">
            <v>0</v>
          </cell>
          <cell r="BI24">
            <v>0</v>
          </cell>
          <cell r="BJ24">
            <v>0</v>
          </cell>
          <cell r="BK24">
            <v>0</v>
          </cell>
          <cell r="BL24">
            <v>0</v>
          </cell>
          <cell r="BM24">
            <v>0</v>
          </cell>
          <cell r="BO24">
            <v>0</v>
          </cell>
          <cell r="BP24">
            <v>0</v>
          </cell>
          <cell r="BQ24">
            <v>0</v>
          </cell>
          <cell r="BR24">
            <v>0</v>
          </cell>
          <cell r="BS24">
            <v>0</v>
          </cell>
          <cell r="BT24" t="str">
            <v>DESPESA</v>
          </cell>
          <cell r="BU24">
            <v>0</v>
          </cell>
          <cell r="BV24">
            <v>0</v>
          </cell>
          <cell r="BW24" t="str">
            <v>RECEITA</v>
          </cell>
          <cell r="BX24">
            <v>0</v>
          </cell>
          <cell r="BY24">
            <v>0</v>
          </cell>
          <cell r="BZ24">
            <v>0</v>
          </cell>
          <cell r="CA24">
            <v>0</v>
          </cell>
          <cell r="CB24">
            <v>0</v>
          </cell>
          <cell r="CC24">
            <v>0</v>
          </cell>
          <cell r="CD24">
            <v>0</v>
          </cell>
          <cell r="CE24">
            <v>0</v>
          </cell>
          <cell r="CF24">
            <v>0</v>
          </cell>
          <cell r="CG24">
            <v>0</v>
          </cell>
          <cell r="CH24">
            <v>0</v>
          </cell>
          <cell r="CI24">
            <v>0</v>
          </cell>
          <cell r="CL24">
            <v>0</v>
          </cell>
          <cell r="CM24">
            <v>0</v>
          </cell>
          <cell r="CN24">
            <v>0</v>
          </cell>
          <cell r="CO24" t="str">
            <v>DESPESA</v>
          </cell>
          <cell r="CP24">
            <v>0</v>
          </cell>
          <cell r="CQ24">
            <v>0</v>
          </cell>
          <cell r="CR24" t="str">
            <v>RECEITA</v>
          </cell>
          <cell r="CS24">
            <v>0</v>
          </cell>
          <cell r="CT24">
            <v>0</v>
          </cell>
          <cell r="CU24">
            <v>0</v>
          </cell>
          <cell r="CV24">
            <v>0</v>
          </cell>
          <cell r="CW24">
            <v>0</v>
          </cell>
          <cell r="CX24">
            <v>0</v>
          </cell>
          <cell r="CZ24">
            <v>0</v>
          </cell>
          <cell r="DA24">
            <v>0</v>
          </cell>
          <cell r="DB24">
            <v>0</v>
          </cell>
          <cell r="DC24">
            <v>0</v>
          </cell>
          <cell r="DD24">
            <v>0</v>
          </cell>
          <cell r="DE24" t="str">
            <v>DESPESA</v>
          </cell>
          <cell r="DF24">
            <v>0</v>
          </cell>
          <cell r="DG24">
            <v>0</v>
          </cell>
          <cell r="DH24" t="str">
            <v>RECEITA</v>
          </cell>
          <cell r="DI24">
            <v>0</v>
          </cell>
          <cell r="DJ24">
            <v>0</v>
          </cell>
          <cell r="DK24" t="str">
            <v>PERDA S/ATIVO MONET.</v>
          </cell>
          <cell r="DL24">
            <v>0</v>
          </cell>
          <cell r="DM24">
            <v>0</v>
          </cell>
          <cell r="DN24" t="str">
            <v>GANHO S/ PASS.MONET.</v>
          </cell>
        </row>
        <row r="25">
          <cell r="C25" t="str">
            <v/>
          </cell>
          <cell r="G25" t="str">
            <v>BRASOIL</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Y25" t="str">
            <v>BRASOIL</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BA25">
            <v>0</v>
          </cell>
          <cell r="BB25">
            <v>0</v>
          </cell>
          <cell r="BC25">
            <v>0</v>
          </cell>
          <cell r="BD25">
            <v>29</v>
          </cell>
          <cell r="BE25">
            <v>0</v>
          </cell>
          <cell r="BF25">
            <v>0</v>
          </cell>
          <cell r="BG25">
            <v>0</v>
          </cell>
          <cell r="BH25">
            <v>24</v>
          </cell>
          <cell r="BI25">
            <v>0</v>
          </cell>
          <cell r="BJ25">
            <v>0</v>
          </cell>
          <cell r="BK25">
            <v>0</v>
          </cell>
          <cell r="BL25">
            <v>0</v>
          </cell>
          <cell r="BM25">
            <v>0</v>
          </cell>
          <cell r="BO25">
            <v>0</v>
          </cell>
          <cell r="BP25">
            <v>0</v>
          </cell>
          <cell r="BQ25">
            <v>0</v>
          </cell>
          <cell r="BR25">
            <v>0</v>
          </cell>
          <cell r="BS25">
            <v>0</v>
          </cell>
          <cell r="BT25">
            <v>46</v>
          </cell>
          <cell r="BU25">
            <v>0</v>
          </cell>
          <cell r="BV25">
            <v>0</v>
          </cell>
          <cell r="BW25">
            <v>0</v>
          </cell>
          <cell r="BX25">
            <v>24</v>
          </cell>
          <cell r="BY25">
            <v>0</v>
          </cell>
          <cell r="BZ25">
            <v>0</v>
          </cell>
          <cell r="CA25">
            <v>0</v>
          </cell>
          <cell r="CB25">
            <v>0</v>
          </cell>
          <cell r="CC25">
            <v>0</v>
          </cell>
          <cell r="CD25">
            <v>0</v>
          </cell>
          <cell r="CE25">
            <v>0</v>
          </cell>
          <cell r="CF25">
            <v>0</v>
          </cell>
          <cell r="CG25">
            <v>0</v>
          </cell>
          <cell r="CH25">
            <v>0</v>
          </cell>
          <cell r="CI25">
            <v>0</v>
          </cell>
          <cell r="CL25">
            <v>0</v>
          </cell>
          <cell r="CM25">
            <v>0</v>
          </cell>
          <cell r="CN25">
            <v>0</v>
          </cell>
          <cell r="CO25">
            <v>29</v>
          </cell>
          <cell r="CP25">
            <v>0</v>
          </cell>
          <cell r="CQ25">
            <v>0</v>
          </cell>
          <cell r="CR25">
            <v>0</v>
          </cell>
          <cell r="CS25">
            <v>25</v>
          </cell>
        </row>
        <row r="26">
          <cell r="B26" t="str">
            <v>C - DESPESA FINANCEIRA</v>
          </cell>
          <cell r="C26">
            <v>12352.764790848167</v>
          </cell>
          <cell r="D26">
            <v>0</v>
          </cell>
          <cell r="F26">
            <v>0</v>
          </cell>
          <cell r="G26" t="str">
            <v>- Despesa financeira - 3540.002/005</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Y26" t="str">
            <v>- Receita financeira - 3540.012/014</v>
          </cell>
          <cell r="Z26">
            <v>22</v>
          </cell>
          <cell r="AA26">
            <v>0</v>
          </cell>
          <cell r="AB26">
            <v>0</v>
          </cell>
          <cell r="AC26">
            <v>22</v>
          </cell>
          <cell r="AD26">
            <v>0</v>
          </cell>
          <cell r="AE26">
            <v>0</v>
          </cell>
          <cell r="AF26">
            <v>0</v>
          </cell>
          <cell r="AG26">
            <v>22</v>
          </cell>
          <cell r="AH26">
            <v>0</v>
          </cell>
          <cell r="AI26">
            <v>0</v>
          </cell>
          <cell r="AJ26">
            <v>0</v>
          </cell>
          <cell r="AK26">
            <v>22</v>
          </cell>
          <cell r="AL26">
            <v>0</v>
          </cell>
          <cell r="AM26">
            <v>0</v>
          </cell>
          <cell r="AN26">
            <v>0</v>
          </cell>
          <cell r="AO26">
            <v>22</v>
          </cell>
        </row>
        <row r="27">
          <cell r="G27" t="str">
            <v>- Desp.variação cambial - 3541.012</v>
          </cell>
          <cell r="H27">
            <v>4820</v>
          </cell>
          <cell r="I27">
            <v>4710</v>
          </cell>
          <cell r="J27">
            <v>3521</v>
          </cell>
          <cell r="K27">
            <v>13051</v>
          </cell>
          <cell r="L27">
            <v>4433</v>
          </cell>
          <cell r="M27">
            <v>5570</v>
          </cell>
          <cell r="N27">
            <v>6131</v>
          </cell>
          <cell r="O27">
            <v>13051</v>
          </cell>
          <cell r="P27">
            <v>0</v>
          </cell>
          <cell r="Q27">
            <v>0</v>
          </cell>
          <cell r="R27">
            <v>0</v>
          </cell>
          <cell r="S27">
            <v>13051</v>
          </cell>
          <cell r="T27">
            <v>0</v>
          </cell>
          <cell r="U27">
            <v>0</v>
          </cell>
          <cell r="V27">
            <v>0</v>
          </cell>
          <cell r="W27">
            <v>13051</v>
          </cell>
          <cell r="Y27" t="str">
            <v>- Rec.var.cambial - 3542.012/015/022</v>
          </cell>
          <cell r="Z27">
            <v>4537</v>
          </cell>
          <cell r="AA27">
            <v>4053</v>
          </cell>
          <cell r="AB27">
            <v>2974</v>
          </cell>
          <cell r="AC27">
            <v>11564</v>
          </cell>
          <cell r="AD27">
            <v>3742</v>
          </cell>
          <cell r="AE27">
            <v>4759</v>
          </cell>
          <cell r="AF27">
            <v>5476</v>
          </cell>
          <cell r="AG27">
            <v>11564</v>
          </cell>
          <cell r="AH27">
            <v>0</v>
          </cell>
          <cell r="AI27">
            <v>0</v>
          </cell>
          <cell r="AJ27">
            <v>0</v>
          </cell>
          <cell r="AK27">
            <v>11564</v>
          </cell>
          <cell r="AL27">
            <v>0</v>
          </cell>
          <cell r="AM27">
            <v>0</v>
          </cell>
          <cell r="AN27">
            <v>0</v>
          </cell>
          <cell r="AO27">
            <v>11564</v>
          </cell>
        </row>
        <row r="28">
          <cell r="B28" t="str">
            <v>C/D - GANHO/PERDA CAMBIAL</v>
          </cell>
          <cell r="C28">
            <v>-2116.6289580873454</v>
          </cell>
          <cell r="D28">
            <v>0</v>
          </cell>
          <cell r="F28">
            <v>0</v>
          </cell>
          <cell r="G28" t="str">
            <v>- Desp.cor.monet. - 3541.002/022</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Y28" t="str">
            <v>- Rec.cor.monet. -  3542.002/004/025</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BA28">
            <v>0</v>
          </cell>
          <cell r="BB28">
            <v>0</v>
          </cell>
          <cell r="BC28">
            <v>0</v>
          </cell>
          <cell r="BD28" t="str">
            <v>BRASPETRO</v>
          </cell>
          <cell r="BE28">
            <v>0</v>
          </cell>
          <cell r="BF28">
            <v>0</v>
          </cell>
          <cell r="BG28">
            <v>0</v>
          </cell>
          <cell r="BH28">
            <v>0</v>
          </cell>
          <cell r="BI28">
            <v>0</v>
          </cell>
          <cell r="BJ28">
            <v>0</v>
          </cell>
          <cell r="BK28">
            <v>0</v>
          </cell>
          <cell r="BL28">
            <v>0</v>
          </cell>
          <cell r="BM28">
            <v>0</v>
          </cell>
          <cell r="BO28">
            <v>0</v>
          </cell>
          <cell r="BP28">
            <v>0</v>
          </cell>
          <cell r="BQ28">
            <v>0</v>
          </cell>
          <cell r="BR28">
            <v>0</v>
          </cell>
          <cell r="BS28">
            <v>0</v>
          </cell>
          <cell r="BT28" t="str">
            <v>BRASPETRO</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L28">
            <v>0</v>
          </cell>
          <cell r="CM28">
            <v>0</v>
          </cell>
          <cell r="CN28">
            <v>0</v>
          </cell>
          <cell r="CO28" t="str">
            <v>BRASPETRO</v>
          </cell>
          <cell r="CP28">
            <v>0</v>
          </cell>
          <cell r="CQ28">
            <v>0</v>
          </cell>
          <cell r="CR28">
            <v>0</v>
          </cell>
          <cell r="CS28">
            <v>0</v>
          </cell>
          <cell r="CT28">
            <v>0</v>
          </cell>
          <cell r="CU28">
            <v>0</v>
          </cell>
          <cell r="CV28">
            <v>0</v>
          </cell>
          <cell r="CW28">
            <v>0</v>
          </cell>
          <cell r="CX28">
            <v>0</v>
          </cell>
          <cell r="CZ28">
            <v>0</v>
          </cell>
          <cell r="DA28">
            <v>0</v>
          </cell>
          <cell r="DB28">
            <v>0</v>
          </cell>
          <cell r="DC28">
            <v>0</v>
          </cell>
          <cell r="DD28">
            <v>0</v>
          </cell>
          <cell r="DE28" t="str">
            <v>BRASPETRO</v>
          </cell>
        </row>
        <row r="29">
          <cell r="G29" t="str">
            <v>- Total</v>
          </cell>
          <cell r="H29">
            <v>4820</v>
          </cell>
          <cell r="I29">
            <v>4710</v>
          </cell>
          <cell r="J29">
            <v>3521</v>
          </cell>
          <cell r="K29">
            <v>13051</v>
          </cell>
          <cell r="L29">
            <v>0</v>
          </cell>
          <cell r="M29">
            <v>0</v>
          </cell>
          <cell r="N29">
            <v>0</v>
          </cell>
          <cell r="O29">
            <v>13051</v>
          </cell>
          <cell r="P29">
            <v>0</v>
          </cell>
          <cell r="Q29">
            <v>0</v>
          </cell>
          <cell r="R29">
            <v>0</v>
          </cell>
          <cell r="S29">
            <v>13051</v>
          </cell>
          <cell r="T29">
            <v>0</v>
          </cell>
          <cell r="U29">
            <v>0</v>
          </cell>
          <cell r="V29">
            <v>0</v>
          </cell>
          <cell r="W29">
            <v>13051</v>
          </cell>
          <cell r="Y29" t="str">
            <v>- Total</v>
          </cell>
          <cell r="Z29">
            <v>4559</v>
          </cell>
          <cell r="AA29">
            <v>4053</v>
          </cell>
          <cell r="AB29">
            <v>2974</v>
          </cell>
          <cell r="AC29">
            <v>11586</v>
          </cell>
          <cell r="AD29">
            <v>0</v>
          </cell>
          <cell r="AE29">
            <v>0</v>
          </cell>
          <cell r="AF29">
            <v>0</v>
          </cell>
          <cell r="AG29">
            <v>11586</v>
          </cell>
          <cell r="AH29">
            <v>0</v>
          </cell>
          <cell r="AI29">
            <v>0</v>
          </cell>
          <cell r="AJ29">
            <v>0</v>
          </cell>
          <cell r="AK29">
            <v>11586</v>
          </cell>
          <cell r="AL29">
            <v>0</v>
          </cell>
          <cell r="AM29">
            <v>0</v>
          </cell>
          <cell r="AN29">
            <v>0</v>
          </cell>
          <cell r="AO29">
            <v>11586</v>
          </cell>
          <cell r="BA29">
            <v>0</v>
          </cell>
          <cell r="BB29">
            <v>0</v>
          </cell>
          <cell r="BC29">
            <v>0</v>
          </cell>
          <cell r="BD29" t="str">
            <v>DESPESA</v>
          </cell>
          <cell r="BE29">
            <v>0</v>
          </cell>
          <cell r="BF29">
            <v>0</v>
          </cell>
          <cell r="BG29" t="str">
            <v>RECEITA</v>
          </cell>
          <cell r="BH29">
            <v>0</v>
          </cell>
          <cell r="BI29">
            <v>0</v>
          </cell>
          <cell r="BJ29">
            <v>0</v>
          </cell>
          <cell r="BK29">
            <v>0</v>
          </cell>
          <cell r="BL29">
            <v>0</v>
          </cell>
          <cell r="BM29">
            <v>0</v>
          </cell>
          <cell r="BO29">
            <v>0</v>
          </cell>
          <cell r="BP29">
            <v>0</v>
          </cell>
          <cell r="BQ29">
            <v>0</v>
          </cell>
          <cell r="BR29">
            <v>0</v>
          </cell>
          <cell r="BS29">
            <v>0</v>
          </cell>
          <cell r="BT29" t="str">
            <v>DESPESA</v>
          </cell>
          <cell r="BU29">
            <v>0</v>
          </cell>
          <cell r="BV29">
            <v>0</v>
          </cell>
          <cell r="BW29" t="str">
            <v>RECEITA</v>
          </cell>
          <cell r="BX29">
            <v>0</v>
          </cell>
          <cell r="BY29">
            <v>0</v>
          </cell>
          <cell r="BZ29">
            <v>0</v>
          </cell>
          <cell r="CA29">
            <v>0</v>
          </cell>
          <cell r="CB29">
            <v>0</v>
          </cell>
          <cell r="CC29">
            <v>0</v>
          </cell>
          <cell r="CD29">
            <v>0</v>
          </cell>
          <cell r="CE29">
            <v>0</v>
          </cell>
          <cell r="CF29">
            <v>0</v>
          </cell>
          <cell r="CG29">
            <v>0</v>
          </cell>
          <cell r="CH29">
            <v>0</v>
          </cell>
          <cell r="CI29">
            <v>0</v>
          </cell>
          <cell r="CL29">
            <v>0</v>
          </cell>
          <cell r="CM29">
            <v>0</v>
          </cell>
          <cell r="CN29">
            <v>0</v>
          </cell>
          <cell r="CO29" t="str">
            <v>DESPESA</v>
          </cell>
          <cell r="CP29">
            <v>0</v>
          </cell>
          <cell r="CQ29">
            <v>0</v>
          </cell>
          <cell r="CR29" t="str">
            <v>RECEITA</v>
          </cell>
          <cell r="CS29">
            <v>0</v>
          </cell>
          <cell r="CT29">
            <v>0</v>
          </cell>
          <cell r="CU29">
            <v>0</v>
          </cell>
          <cell r="CV29">
            <v>0</v>
          </cell>
          <cell r="CW29">
            <v>0</v>
          </cell>
          <cell r="CX29">
            <v>0</v>
          </cell>
          <cell r="CZ29">
            <v>0</v>
          </cell>
          <cell r="DA29">
            <v>0</v>
          </cell>
          <cell r="DB29">
            <v>0</v>
          </cell>
          <cell r="DC29">
            <v>0</v>
          </cell>
          <cell r="DD29">
            <v>0</v>
          </cell>
          <cell r="DE29" t="str">
            <v>DESPESA</v>
          </cell>
          <cell r="DF29">
            <v>0</v>
          </cell>
          <cell r="DG29">
            <v>0</v>
          </cell>
          <cell r="DH29" t="str">
            <v>RECEITA</v>
          </cell>
          <cell r="DI29">
            <v>0</v>
          </cell>
          <cell r="DJ29">
            <v>0</v>
          </cell>
          <cell r="DK29" t="str">
            <v>PERDA S/ATIVO MONET.</v>
          </cell>
          <cell r="DL29">
            <v>0</v>
          </cell>
          <cell r="DM29">
            <v>0</v>
          </cell>
          <cell r="DN29" t="str">
            <v>GANHO S/ PASS.MONET.</v>
          </cell>
        </row>
        <row r="30">
          <cell r="C30" t="str">
            <v/>
          </cell>
          <cell r="D30" t="str">
            <v/>
          </cell>
          <cell r="G30" t="str">
            <v>PETROBRÁS AMÉRICA</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Y30" t="str">
            <v>PETROBRÁS AMÉRICA</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BA30">
            <v>0</v>
          </cell>
          <cell r="BB30">
            <v>0</v>
          </cell>
          <cell r="BC30">
            <v>0</v>
          </cell>
          <cell r="BD30">
            <v>148</v>
          </cell>
          <cell r="BE30">
            <v>0</v>
          </cell>
          <cell r="BF30">
            <v>0</v>
          </cell>
          <cell r="BG30">
            <v>0</v>
          </cell>
          <cell r="BH30">
            <v>0</v>
          </cell>
          <cell r="BI30">
            <v>0</v>
          </cell>
          <cell r="BJ30">
            <v>0</v>
          </cell>
          <cell r="BK30">
            <v>0</v>
          </cell>
          <cell r="BL30">
            <v>0</v>
          </cell>
          <cell r="BM30">
            <v>0</v>
          </cell>
          <cell r="BO30">
            <v>0</v>
          </cell>
          <cell r="BP30">
            <v>0</v>
          </cell>
          <cell r="BQ30">
            <v>0</v>
          </cell>
          <cell r="BR30">
            <v>0</v>
          </cell>
          <cell r="BS30">
            <v>0</v>
          </cell>
          <cell r="BT30">
            <v>148</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L30">
            <v>0</v>
          </cell>
          <cell r="CM30">
            <v>0</v>
          </cell>
          <cell r="CN30">
            <v>0</v>
          </cell>
          <cell r="CO30">
            <v>73</v>
          </cell>
          <cell r="CP30">
            <v>0</v>
          </cell>
          <cell r="CQ30">
            <v>0</v>
          </cell>
          <cell r="CR30">
            <v>0</v>
          </cell>
          <cell r="CS30">
            <v>102</v>
          </cell>
        </row>
        <row r="31">
          <cell r="G31" t="str">
            <v>- Despesa financeira - 3540.002/005</v>
          </cell>
          <cell r="H31">
            <v>0</v>
          </cell>
          <cell r="I31">
            <v>0</v>
          </cell>
          <cell r="J31">
            <v>0</v>
          </cell>
          <cell r="K31">
            <v>0</v>
          </cell>
          <cell r="L31">
            <v>0</v>
          </cell>
          <cell r="M31">
            <v>0</v>
          </cell>
          <cell r="N31">
            <v>2129</v>
          </cell>
          <cell r="O31">
            <v>0</v>
          </cell>
          <cell r="P31">
            <v>0</v>
          </cell>
          <cell r="Q31">
            <v>0</v>
          </cell>
          <cell r="R31">
            <v>0</v>
          </cell>
          <cell r="S31">
            <v>0</v>
          </cell>
          <cell r="T31">
            <v>0</v>
          </cell>
          <cell r="U31">
            <v>0</v>
          </cell>
          <cell r="V31">
            <v>0</v>
          </cell>
          <cell r="W31">
            <v>0</v>
          </cell>
          <cell r="Y31" t="str">
            <v>- Receita financeira - 3540.012/014</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row>
        <row r="32">
          <cell r="G32" t="str">
            <v>- Desp.variação cambial - 3541.012</v>
          </cell>
          <cell r="H32">
            <v>547</v>
          </cell>
          <cell r="I32">
            <v>654</v>
          </cell>
          <cell r="J32">
            <v>-30</v>
          </cell>
          <cell r="K32">
            <v>1171</v>
          </cell>
          <cell r="L32">
            <v>364</v>
          </cell>
          <cell r="M32">
            <v>497</v>
          </cell>
          <cell r="N32">
            <v>311</v>
          </cell>
          <cell r="O32">
            <v>1171</v>
          </cell>
          <cell r="P32">
            <v>0</v>
          </cell>
          <cell r="Q32">
            <v>0</v>
          </cell>
          <cell r="R32">
            <v>0</v>
          </cell>
          <cell r="S32">
            <v>1171</v>
          </cell>
          <cell r="T32">
            <v>0</v>
          </cell>
          <cell r="U32">
            <v>0</v>
          </cell>
          <cell r="V32">
            <v>0</v>
          </cell>
          <cell r="W32">
            <v>1171</v>
          </cell>
          <cell r="Y32" t="str">
            <v>- Rec.var.cambial - 3542.012/015/022</v>
          </cell>
          <cell r="Z32">
            <v>84</v>
          </cell>
          <cell r="AA32">
            <v>60</v>
          </cell>
          <cell r="AB32">
            <v>-17</v>
          </cell>
          <cell r="AC32">
            <v>127</v>
          </cell>
          <cell r="AD32">
            <v>36</v>
          </cell>
          <cell r="AE32">
            <v>82</v>
          </cell>
          <cell r="AF32">
            <v>-12</v>
          </cell>
          <cell r="AG32">
            <v>127</v>
          </cell>
          <cell r="AH32">
            <v>0</v>
          </cell>
          <cell r="AI32">
            <v>0</v>
          </cell>
          <cell r="AJ32">
            <v>0</v>
          </cell>
          <cell r="AK32">
            <v>127</v>
          </cell>
          <cell r="AL32">
            <v>0</v>
          </cell>
          <cell r="AM32">
            <v>0</v>
          </cell>
          <cell r="AN32">
            <v>0</v>
          </cell>
          <cell r="AO32">
            <v>127</v>
          </cell>
        </row>
        <row r="33">
          <cell r="G33" t="str">
            <v>- Desp.cor.monet. - 3541.002/022</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Y33" t="str">
            <v>- Rec.cor.monet. -  3542.002/004/025</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BA33">
            <v>0</v>
          </cell>
          <cell r="BB33">
            <v>0</v>
          </cell>
          <cell r="BC33">
            <v>0</v>
          </cell>
          <cell r="BD33" t="str">
            <v>BRASOIL</v>
          </cell>
          <cell r="BE33">
            <v>0</v>
          </cell>
          <cell r="BF33">
            <v>0</v>
          </cell>
          <cell r="BG33">
            <v>0</v>
          </cell>
          <cell r="BH33">
            <v>0</v>
          </cell>
          <cell r="BI33">
            <v>0</v>
          </cell>
          <cell r="BJ33">
            <v>0</v>
          </cell>
          <cell r="BK33">
            <v>0</v>
          </cell>
          <cell r="BL33">
            <v>0</v>
          </cell>
          <cell r="BM33">
            <v>0</v>
          </cell>
          <cell r="BO33">
            <v>0</v>
          </cell>
          <cell r="BP33">
            <v>0</v>
          </cell>
          <cell r="BQ33">
            <v>0</v>
          </cell>
          <cell r="BR33">
            <v>0</v>
          </cell>
          <cell r="BS33">
            <v>0</v>
          </cell>
          <cell r="BT33" t="str">
            <v>BRASOIL</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L33">
            <v>0</v>
          </cell>
          <cell r="CM33">
            <v>0</v>
          </cell>
          <cell r="CN33">
            <v>0</v>
          </cell>
          <cell r="CO33" t="str">
            <v>BRASOIL</v>
          </cell>
          <cell r="CP33">
            <v>0</v>
          </cell>
          <cell r="CQ33">
            <v>0</v>
          </cell>
          <cell r="CR33">
            <v>0</v>
          </cell>
          <cell r="CS33">
            <v>0</v>
          </cell>
          <cell r="CT33">
            <v>0</v>
          </cell>
          <cell r="CU33">
            <v>0</v>
          </cell>
          <cell r="CV33">
            <v>0</v>
          </cell>
          <cell r="CW33">
            <v>0</v>
          </cell>
          <cell r="CX33">
            <v>0</v>
          </cell>
          <cell r="CZ33">
            <v>0</v>
          </cell>
          <cell r="DA33">
            <v>0</v>
          </cell>
          <cell r="DB33">
            <v>0</v>
          </cell>
          <cell r="DC33">
            <v>0</v>
          </cell>
          <cell r="DD33">
            <v>0</v>
          </cell>
          <cell r="DE33" t="str">
            <v>BRASOIL</v>
          </cell>
        </row>
        <row r="34">
          <cell r="G34" t="str">
            <v>- Total</v>
          </cell>
          <cell r="H34">
            <v>547</v>
          </cell>
          <cell r="I34">
            <v>654</v>
          </cell>
          <cell r="J34">
            <v>-30</v>
          </cell>
          <cell r="K34">
            <v>1171</v>
          </cell>
          <cell r="L34">
            <v>0</v>
          </cell>
          <cell r="M34">
            <v>0</v>
          </cell>
          <cell r="N34">
            <v>0</v>
          </cell>
          <cell r="O34">
            <v>1171</v>
          </cell>
          <cell r="P34">
            <v>0</v>
          </cell>
          <cell r="Q34">
            <v>0</v>
          </cell>
          <cell r="R34">
            <v>0</v>
          </cell>
          <cell r="S34">
            <v>1171</v>
          </cell>
          <cell r="T34">
            <v>0</v>
          </cell>
          <cell r="U34">
            <v>0</v>
          </cell>
          <cell r="V34">
            <v>0</v>
          </cell>
          <cell r="W34">
            <v>1171</v>
          </cell>
          <cell r="Y34" t="str">
            <v>- Total</v>
          </cell>
          <cell r="Z34">
            <v>84</v>
          </cell>
          <cell r="AA34">
            <v>60</v>
          </cell>
          <cell r="AB34">
            <v>-17</v>
          </cell>
          <cell r="AC34">
            <v>127</v>
          </cell>
          <cell r="AD34">
            <v>0</v>
          </cell>
          <cell r="AE34">
            <v>0</v>
          </cell>
          <cell r="AF34">
            <v>0</v>
          </cell>
          <cell r="AG34">
            <v>127</v>
          </cell>
          <cell r="AH34">
            <v>0</v>
          </cell>
          <cell r="AI34">
            <v>0</v>
          </cell>
          <cell r="AJ34">
            <v>0</v>
          </cell>
          <cell r="AK34">
            <v>127</v>
          </cell>
          <cell r="AL34">
            <v>0</v>
          </cell>
          <cell r="AM34">
            <v>0</v>
          </cell>
          <cell r="AN34">
            <v>0</v>
          </cell>
          <cell r="AO34">
            <v>127</v>
          </cell>
          <cell r="BA34">
            <v>0</v>
          </cell>
          <cell r="BB34">
            <v>0</v>
          </cell>
          <cell r="BC34">
            <v>0</v>
          </cell>
          <cell r="BD34" t="str">
            <v>DESPESA</v>
          </cell>
          <cell r="BE34">
            <v>0</v>
          </cell>
          <cell r="BF34">
            <v>0</v>
          </cell>
          <cell r="BG34" t="str">
            <v>RECEITA</v>
          </cell>
          <cell r="BH34">
            <v>0</v>
          </cell>
          <cell r="BI34">
            <v>0</v>
          </cell>
          <cell r="BJ34">
            <v>0</v>
          </cell>
          <cell r="BK34">
            <v>0</v>
          </cell>
          <cell r="BL34">
            <v>0</v>
          </cell>
          <cell r="BM34">
            <v>0</v>
          </cell>
          <cell r="BO34">
            <v>0</v>
          </cell>
          <cell r="BP34">
            <v>0</v>
          </cell>
          <cell r="BQ34">
            <v>0</v>
          </cell>
          <cell r="BR34">
            <v>0</v>
          </cell>
          <cell r="BS34">
            <v>0</v>
          </cell>
          <cell r="BT34" t="str">
            <v>DESPESA</v>
          </cell>
          <cell r="BU34">
            <v>0</v>
          </cell>
          <cell r="BV34">
            <v>0</v>
          </cell>
          <cell r="BW34" t="str">
            <v>RECEITA</v>
          </cell>
          <cell r="BX34">
            <v>0</v>
          </cell>
          <cell r="BY34">
            <v>0</v>
          </cell>
          <cell r="BZ34">
            <v>0</v>
          </cell>
          <cell r="CA34">
            <v>0</v>
          </cell>
          <cell r="CB34">
            <v>0</v>
          </cell>
          <cell r="CC34">
            <v>0</v>
          </cell>
          <cell r="CD34">
            <v>0</v>
          </cell>
          <cell r="CE34">
            <v>0</v>
          </cell>
          <cell r="CF34">
            <v>0</v>
          </cell>
          <cell r="CG34">
            <v>0</v>
          </cell>
          <cell r="CH34">
            <v>0</v>
          </cell>
          <cell r="CI34">
            <v>0</v>
          </cell>
          <cell r="CL34">
            <v>0</v>
          </cell>
          <cell r="CM34">
            <v>0</v>
          </cell>
          <cell r="CN34">
            <v>0</v>
          </cell>
          <cell r="CO34" t="str">
            <v>DESPESA</v>
          </cell>
          <cell r="CP34">
            <v>0</v>
          </cell>
          <cell r="CQ34">
            <v>0</v>
          </cell>
          <cell r="CR34" t="str">
            <v>RECEITA</v>
          </cell>
          <cell r="CS34">
            <v>0</v>
          </cell>
          <cell r="CT34">
            <v>0</v>
          </cell>
          <cell r="CU34">
            <v>0</v>
          </cell>
          <cell r="CV34">
            <v>0</v>
          </cell>
          <cell r="CW34">
            <v>0</v>
          </cell>
          <cell r="CX34">
            <v>0</v>
          </cell>
          <cell r="CZ34">
            <v>0</v>
          </cell>
          <cell r="DA34">
            <v>0</v>
          </cell>
          <cell r="DB34">
            <v>0</v>
          </cell>
          <cell r="DC34">
            <v>0</v>
          </cell>
          <cell r="DD34">
            <v>0</v>
          </cell>
          <cell r="DE34" t="str">
            <v>DESPESA</v>
          </cell>
          <cell r="DF34">
            <v>0</v>
          </cell>
          <cell r="DG34">
            <v>0</v>
          </cell>
          <cell r="DH34" t="str">
            <v>RECEITA</v>
          </cell>
        </row>
        <row r="35">
          <cell r="G35" t="str">
            <v>DISTRIBUIDORA</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Y35" t="str">
            <v>DISTRIBUIDORA</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BA35">
            <v>0</v>
          </cell>
          <cell r="BB35">
            <v>0</v>
          </cell>
          <cell r="BC35">
            <v>0</v>
          </cell>
          <cell r="BD35">
            <v>22</v>
          </cell>
          <cell r="BE35">
            <v>0</v>
          </cell>
          <cell r="BF35">
            <v>0</v>
          </cell>
          <cell r="BG35">
            <v>0</v>
          </cell>
          <cell r="BH35">
            <v>0</v>
          </cell>
          <cell r="BI35">
            <v>0</v>
          </cell>
          <cell r="BJ35">
            <v>0</v>
          </cell>
          <cell r="BK35">
            <v>0</v>
          </cell>
          <cell r="BL35">
            <v>0</v>
          </cell>
          <cell r="BM35">
            <v>0</v>
          </cell>
          <cell r="BO35">
            <v>0</v>
          </cell>
          <cell r="BP35">
            <v>0</v>
          </cell>
          <cell r="BQ35">
            <v>0</v>
          </cell>
          <cell r="BR35">
            <v>0</v>
          </cell>
          <cell r="BS35">
            <v>0</v>
          </cell>
          <cell r="BT35">
            <v>22</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L35">
            <v>0</v>
          </cell>
          <cell r="CM35">
            <v>0</v>
          </cell>
          <cell r="CN35">
            <v>0</v>
          </cell>
          <cell r="CO35">
            <v>2111</v>
          </cell>
        </row>
        <row r="36">
          <cell r="G36" t="str">
            <v>- Despesa financeira - 3540.002/005</v>
          </cell>
          <cell r="H36">
            <v>60</v>
          </cell>
          <cell r="I36">
            <v>0</v>
          </cell>
          <cell r="J36">
            <v>93</v>
          </cell>
          <cell r="K36">
            <v>153</v>
          </cell>
          <cell r="L36">
            <v>229</v>
          </cell>
          <cell r="M36">
            <v>38</v>
          </cell>
          <cell r="N36">
            <v>0</v>
          </cell>
          <cell r="O36">
            <v>153</v>
          </cell>
          <cell r="P36">
            <v>0</v>
          </cell>
          <cell r="Q36">
            <v>0</v>
          </cell>
          <cell r="R36">
            <v>0</v>
          </cell>
          <cell r="S36">
            <v>153</v>
          </cell>
          <cell r="T36">
            <v>0</v>
          </cell>
          <cell r="U36">
            <v>0</v>
          </cell>
          <cell r="V36">
            <v>0</v>
          </cell>
          <cell r="W36">
            <v>153</v>
          </cell>
          <cell r="Y36" t="str">
            <v>- Receita financeira - 3540.012/014</v>
          </cell>
          <cell r="Z36">
            <v>1511</v>
          </cell>
          <cell r="AA36">
            <v>966</v>
          </cell>
          <cell r="AB36">
            <v>1024</v>
          </cell>
          <cell r="AC36">
            <v>3501</v>
          </cell>
          <cell r="AD36">
            <v>0</v>
          </cell>
          <cell r="AE36">
            <v>0</v>
          </cell>
          <cell r="AF36">
            <v>0</v>
          </cell>
          <cell r="AG36">
            <v>3501</v>
          </cell>
          <cell r="AH36">
            <v>0</v>
          </cell>
          <cell r="AI36">
            <v>0</v>
          </cell>
          <cell r="AJ36">
            <v>0</v>
          </cell>
          <cell r="AK36">
            <v>3501</v>
          </cell>
          <cell r="AL36">
            <v>0</v>
          </cell>
          <cell r="AM36">
            <v>0</v>
          </cell>
          <cell r="AN36">
            <v>0</v>
          </cell>
          <cell r="AO36">
            <v>3501</v>
          </cell>
        </row>
        <row r="37">
          <cell r="G37" t="str">
            <v>- Desp.variação cambial - 3541.012</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Y37" t="str">
            <v>- Rec.var.cambial - 3542.012/015/022</v>
          </cell>
          <cell r="Z37">
            <v>985</v>
          </cell>
          <cell r="AA37">
            <v>526</v>
          </cell>
          <cell r="AB37">
            <v>403</v>
          </cell>
          <cell r="AC37">
            <v>1914</v>
          </cell>
          <cell r="AD37">
            <v>0</v>
          </cell>
          <cell r="AE37">
            <v>1</v>
          </cell>
          <cell r="AF37">
            <v>0</v>
          </cell>
          <cell r="AG37">
            <v>1914</v>
          </cell>
          <cell r="AH37">
            <v>0</v>
          </cell>
          <cell r="AI37">
            <v>0</v>
          </cell>
          <cell r="AJ37">
            <v>0</v>
          </cell>
          <cell r="AK37">
            <v>1914</v>
          </cell>
          <cell r="AL37">
            <v>0</v>
          </cell>
          <cell r="AM37">
            <v>0</v>
          </cell>
          <cell r="AN37">
            <v>0</v>
          </cell>
          <cell r="AO37">
            <v>1914</v>
          </cell>
        </row>
        <row r="38">
          <cell r="G38" t="str">
            <v>- Desp.cor.monet. - 3541.002/022</v>
          </cell>
          <cell r="H38">
            <v>42</v>
          </cell>
          <cell r="I38">
            <v>17</v>
          </cell>
          <cell r="J38">
            <v>23</v>
          </cell>
          <cell r="K38">
            <v>82</v>
          </cell>
          <cell r="L38">
            <v>14</v>
          </cell>
          <cell r="M38">
            <v>2</v>
          </cell>
          <cell r="N38">
            <v>523</v>
          </cell>
          <cell r="O38">
            <v>82</v>
          </cell>
          <cell r="P38">
            <v>0</v>
          </cell>
          <cell r="Q38">
            <v>0</v>
          </cell>
          <cell r="R38">
            <v>0</v>
          </cell>
          <cell r="S38">
            <v>82</v>
          </cell>
          <cell r="T38">
            <v>0</v>
          </cell>
          <cell r="U38">
            <v>0</v>
          </cell>
          <cell r="V38">
            <v>0</v>
          </cell>
          <cell r="W38">
            <v>82</v>
          </cell>
          <cell r="Y38" t="str">
            <v>- Rec.cor.monet. -  3542.002/004/025</v>
          </cell>
          <cell r="Z38">
            <v>1</v>
          </cell>
          <cell r="AA38">
            <v>1</v>
          </cell>
          <cell r="AB38">
            <v>1</v>
          </cell>
          <cell r="AC38">
            <v>3</v>
          </cell>
          <cell r="AD38">
            <v>369</v>
          </cell>
          <cell r="AE38">
            <v>1146</v>
          </cell>
          <cell r="AF38">
            <v>2081</v>
          </cell>
          <cell r="AG38">
            <v>3</v>
          </cell>
          <cell r="AH38">
            <v>0</v>
          </cell>
          <cell r="AI38">
            <v>0</v>
          </cell>
          <cell r="AJ38">
            <v>0</v>
          </cell>
          <cell r="AK38">
            <v>3</v>
          </cell>
          <cell r="AL38">
            <v>0</v>
          </cell>
          <cell r="AM38">
            <v>0</v>
          </cell>
          <cell r="AN38">
            <v>0</v>
          </cell>
          <cell r="AO38">
            <v>3</v>
          </cell>
          <cell r="BA38">
            <v>0</v>
          </cell>
          <cell r="BB38">
            <v>0</v>
          </cell>
          <cell r="BC38">
            <v>0</v>
          </cell>
          <cell r="BD38" t="str">
            <v>PAI</v>
          </cell>
          <cell r="BE38">
            <v>0</v>
          </cell>
          <cell r="BF38">
            <v>0</v>
          </cell>
          <cell r="BG38">
            <v>0</v>
          </cell>
          <cell r="BH38">
            <v>0</v>
          </cell>
          <cell r="BI38">
            <v>0</v>
          </cell>
          <cell r="BJ38">
            <v>0</v>
          </cell>
          <cell r="BK38">
            <v>0</v>
          </cell>
          <cell r="BL38">
            <v>0</v>
          </cell>
          <cell r="BM38">
            <v>0</v>
          </cell>
          <cell r="BO38">
            <v>0</v>
          </cell>
          <cell r="BP38">
            <v>0</v>
          </cell>
          <cell r="BQ38">
            <v>0</v>
          </cell>
          <cell r="BR38">
            <v>0</v>
          </cell>
          <cell r="BS38">
            <v>0</v>
          </cell>
          <cell r="BT38" t="str">
            <v>PAI</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L38">
            <v>0</v>
          </cell>
          <cell r="CM38">
            <v>0</v>
          </cell>
          <cell r="CN38">
            <v>0</v>
          </cell>
          <cell r="CO38" t="str">
            <v>PAI</v>
          </cell>
          <cell r="CP38">
            <v>0</v>
          </cell>
          <cell r="CQ38">
            <v>0</v>
          </cell>
          <cell r="CR38">
            <v>0</v>
          </cell>
          <cell r="CS38">
            <v>0</v>
          </cell>
          <cell r="CT38">
            <v>0</v>
          </cell>
          <cell r="CU38">
            <v>0</v>
          </cell>
          <cell r="CV38">
            <v>0</v>
          </cell>
          <cell r="CW38">
            <v>0</v>
          </cell>
          <cell r="CX38">
            <v>0</v>
          </cell>
          <cell r="CZ38">
            <v>0</v>
          </cell>
          <cell r="DA38">
            <v>0</v>
          </cell>
          <cell r="DB38">
            <v>0</v>
          </cell>
          <cell r="DC38">
            <v>0</v>
          </cell>
          <cell r="DD38">
            <v>0</v>
          </cell>
          <cell r="DE38" t="str">
            <v>PAI</v>
          </cell>
        </row>
        <row r="39">
          <cell r="G39" t="str">
            <v>- Total</v>
          </cell>
          <cell r="H39">
            <v>102</v>
          </cell>
          <cell r="I39">
            <v>17</v>
          </cell>
          <cell r="J39">
            <v>116</v>
          </cell>
          <cell r="K39">
            <v>235</v>
          </cell>
          <cell r="L39">
            <v>0</v>
          </cell>
          <cell r="M39">
            <v>0</v>
          </cell>
          <cell r="N39">
            <v>0</v>
          </cell>
          <cell r="O39">
            <v>235</v>
          </cell>
          <cell r="P39">
            <v>0</v>
          </cell>
          <cell r="Q39">
            <v>0</v>
          </cell>
          <cell r="R39">
            <v>0</v>
          </cell>
          <cell r="S39">
            <v>235</v>
          </cell>
          <cell r="T39">
            <v>0</v>
          </cell>
          <cell r="U39">
            <v>0</v>
          </cell>
          <cell r="V39">
            <v>0</v>
          </cell>
          <cell r="W39">
            <v>235</v>
          </cell>
          <cell r="Y39" t="str">
            <v>- Total</v>
          </cell>
          <cell r="Z39">
            <v>2497</v>
          </cell>
          <cell r="AA39">
            <v>1493</v>
          </cell>
          <cell r="AB39">
            <v>1428</v>
          </cell>
          <cell r="AC39">
            <v>5418</v>
          </cell>
          <cell r="AD39">
            <v>0</v>
          </cell>
          <cell r="AE39">
            <v>0</v>
          </cell>
          <cell r="AF39">
            <v>0</v>
          </cell>
          <cell r="AG39">
            <v>5418</v>
          </cell>
          <cell r="AH39">
            <v>0</v>
          </cell>
          <cell r="AI39">
            <v>0</v>
          </cell>
          <cell r="AJ39">
            <v>0</v>
          </cell>
          <cell r="AK39">
            <v>5418</v>
          </cell>
          <cell r="AL39">
            <v>0</v>
          </cell>
          <cell r="AM39">
            <v>0</v>
          </cell>
          <cell r="AN39">
            <v>0</v>
          </cell>
          <cell r="AO39">
            <v>5418</v>
          </cell>
          <cell r="BA39">
            <v>0</v>
          </cell>
          <cell r="BB39">
            <v>0</v>
          </cell>
          <cell r="BC39">
            <v>0</v>
          </cell>
          <cell r="BD39" t="str">
            <v>DESPESA</v>
          </cell>
          <cell r="BE39">
            <v>0</v>
          </cell>
          <cell r="BF39">
            <v>0</v>
          </cell>
          <cell r="BG39" t="str">
            <v>RECEITA</v>
          </cell>
          <cell r="BH39">
            <v>0</v>
          </cell>
          <cell r="BI39">
            <v>0</v>
          </cell>
          <cell r="BJ39">
            <v>0</v>
          </cell>
          <cell r="BK39">
            <v>0</v>
          </cell>
          <cell r="BL39">
            <v>0</v>
          </cell>
          <cell r="BM39">
            <v>0</v>
          </cell>
          <cell r="BO39">
            <v>0</v>
          </cell>
          <cell r="BP39">
            <v>0</v>
          </cell>
          <cell r="BQ39">
            <v>0</v>
          </cell>
          <cell r="BR39">
            <v>0</v>
          </cell>
          <cell r="BS39">
            <v>0</v>
          </cell>
          <cell r="BT39" t="str">
            <v>DESPESA</v>
          </cell>
          <cell r="BU39">
            <v>0</v>
          </cell>
          <cell r="BV39">
            <v>0</v>
          </cell>
          <cell r="BW39" t="str">
            <v>RECEITA</v>
          </cell>
          <cell r="BX39">
            <v>0</v>
          </cell>
          <cell r="BY39">
            <v>0</v>
          </cell>
          <cell r="BZ39">
            <v>0</v>
          </cell>
          <cell r="CA39">
            <v>0</v>
          </cell>
          <cell r="CB39">
            <v>0</v>
          </cell>
          <cell r="CC39">
            <v>0</v>
          </cell>
          <cell r="CD39">
            <v>0</v>
          </cell>
          <cell r="CE39">
            <v>0</v>
          </cell>
          <cell r="CF39">
            <v>0</v>
          </cell>
          <cell r="CG39">
            <v>0</v>
          </cell>
          <cell r="CH39">
            <v>0</v>
          </cell>
          <cell r="CI39">
            <v>0</v>
          </cell>
          <cell r="CL39">
            <v>0</v>
          </cell>
          <cell r="CM39">
            <v>0</v>
          </cell>
          <cell r="CN39">
            <v>0</v>
          </cell>
          <cell r="CO39" t="str">
            <v>DESPESA</v>
          </cell>
          <cell r="CP39">
            <v>0</v>
          </cell>
          <cell r="CQ39">
            <v>0</v>
          </cell>
          <cell r="CR39" t="str">
            <v>RECEITA</v>
          </cell>
          <cell r="CS39">
            <v>0</v>
          </cell>
          <cell r="CT39">
            <v>0</v>
          </cell>
          <cell r="CU39">
            <v>0</v>
          </cell>
          <cell r="CV39">
            <v>0</v>
          </cell>
          <cell r="CW39">
            <v>0</v>
          </cell>
          <cell r="CX39">
            <v>0</v>
          </cell>
          <cell r="CZ39">
            <v>0</v>
          </cell>
          <cell r="DA39">
            <v>0</v>
          </cell>
          <cell r="DB39">
            <v>0</v>
          </cell>
          <cell r="DC39">
            <v>0</v>
          </cell>
          <cell r="DD39">
            <v>0</v>
          </cell>
          <cell r="DE39" t="str">
            <v>DESPESA</v>
          </cell>
          <cell r="DF39">
            <v>0</v>
          </cell>
          <cell r="DG39">
            <v>0</v>
          </cell>
          <cell r="DH39" t="str">
            <v>RECEITA</v>
          </cell>
        </row>
        <row r="40">
          <cell r="BD40">
            <v>0</v>
          </cell>
          <cell r="BE40">
            <v>0</v>
          </cell>
          <cell r="BF40">
            <v>0</v>
          </cell>
          <cell r="BG40">
            <v>0</v>
          </cell>
          <cell r="BH40">
            <v>0</v>
          </cell>
          <cell r="BI40">
            <v>0</v>
          </cell>
          <cell r="BJ40">
            <v>0</v>
          </cell>
          <cell r="BK40">
            <v>0</v>
          </cell>
          <cell r="BL40">
            <v>0</v>
          </cell>
          <cell r="BM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L40">
            <v>0</v>
          </cell>
          <cell r="CM40">
            <v>0</v>
          </cell>
          <cell r="CN40">
            <v>0</v>
          </cell>
          <cell r="CO40">
            <v>0</v>
          </cell>
          <cell r="CP40">
            <v>0</v>
          </cell>
          <cell r="CQ40">
            <v>0</v>
          </cell>
          <cell r="CR40">
            <v>0</v>
          </cell>
          <cell r="CS40">
            <v>1699</v>
          </cell>
        </row>
        <row r="41">
          <cell r="G41" t="str">
            <v>TOTAL</v>
          </cell>
          <cell r="H41">
            <v>11093</v>
          </cell>
          <cell r="I41">
            <v>10597</v>
          </cell>
          <cell r="J41">
            <v>8877</v>
          </cell>
          <cell r="K41">
            <v>30567</v>
          </cell>
          <cell r="L41">
            <v>0</v>
          </cell>
          <cell r="M41">
            <v>0</v>
          </cell>
          <cell r="N41">
            <v>0</v>
          </cell>
          <cell r="O41">
            <v>30567</v>
          </cell>
          <cell r="P41">
            <v>0</v>
          </cell>
          <cell r="Q41">
            <v>0</v>
          </cell>
          <cell r="R41">
            <v>0</v>
          </cell>
          <cell r="S41">
            <v>30567</v>
          </cell>
          <cell r="T41">
            <v>0</v>
          </cell>
          <cell r="U41">
            <v>0</v>
          </cell>
          <cell r="V41">
            <v>0</v>
          </cell>
          <cell r="W41">
            <v>30567</v>
          </cell>
          <cell r="Y41" t="str">
            <v>TOTAL</v>
          </cell>
          <cell r="Z41">
            <v>9477</v>
          </cell>
          <cell r="AA41">
            <v>3287</v>
          </cell>
          <cell r="AB41">
            <v>4544</v>
          </cell>
          <cell r="AC41">
            <v>17308</v>
          </cell>
          <cell r="AD41">
            <v>0</v>
          </cell>
          <cell r="AE41">
            <v>0</v>
          </cell>
          <cell r="AF41">
            <v>0</v>
          </cell>
          <cell r="AG41">
            <v>17308</v>
          </cell>
          <cell r="AH41">
            <v>0</v>
          </cell>
          <cell r="AI41">
            <v>0</v>
          </cell>
          <cell r="AJ41">
            <v>0</v>
          </cell>
          <cell r="AK41">
            <v>17308</v>
          </cell>
          <cell r="AL41">
            <v>0</v>
          </cell>
          <cell r="AM41">
            <v>0</v>
          </cell>
          <cell r="AN41">
            <v>0</v>
          </cell>
          <cell r="AO41">
            <v>17308</v>
          </cell>
        </row>
        <row r="43">
          <cell r="I43" t="str">
            <v/>
          </cell>
          <cell r="T43" t="str">
            <v/>
          </cell>
          <cell r="AA43" t="str">
            <v/>
          </cell>
          <cell r="AL43" t="str">
            <v/>
          </cell>
          <cell r="BD43" t="str">
            <v>BR</v>
          </cell>
          <cell r="BE43">
            <v>0</v>
          </cell>
          <cell r="BF43">
            <v>0</v>
          </cell>
          <cell r="BG43">
            <v>0</v>
          </cell>
          <cell r="BH43">
            <v>0</v>
          </cell>
          <cell r="BI43">
            <v>0</v>
          </cell>
          <cell r="BJ43">
            <v>0</v>
          </cell>
          <cell r="BK43">
            <v>0</v>
          </cell>
          <cell r="BL43">
            <v>0</v>
          </cell>
          <cell r="BM43">
            <v>0</v>
          </cell>
          <cell r="BO43">
            <v>0</v>
          </cell>
          <cell r="BP43">
            <v>0</v>
          </cell>
          <cell r="BQ43">
            <v>0</v>
          </cell>
          <cell r="BR43">
            <v>0</v>
          </cell>
          <cell r="BS43">
            <v>0</v>
          </cell>
          <cell r="BT43" t="str">
            <v>BR</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L43">
            <v>0</v>
          </cell>
          <cell r="CM43">
            <v>0</v>
          </cell>
          <cell r="CN43">
            <v>0</v>
          </cell>
          <cell r="CO43" t="str">
            <v>BR</v>
          </cell>
          <cell r="CP43">
            <v>0</v>
          </cell>
          <cell r="CQ43">
            <v>0</v>
          </cell>
          <cell r="CR43">
            <v>0</v>
          </cell>
          <cell r="CS43">
            <v>0</v>
          </cell>
          <cell r="CT43">
            <v>0</v>
          </cell>
          <cell r="CU43">
            <v>0</v>
          </cell>
          <cell r="CV43">
            <v>0</v>
          </cell>
          <cell r="CW43">
            <v>0</v>
          </cell>
          <cell r="CX43">
            <v>0</v>
          </cell>
          <cell r="CZ43">
            <v>0</v>
          </cell>
          <cell r="DA43">
            <v>0</v>
          </cell>
          <cell r="DB43">
            <v>0</v>
          </cell>
          <cell r="DC43">
            <v>0</v>
          </cell>
          <cell r="DD43">
            <v>0</v>
          </cell>
          <cell r="DE43" t="str">
            <v>BR</v>
          </cell>
        </row>
        <row r="44">
          <cell r="G44" t="str">
            <v>CHECK</v>
          </cell>
          <cell r="H44">
            <v>11093</v>
          </cell>
          <cell r="I44">
            <v>10597</v>
          </cell>
          <cell r="J44">
            <v>8877</v>
          </cell>
          <cell r="K44">
            <v>30567</v>
          </cell>
          <cell r="L44">
            <v>10037</v>
          </cell>
          <cell r="M44">
            <v>9422</v>
          </cell>
          <cell r="N44">
            <v>12522</v>
          </cell>
          <cell r="O44">
            <v>30567</v>
          </cell>
          <cell r="P44">
            <v>0</v>
          </cell>
          <cell r="Q44">
            <v>0</v>
          </cell>
          <cell r="R44">
            <v>0</v>
          </cell>
          <cell r="S44">
            <v>30567</v>
          </cell>
          <cell r="T44">
            <v>0</v>
          </cell>
          <cell r="U44">
            <v>0</v>
          </cell>
          <cell r="V44">
            <v>0</v>
          </cell>
          <cell r="W44">
            <v>30567</v>
          </cell>
          <cell r="Y44" t="str">
            <v>CHECK</v>
          </cell>
          <cell r="Z44">
            <v>9477</v>
          </cell>
          <cell r="AA44">
            <v>3287</v>
          </cell>
          <cell r="AB44">
            <v>4544</v>
          </cell>
          <cell r="AC44">
            <v>17308</v>
          </cell>
          <cell r="AD44">
            <v>4842</v>
          </cell>
          <cell r="AE44">
            <v>6002</v>
          </cell>
          <cell r="AF44">
            <v>7668</v>
          </cell>
          <cell r="AG44">
            <v>17308</v>
          </cell>
          <cell r="AH44">
            <v>0</v>
          </cell>
          <cell r="AI44">
            <v>0</v>
          </cell>
          <cell r="AJ44">
            <v>0</v>
          </cell>
          <cell r="AK44">
            <v>17308</v>
          </cell>
          <cell r="AL44">
            <v>0</v>
          </cell>
          <cell r="AM44">
            <v>0</v>
          </cell>
          <cell r="AN44">
            <v>0</v>
          </cell>
          <cell r="AO44">
            <v>17308</v>
          </cell>
          <cell r="BA44">
            <v>0</v>
          </cell>
          <cell r="BB44">
            <v>0</v>
          </cell>
          <cell r="BC44">
            <v>0</v>
          </cell>
          <cell r="BD44" t="str">
            <v>DESPESA</v>
          </cell>
          <cell r="BE44">
            <v>0</v>
          </cell>
          <cell r="BF44">
            <v>0</v>
          </cell>
          <cell r="BG44" t="str">
            <v>RECEITA</v>
          </cell>
          <cell r="BH44">
            <v>0</v>
          </cell>
          <cell r="BI44">
            <v>0</v>
          </cell>
          <cell r="BJ44">
            <v>0</v>
          </cell>
          <cell r="BK44">
            <v>0</v>
          </cell>
          <cell r="BL44">
            <v>0</v>
          </cell>
          <cell r="BM44">
            <v>0</v>
          </cell>
          <cell r="BO44">
            <v>0</v>
          </cell>
          <cell r="BP44">
            <v>0</v>
          </cell>
          <cell r="BQ44">
            <v>0</v>
          </cell>
          <cell r="BR44">
            <v>0</v>
          </cell>
          <cell r="BS44">
            <v>0</v>
          </cell>
          <cell r="BT44" t="str">
            <v>DESPESA</v>
          </cell>
          <cell r="BU44">
            <v>0</v>
          </cell>
          <cell r="BV44">
            <v>0</v>
          </cell>
          <cell r="BW44" t="str">
            <v>RECEITA</v>
          </cell>
          <cell r="BX44">
            <v>0</v>
          </cell>
          <cell r="BY44">
            <v>0</v>
          </cell>
          <cell r="BZ44" t="str">
            <v>PERDA S/ATIVO MONET.</v>
          </cell>
          <cell r="CA44">
            <v>0</v>
          </cell>
          <cell r="CB44">
            <v>0</v>
          </cell>
          <cell r="CC44" t="str">
            <v>GANHO S/ PASS.MONET.</v>
          </cell>
          <cell r="CD44">
            <v>0</v>
          </cell>
          <cell r="CE44">
            <v>0</v>
          </cell>
          <cell r="CF44">
            <v>0</v>
          </cell>
          <cell r="CG44">
            <v>0</v>
          </cell>
          <cell r="CH44">
            <v>0</v>
          </cell>
          <cell r="CI44">
            <v>0</v>
          </cell>
          <cell r="CL44">
            <v>0</v>
          </cell>
          <cell r="CM44">
            <v>0</v>
          </cell>
          <cell r="CN44">
            <v>0</v>
          </cell>
          <cell r="CO44" t="str">
            <v>DESPESA</v>
          </cell>
          <cell r="CP44">
            <v>0</v>
          </cell>
          <cell r="CQ44">
            <v>0</v>
          </cell>
          <cell r="CR44" t="str">
            <v>RECEITA</v>
          </cell>
          <cell r="CS44">
            <v>0</v>
          </cell>
          <cell r="CT44">
            <v>0</v>
          </cell>
          <cell r="CU44">
            <v>0</v>
          </cell>
          <cell r="CV44">
            <v>0</v>
          </cell>
          <cell r="CW44">
            <v>0</v>
          </cell>
          <cell r="CX44">
            <v>0</v>
          </cell>
          <cell r="CZ44">
            <v>0</v>
          </cell>
          <cell r="DA44">
            <v>0</v>
          </cell>
          <cell r="DB44">
            <v>0</v>
          </cell>
          <cell r="DC44">
            <v>0</v>
          </cell>
          <cell r="DD44">
            <v>0</v>
          </cell>
          <cell r="DE44" t="str">
            <v>DESPESA</v>
          </cell>
          <cell r="DF44">
            <v>0</v>
          </cell>
          <cell r="DG44">
            <v>0</v>
          </cell>
          <cell r="DH44" t="str">
            <v>RECEITA</v>
          </cell>
          <cell r="DI44">
            <v>0</v>
          </cell>
          <cell r="DJ44">
            <v>0</v>
          </cell>
          <cell r="DK44" t="str">
            <v>PERDA S/ATIVO MONET.</v>
          </cell>
          <cell r="DL44">
            <v>0</v>
          </cell>
          <cell r="DM44">
            <v>0</v>
          </cell>
          <cell r="DN44" t="str">
            <v>GANHO S/ PASS.MONET.</v>
          </cell>
        </row>
        <row r="45">
          <cell r="I45" t="str">
            <v/>
          </cell>
          <cell r="AA45" t="str">
            <v/>
          </cell>
          <cell r="BD45">
            <v>5418</v>
          </cell>
          <cell r="BE45">
            <v>0</v>
          </cell>
          <cell r="BF45">
            <v>0</v>
          </cell>
          <cell r="BG45">
            <v>0</v>
          </cell>
          <cell r="BH45">
            <v>235</v>
          </cell>
          <cell r="BI45">
            <v>0</v>
          </cell>
          <cell r="BJ45">
            <v>0</v>
          </cell>
          <cell r="BK45">
            <v>0</v>
          </cell>
          <cell r="BL45">
            <v>0</v>
          </cell>
          <cell r="BM45">
            <v>0</v>
          </cell>
          <cell r="BO45">
            <v>0</v>
          </cell>
          <cell r="BP45">
            <v>0</v>
          </cell>
          <cell r="BQ45">
            <v>0</v>
          </cell>
          <cell r="BR45">
            <v>0</v>
          </cell>
          <cell r="BS45">
            <v>0</v>
          </cell>
          <cell r="BT45">
            <v>5454</v>
          </cell>
          <cell r="BU45">
            <v>0</v>
          </cell>
          <cell r="BV45">
            <v>0</v>
          </cell>
          <cell r="BW45">
            <v>0</v>
          </cell>
          <cell r="BX45">
            <v>236</v>
          </cell>
          <cell r="BY45">
            <v>0</v>
          </cell>
          <cell r="BZ45">
            <v>10579.864167239179</v>
          </cell>
          <cell r="CA45">
            <v>0</v>
          </cell>
          <cell r="CB45">
            <v>0</v>
          </cell>
          <cell r="CC45">
            <v>0</v>
          </cell>
          <cell r="CD45">
            <v>4376.2352091518378</v>
          </cell>
          <cell r="CE45">
            <v>0</v>
          </cell>
          <cell r="CF45">
            <v>0</v>
          </cell>
          <cell r="CG45">
            <v>0</v>
          </cell>
          <cell r="CH45">
            <v>0</v>
          </cell>
          <cell r="CI45">
            <v>0</v>
          </cell>
          <cell r="CL45">
            <v>0</v>
          </cell>
          <cell r="CM45">
            <v>0</v>
          </cell>
          <cell r="CN45">
            <v>0</v>
          </cell>
          <cell r="CO45">
            <v>1869</v>
          </cell>
          <cell r="CP45">
            <v>0</v>
          </cell>
          <cell r="CQ45">
            <v>0</v>
          </cell>
          <cell r="CR45">
            <v>0</v>
          </cell>
          <cell r="CS45">
            <v>69</v>
          </cell>
        </row>
        <row r="46">
          <cell r="G46" t="str">
            <v>Diferença</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Y46" t="str">
            <v>Diferença</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row>
        <row r="48">
          <cell r="BC48" t="str">
            <v>LANÇAMENTOS DE ELIMINAÇÃO NO CONSOLIDADO</v>
          </cell>
          <cell r="BD48">
            <v>0</v>
          </cell>
          <cell r="BE48">
            <v>0</v>
          </cell>
          <cell r="BF48">
            <v>0</v>
          </cell>
          <cell r="BG48">
            <v>0</v>
          </cell>
          <cell r="BH48">
            <v>0</v>
          </cell>
          <cell r="BI48">
            <v>0</v>
          </cell>
          <cell r="BJ48">
            <v>0</v>
          </cell>
          <cell r="BK48">
            <v>0</v>
          </cell>
          <cell r="BL48">
            <v>0</v>
          </cell>
          <cell r="BM48">
            <v>0</v>
          </cell>
          <cell r="BO48">
            <v>0</v>
          </cell>
          <cell r="BP48" t="str">
            <v>LANÇAMENTOS DE ELIMINAÇÃO NO CONSOLIDADO</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L48">
            <v>0</v>
          </cell>
          <cell r="CM48">
            <v>0</v>
          </cell>
          <cell r="CN48" t="str">
            <v>LANÇAMENTOS DE ELIMINAÇÃO NO CONSOLIDADO</v>
          </cell>
          <cell r="CO48">
            <v>0</v>
          </cell>
          <cell r="CP48">
            <v>0</v>
          </cell>
          <cell r="CQ48">
            <v>0</v>
          </cell>
          <cell r="CR48">
            <v>0</v>
          </cell>
          <cell r="CS48">
            <v>0</v>
          </cell>
          <cell r="CT48">
            <v>0</v>
          </cell>
          <cell r="CU48">
            <v>0</v>
          </cell>
          <cell r="CV48">
            <v>0</v>
          </cell>
          <cell r="CW48">
            <v>0</v>
          </cell>
          <cell r="CX48">
            <v>0</v>
          </cell>
          <cell r="CZ48">
            <v>0</v>
          </cell>
          <cell r="DA48" t="str">
            <v>LANÇAMENTOS DE ELIMINAÇÃO NO CONSOLIDADO</v>
          </cell>
        </row>
        <row r="49">
          <cell r="BB49" t="str">
            <v>CONSOLIDADO</v>
          </cell>
          <cell r="BC49">
            <v>0</v>
          </cell>
          <cell r="BD49">
            <v>0</v>
          </cell>
          <cell r="BE49">
            <v>0</v>
          </cell>
          <cell r="BF49">
            <v>0</v>
          </cell>
          <cell r="BG49">
            <v>0</v>
          </cell>
          <cell r="BH49">
            <v>0</v>
          </cell>
          <cell r="BI49">
            <v>0</v>
          </cell>
          <cell r="BJ49">
            <v>0</v>
          </cell>
          <cell r="BK49">
            <v>0</v>
          </cell>
          <cell r="BL49">
            <v>0</v>
          </cell>
          <cell r="BM49">
            <v>0</v>
          </cell>
          <cell r="BO49">
            <v>0</v>
          </cell>
          <cell r="BP49" t="str">
            <v>CONSOLIDADO</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L49">
            <v>0</v>
          </cell>
          <cell r="CM49" t="str">
            <v>CONSOLIDADO</v>
          </cell>
          <cell r="CN49">
            <v>0</v>
          </cell>
          <cell r="CO49">
            <v>0</v>
          </cell>
          <cell r="CP49">
            <v>0</v>
          </cell>
          <cell r="CQ49">
            <v>0</v>
          </cell>
          <cell r="CR49">
            <v>0</v>
          </cell>
          <cell r="CS49">
            <v>0</v>
          </cell>
          <cell r="CT49">
            <v>0</v>
          </cell>
          <cell r="CU49">
            <v>0</v>
          </cell>
          <cell r="CV49">
            <v>0</v>
          </cell>
          <cell r="CW49">
            <v>0</v>
          </cell>
          <cell r="CX49">
            <v>0</v>
          </cell>
          <cell r="CZ49">
            <v>0</v>
          </cell>
          <cell r="DA49">
            <v>0</v>
          </cell>
          <cell r="DB49" t="str">
            <v>CONSOLIDADO</v>
          </cell>
        </row>
        <row r="50">
          <cell r="G50" t="str">
            <v>RESULTADO DE OPERAÇÕES COM EMPRESAS VINCULADAS - DESPESAS</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Y50" t="str">
            <v>RESULTADO DE OPERAÇÕES COM EMPRESAS VINCULADAS - RECEITAS</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BA50">
            <v>0</v>
          </cell>
          <cell r="BB50">
            <v>0</v>
          </cell>
          <cell r="BC50">
            <v>0</v>
          </cell>
          <cell r="BD50" t="str">
            <v>DESPESA</v>
          </cell>
          <cell r="BE50">
            <v>0</v>
          </cell>
          <cell r="BF50">
            <v>0</v>
          </cell>
          <cell r="BG50" t="str">
            <v>RECEITA</v>
          </cell>
          <cell r="BH50">
            <v>0</v>
          </cell>
          <cell r="BI50">
            <v>0</v>
          </cell>
          <cell r="BJ50">
            <v>0</v>
          </cell>
          <cell r="BK50" t="str">
            <v>GANHO/PERDA</v>
          </cell>
          <cell r="BL50">
            <v>0</v>
          </cell>
          <cell r="BM50">
            <v>0</v>
          </cell>
          <cell r="BO50">
            <v>0</v>
          </cell>
          <cell r="BP50">
            <v>0</v>
          </cell>
          <cell r="BQ50">
            <v>0</v>
          </cell>
          <cell r="BR50">
            <v>0</v>
          </cell>
          <cell r="BS50" t="str">
            <v>DESPESA</v>
          </cell>
          <cell r="BT50">
            <v>0</v>
          </cell>
          <cell r="BU50">
            <v>0</v>
          </cell>
          <cell r="BV50">
            <v>0</v>
          </cell>
          <cell r="BW50">
            <v>0</v>
          </cell>
          <cell r="BX50">
            <v>0</v>
          </cell>
          <cell r="BY50">
            <v>0</v>
          </cell>
          <cell r="BZ50" t="str">
            <v>RECEITA</v>
          </cell>
          <cell r="CA50">
            <v>0</v>
          </cell>
          <cell r="CB50">
            <v>0</v>
          </cell>
          <cell r="CC50">
            <v>0</v>
          </cell>
          <cell r="CD50" t="str">
            <v>GANHO/PERDA</v>
          </cell>
          <cell r="CE50">
            <v>0</v>
          </cell>
          <cell r="CF50">
            <v>0</v>
          </cell>
          <cell r="CG50">
            <v>0</v>
          </cell>
          <cell r="CH50">
            <v>0</v>
          </cell>
          <cell r="CI50">
            <v>0</v>
          </cell>
          <cell r="CL50">
            <v>0</v>
          </cell>
          <cell r="CM50">
            <v>0</v>
          </cell>
          <cell r="CN50">
            <v>0</v>
          </cell>
          <cell r="CO50" t="str">
            <v>DESPESA</v>
          </cell>
          <cell r="CP50">
            <v>0</v>
          </cell>
          <cell r="CQ50">
            <v>0</v>
          </cell>
          <cell r="CR50" t="str">
            <v>RECEITA</v>
          </cell>
          <cell r="CS50">
            <v>0</v>
          </cell>
          <cell r="CT50">
            <v>0</v>
          </cell>
          <cell r="CU50">
            <v>0</v>
          </cell>
          <cell r="CV50" t="str">
            <v>GANHO/PERDA</v>
          </cell>
          <cell r="CW50">
            <v>0</v>
          </cell>
          <cell r="CX50">
            <v>0</v>
          </cell>
          <cell r="CZ50">
            <v>0</v>
          </cell>
          <cell r="DA50">
            <v>0</v>
          </cell>
          <cell r="DB50">
            <v>0</v>
          </cell>
          <cell r="DC50">
            <v>0</v>
          </cell>
          <cell r="DD50" t="str">
            <v>DESPESA</v>
          </cell>
          <cell r="DE50">
            <v>0</v>
          </cell>
          <cell r="DF50">
            <v>0</v>
          </cell>
          <cell r="DG50">
            <v>0</v>
          </cell>
          <cell r="DH50">
            <v>0</v>
          </cell>
          <cell r="DI50">
            <v>0</v>
          </cell>
          <cell r="DJ50">
            <v>0</v>
          </cell>
          <cell r="DK50" t="str">
            <v>RECEITA</v>
          </cell>
          <cell r="DL50">
            <v>0</v>
          </cell>
          <cell r="DM50">
            <v>0</v>
          </cell>
          <cell r="DN50">
            <v>0</v>
          </cell>
          <cell r="DO50" t="str">
            <v>GANHO/PERDA</v>
          </cell>
        </row>
        <row r="51">
          <cell r="BB51" t="str">
            <v>PETROBRAS</v>
          </cell>
          <cell r="BC51">
            <v>0</v>
          </cell>
          <cell r="BD51">
            <v>0</v>
          </cell>
          <cell r="BE51">
            <v>16345</v>
          </cell>
          <cell r="BF51">
            <v>0</v>
          </cell>
          <cell r="BG51">
            <v>5617</v>
          </cell>
          <cell r="BH51">
            <v>0</v>
          </cell>
          <cell r="BI51">
            <v>0</v>
          </cell>
          <cell r="BJ51" t="str">
            <v>VC - EXTERIOR</v>
          </cell>
          <cell r="BK51">
            <v>14222</v>
          </cell>
          <cell r="BL51">
            <v>11691</v>
          </cell>
          <cell r="BM51">
            <v>0</v>
          </cell>
          <cell r="BO51">
            <v>0</v>
          </cell>
          <cell r="BP51">
            <v>0</v>
          </cell>
          <cell r="BQ51" t="str">
            <v>PETROBRAS</v>
          </cell>
          <cell r="BR51">
            <v>0</v>
          </cell>
          <cell r="BS51">
            <v>0</v>
          </cell>
          <cell r="BT51">
            <v>16434</v>
          </cell>
          <cell r="BU51">
            <v>0</v>
          </cell>
          <cell r="BV51">
            <v>0</v>
          </cell>
          <cell r="BW51">
            <v>0</v>
          </cell>
          <cell r="BX51">
            <v>0</v>
          </cell>
          <cell r="BY51">
            <v>0</v>
          </cell>
          <cell r="BZ51">
            <v>5670</v>
          </cell>
          <cell r="CA51">
            <v>0</v>
          </cell>
          <cell r="CB51" t="str">
            <v>VC - EXTERIOR</v>
          </cell>
          <cell r="CC51">
            <v>0</v>
          </cell>
          <cell r="CD51">
            <v>14307</v>
          </cell>
          <cell r="CE51">
            <v>11762</v>
          </cell>
          <cell r="CF51">
            <v>0</v>
          </cell>
          <cell r="CG51">
            <v>0</v>
          </cell>
          <cell r="CH51">
            <v>0</v>
          </cell>
          <cell r="CI51">
            <v>0</v>
          </cell>
          <cell r="CL51">
            <v>0</v>
          </cell>
          <cell r="CM51" t="str">
            <v>PETROBRAS</v>
          </cell>
          <cell r="CN51">
            <v>0</v>
          </cell>
          <cell r="CO51">
            <v>0</v>
          </cell>
          <cell r="CP51">
            <v>16345</v>
          </cell>
          <cell r="CQ51">
            <v>0</v>
          </cell>
          <cell r="CR51">
            <v>5617</v>
          </cell>
          <cell r="CS51">
            <v>0</v>
          </cell>
          <cell r="CT51">
            <v>0</v>
          </cell>
          <cell r="CU51" t="str">
            <v>VC - EXTERIOR</v>
          </cell>
          <cell r="CV51">
            <v>14222</v>
          </cell>
          <cell r="CW51">
            <v>11691</v>
          </cell>
          <cell r="CX51">
            <v>0</v>
          </cell>
          <cell r="CZ51">
            <v>0</v>
          </cell>
          <cell r="DA51">
            <v>0</v>
          </cell>
          <cell r="DB51" t="str">
            <v>PETROBRAS</v>
          </cell>
          <cell r="DC51">
            <v>0</v>
          </cell>
          <cell r="DD51">
            <v>0</v>
          </cell>
          <cell r="DE51">
            <v>16434</v>
          </cell>
          <cell r="DF51">
            <v>0</v>
          </cell>
          <cell r="DG51">
            <v>0</v>
          </cell>
          <cell r="DH51">
            <v>0</v>
          </cell>
          <cell r="DI51">
            <v>0</v>
          </cell>
          <cell r="DJ51">
            <v>0</v>
          </cell>
          <cell r="DK51">
            <v>5670</v>
          </cell>
          <cell r="DL51">
            <v>0</v>
          </cell>
          <cell r="DM51" t="str">
            <v>VC - EXTERIOR</v>
          </cell>
          <cell r="DN51">
            <v>0</v>
          </cell>
          <cell r="DO51">
            <v>14307</v>
          </cell>
          <cell r="DP51">
            <v>11762</v>
          </cell>
        </row>
        <row r="52">
          <cell r="G52" t="str">
            <v>PELA CORREÇÃO INTEGRAL</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Y52" t="str">
            <v>PELA CORREÇÃO INTEGRAL</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BA52">
            <v>0</v>
          </cell>
          <cell r="BB52" t="str">
            <v>PETROQUISA</v>
          </cell>
          <cell r="BC52">
            <v>0</v>
          </cell>
          <cell r="BD52">
            <v>0</v>
          </cell>
          <cell r="BE52">
            <v>0</v>
          </cell>
          <cell r="BF52">
            <v>0</v>
          </cell>
          <cell r="BG52">
            <v>16086</v>
          </cell>
          <cell r="BH52">
            <v>0</v>
          </cell>
          <cell r="BI52">
            <v>0</v>
          </cell>
          <cell r="BJ52">
            <v>0</v>
          </cell>
          <cell r="BK52">
            <v>0</v>
          </cell>
          <cell r="BL52">
            <v>0</v>
          </cell>
          <cell r="BM52">
            <v>0</v>
          </cell>
          <cell r="BO52">
            <v>0</v>
          </cell>
          <cell r="BP52">
            <v>0</v>
          </cell>
          <cell r="BQ52" t="str">
            <v>PETROQUISA</v>
          </cell>
          <cell r="BR52">
            <v>0</v>
          </cell>
          <cell r="BS52">
            <v>0</v>
          </cell>
          <cell r="BT52">
            <v>0</v>
          </cell>
          <cell r="BU52">
            <v>0</v>
          </cell>
          <cell r="BV52">
            <v>0</v>
          </cell>
          <cell r="BW52">
            <v>0</v>
          </cell>
          <cell r="BX52">
            <v>0</v>
          </cell>
          <cell r="BY52">
            <v>0</v>
          </cell>
          <cell r="BZ52">
            <v>16174</v>
          </cell>
          <cell r="CA52">
            <v>0</v>
          </cell>
          <cell r="CB52" t="str">
            <v>GANHO/PERDA AT.e</v>
          </cell>
          <cell r="CC52">
            <v>0</v>
          </cell>
          <cell r="CD52">
            <v>0</v>
          </cell>
          <cell r="CE52">
            <v>0</v>
          </cell>
          <cell r="CF52">
            <v>0</v>
          </cell>
          <cell r="CG52">
            <v>0</v>
          </cell>
          <cell r="CH52">
            <v>0</v>
          </cell>
          <cell r="CI52">
            <v>0</v>
          </cell>
          <cell r="CL52">
            <v>0</v>
          </cell>
          <cell r="CM52" t="str">
            <v>PETROQUISA</v>
          </cell>
          <cell r="CN52">
            <v>0</v>
          </cell>
          <cell r="CO52">
            <v>0</v>
          </cell>
          <cell r="CP52">
            <v>0</v>
          </cell>
          <cell r="CQ52">
            <v>0</v>
          </cell>
          <cell r="CR52">
            <v>16086</v>
          </cell>
          <cell r="CS52">
            <v>0</v>
          </cell>
          <cell r="CT52">
            <v>0</v>
          </cell>
          <cell r="CU52">
            <v>0</v>
          </cell>
          <cell r="CV52">
            <v>0</v>
          </cell>
          <cell r="CW52">
            <v>0</v>
          </cell>
          <cell r="CX52">
            <v>0</v>
          </cell>
          <cell r="CZ52">
            <v>0</v>
          </cell>
          <cell r="DA52">
            <v>0</v>
          </cell>
          <cell r="DB52" t="str">
            <v>PETROQUISA</v>
          </cell>
          <cell r="DC52">
            <v>0</v>
          </cell>
          <cell r="DD52">
            <v>0</v>
          </cell>
          <cell r="DE52">
            <v>0</v>
          </cell>
          <cell r="DF52">
            <v>0</v>
          </cell>
          <cell r="DG52">
            <v>0</v>
          </cell>
          <cell r="DH52">
            <v>0</v>
          </cell>
          <cell r="DI52">
            <v>0</v>
          </cell>
          <cell r="DJ52">
            <v>0</v>
          </cell>
          <cell r="DK52">
            <v>0</v>
          </cell>
          <cell r="DL52">
            <v>0</v>
          </cell>
          <cell r="DM52" t="str">
            <v>GANHO/PERDA AT.e</v>
          </cell>
        </row>
        <row r="53">
          <cell r="BB53" t="str">
            <v>PETROFÉRTIL</v>
          </cell>
          <cell r="BC53">
            <v>0</v>
          </cell>
          <cell r="BD53">
            <v>0</v>
          </cell>
          <cell r="BE53">
            <v>29</v>
          </cell>
          <cell r="BF53">
            <v>0</v>
          </cell>
          <cell r="BG53">
            <v>24</v>
          </cell>
          <cell r="BH53">
            <v>0</v>
          </cell>
          <cell r="BI53">
            <v>0</v>
          </cell>
          <cell r="BJ53">
            <v>0</v>
          </cell>
          <cell r="BK53">
            <v>0</v>
          </cell>
          <cell r="BL53">
            <v>0</v>
          </cell>
          <cell r="BM53">
            <v>0</v>
          </cell>
          <cell r="BO53">
            <v>0</v>
          </cell>
          <cell r="BP53">
            <v>0</v>
          </cell>
          <cell r="BQ53" t="str">
            <v>PETROFÉRTIL</v>
          </cell>
          <cell r="BR53">
            <v>0</v>
          </cell>
          <cell r="BS53">
            <v>0</v>
          </cell>
          <cell r="BT53">
            <v>46</v>
          </cell>
          <cell r="BU53">
            <v>0</v>
          </cell>
          <cell r="BV53">
            <v>0</v>
          </cell>
          <cell r="BW53">
            <v>0</v>
          </cell>
          <cell r="BX53">
            <v>0</v>
          </cell>
          <cell r="BY53">
            <v>0</v>
          </cell>
          <cell r="BZ53">
            <v>24</v>
          </cell>
          <cell r="CA53">
            <v>0</v>
          </cell>
          <cell r="CB53" t="str">
            <v>PASS-EXT.</v>
          </cell>
          <cell r="CC53">
            <v>0</v>
          </cell>
          <cell r="CD53">
            <v>8673.7647908481631</v>
          </cell>
          <cell r="CE53">
            <v>9102.1358327608195</v>
          </cell>
          <cell r="CF53">
            <v>0</v>
          </cell>
          <cell r="CG53">
            <v>0</v>
          </cell>
          <cell r="CH53">
            <v>0</v>
          </cell>
          <cell r="CI53">
            <v>0</v>
          </cell>
          <cell r="CL53">
            <v>0</v>
          </cell>
          <cell r="CM53" t="str">
            <v>PETROFÉRTIL</v>
          </cell>
          <cell r="CN53">
            <v>0</v>
          </cell>
          <cell r="CO53">
            <v>0</v>
          </cell>
          <cell r="CP53">
            <v>29</v>
          </cell>
          <cell r="CQ53">
            <v>0</v>
          </cell>
          <cell r="CR53">
            <v>25</v>
          </cell>
          <cell r="CS53">
            <v>0</v>
          </cell>
          <cell r="CT53">
            <v>0</v>
          </cell>
          <cell r="CU53">
            <v>0</v>
          </cell>
          <cell r="CV53">
            <v>0</v>
          </cell>
          <cell r="CW53">
            <v>0</v>
          </cell>
          <cell r="CX53">
            <v>0</v>
          </cell>
          <cell r="CZ53">
            <v>0</v>
          </cell>
          <cell r="DA53">
            <v>0</v>
          </cell>
          <cell r="DB53" t="str">
            <v>PETROFÉRTIL</v>
          </cell>
          <cell r="DC53">
            <v>0</v>
          </cell>
          <cell r="DD53">
            <v>0</v>
          </cell>
          <cell r="DE53">
            <v>0</v>
          </cell>
          <cell r="DF53">
            <v>0</v>
          </cell>
          <cell r="DG53">
            <v>0</v>
          </cell>
          <cell r="DH53">
            <v>0</v>
          </cell>
          <cell r="DI53">
            <v>0</v>
          </cell>
          <cell r="DJ53">
            <v>0</v>
          </cell>
          <cell r="DK53">
            <v>0</v>
          </cell>
          <cell r="DL53">
            <v>0</v>
          </cell>
          <cell r="DM53" t="str">
            <v>PASS-EXT.</v>
          </cell>
          <cell r="DN53">
            <v>0</v>
          </cell>
          <cell r="DO53">
            <v>8673.7647908481631</v>
          </cell>
          <cell r="DP53">
            <v>9102.1358327608195</v>
          </cell>
        </row>
        <row r="54">
          <cell r="G54" t="str">
            <v>CONTAS</v>
          </cell>
          <cell r="H54">
            <v>0</v>
          </cell>
          <cell r="I54">
            <v>0</v>
          </cell>
          <cell r="J54">
            <v>0</v>
          </cell>
          <cell r="K54">
            <v>0</v>
          </cell>
          <cell r="L54">
            <v>0</v>
          </cell>
          <cell r="M54">
            <v>0</v>
          </cell>
          <cell r="N54">
            <v>0</v>
          </cell>
          <cell r="O54">
            <v>0</v>
          </cell>
          <cell r="P54" t="str">
            <v/>
          </cell>
          <cell r="Q54" t="str">
            <v/>
          </cell>
          <cell r="R54" t="str">
            <v/>
          </cell>
          <cell r="S54">
            <v>0</v>
          </cell>
          <cell r="T54" t="str">
            <v/>
          </cell>
          <cell r="U54" t="str">
            <v/>
          </cell>
          <cell r="V54" t="str">
            <v/>
          </cell>
          <cell r="W54">
            <v>0</v>
          </cell>
          <cell r="Y54" t="str">
            <v>CONTAS</v>
          </cell>
          <cell r="Z54">
            <v>0</v>
          </cell>
          <cell r="AA54">
            <v>0</v>
          </cell>
          <cell r="AB54">
            <v>0</v>
          </cell>
          <cell r="AC54">
            <v>0</v>
          </cell>
          <cell r="AD54">
            <v>0</v>
          </cell>
          <cell r="AE54">
            <v>0</v>
          </cell>
          <cell r="AF54">
            <v>0</v>
          </cell>
          <cell r="AG54">
            <v>0</v>
          </cell>
          <cell r="AH54" t="str">
            <v/>
          </cell>
          <cell r="AI54" t="str">
            <v/>
          </cell>
          <cell r="AJ54" t="str">
            <v/>
          </cell>
          <cell r="AK54">
            <v>0</v>
          </cell>
          <cell r="AL54" t="str">
            <v/>
          </cell>
          <cell r="AM54" t="str">
            <v/>
          </cell>
          <cell r="AN54" t="str">
            <v/>
          </cell>
          <cell r="AO54">
            <v>0</v>
          </cell>
          <cell r="BA54">
            <v>0</v>
          </cell>
          <cell r="BB54" t="str">
            <v>BRASPETRO</v>
          </cell>
          <cell r="BC54">
            <v>0</v>
          </cell>
          <cell r="BD54">
            <v>0</v>
          </cell>
          <cell r="BE54">
            <v>148</v>
          </cell>
          <cell r="BF54">
            <v>0</v>
          </cell>
          <cell r="BG54">
            <v>0</v>
          </cell>
          <cell r="BH54">
            <v>0</v>
          </cell>
          <cell r="BI54">
            <v>0</v>
          </cell>
          <cell r="BJ54">
            <v>0</v>
          </cell>
          <cell r="BK54">
            <v>0</v>
          </cell>
          <cell r="BL54">
            <v>0</v>
          </cell>
          <cell r="BM54">
            <v>0</v>
          </cell>
          <cell r="BO54">
            <v>0</v>
          </cell>
          <cell r="BP54">
            <v>0</v>
          </cell>
          <cell r="BQ54" t="str">
            <v>BRASPETRO</v>
          </cell>
          <cell r="BR54">
            <v>0</v>
          </cell>
          <cell r="BS54">
            <v>0</v>
          </cell>
          <cell r="BT54">
            <v>148</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L54">
            <v>0</v>
          </cell>
          <cell r="CM54" t="str">
            <v>BRASPETRO</v>
          </cell>
          <cell r="CN54">
            <v>0</v>
          </cell>
          <cell r="CO54">
            <v>0</v>
          </cell>
          <cell r="CP54">
            <v>73</v>
          </cell>
          <cell r="CQ54">
            <v>0</v>
          </cell>
          <cell r="CR54">
            <v>102</v>
          </cell>
          <cell r="CS54">
            <v>0</v>
          </cell>
          <cell r="CT54">
            <v>0</v>
          </cell>
          <cell r="CU54">
            <v>0</v>
          </cell>
          <cell r="CV54">
            <v>0</v>
          </cell>
          <cell r="CW54">
            <v>0</v>
          </cell>
          <cell r="CX54">
            <v>0</v>
          </cell>
          <cell r="CZ54">
            <v>0</v>
          </cell>
          <cell r="DA54">
            <v>0</v>
          </cell>
          <cell r="DB54" t="str">
            <v>BRASPETRO</v>
          </cell>
          <cell r="DC54">
            <v>0</v>
          </cell>
          <cell r="DD54">
            <v>0</v>
          </cell>
          <cell r="DE54">
            <v>0</v>
          </cell>
          <cell r="DF54">
            <v>0</v>
          </cell>
          <cell r="DG54">
            <v>0</v>
          </cell>
          <cell r="DH54">
            <v>0</v>
          </cell>
          <cell r="DI54">
            <v>0</v>
          </cell>
          <cell r="DJ54">
            <v>0</v>
          </cell>
          <cell r="DK54">
            <v>0</v>
          </cell>
        </row>
        <row r="55">
          <cell r="G55">
            <v>3540</v>
          </cell>
          <cell r="H55" t="str">
            <v>TOTAL</v>
          </cell>
          <cell r="I55">
            <v>0</v>
          </cell>
          <cell r="J55">
            <v>0</v>
          </cell>
          <cell r="K55">
            <v>0</v>
          </cell>
          <cell r="L55">
            <v>0</v>
          </cell>
          <cell r="M55">
            <v>0</v>
          </cell>
          <cell r="N55">
            <v>0</v>
          </cell>
          <cell r="O55">
            <v>0</v>
          </cell>
          <cell r="P55" t="str">
            <v/>
          </cell>
          <cell r="Q55" t="str">
            <v/>
          </cell>
          <cell r="R55" t="str">
            <v/>
          </cell>
          <cell r="S55">
            <v>0</v>
          </cell>
          <cell r="T55" t="str">
            <v/>
          </cell>
          <cell r="U55" t="str">
            <v/>
          </cell>
          <cell r="V55" t="str">
            <v/>
          </cell>
          <cell r="W55" t="str">
            <v>TOTAL</v>
          </cell>
          <cell r="Y55">
            <v>3540</v>
          </cell>
          <cell r="Z55" t="str">
            <v>TOTAL</v>
          </cell>
          <cell r="AA55">
            <v>0</v>
          </cell>
          <cell r="AB55">
            <v>0</v>
          </cell>
          <cell r="AC55">
            <v>0</v>
          </cell>
          <cell r="AD55">
            <v>0</v>
          </cell>
          <cell r="AE55">
            <v>0</v>
          </cell>
          <cell r="AF55">
            <v>0</v>
          </cell>
          <cell r="AG55">
            <v>0</v>
          </cell>
          <cell r="AH55" t="str">
            <v/>
          </cell>
          <cell r="AI55" t="str">
            <v/>
          </cell>
          <cell r="AJ55" t="str">
            <v/>
          </cell>
          <cell r="AK55">
            <v>0</v>
          </cell>
          <cell r="AL55" t="str">
            <v/>
          </cell>
          <cell r="AM55" t="str">
            <v/>
          </cell>
          <cell r="AN55" t="str">
            <v/>
          </cell>
          <cell r="AO55" t="str">
            <v>TOTAL</v>
          </cell>
          <cell r="BA55">
            <v>0</v>
          </cell>
          <cell r="BB55" t="str">
            <v>BRASOIL</v>
          </cell>
          <cell r="BC55">
            <v>0</v>
          </cell>
          <cell r="BD55">
            <v>0</v>
          </cell>
          <cell r="BE55">
            <v>22</v>
          </cell>
          <cell r="BF55">
            <v>0</v>
          </cell>
          <cell r="BG55">
            <v>0</v>
          </cell>
          <cell r="BH55">
            <v>0</v>
          </cell>
          <cell r="BI55">
            <v>0</v>
          </cell>
          <cell r="BJ55">
            <v>0</v>
          </cell>
          <cell r="BK55">
            <v>0</v>
          </cell>
          <cell r="BL55">
            <v>0</v>
          </cell>
          <cell r="BM55">
            <v>0</v>
          </cell>
          <cell r="BO55">
            <v>0</v>
          </cell>
          <cell r="BP55">
            <v>0</v>
          </cell>
          <cell r="BQ55" t="str">
            <v>BRASOIL</v>
          </cell>
          <cell r="BR55">
            <v>0</v>
          </cell>
          <cell r="BS55">
            <v>0</v>
          </cell>
          <cell r="BT55">
            <v>22</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L55">
            <v>0</v>
          </cell>
          <cell r="CM55" t="str">
            <v>BRASOIL</v>
          </cell>
          <cell r="CN55">
            <v>0</v>
          </cell>
          <cell r="CO55">
            <v>0</v>
          </cell>
          <cell r="CP55">
            <v>2111</v>
          </cell>
          <cell r="CQ55">
            <v>0</v>
          </cell>
          <cell r="CR55">
            <v>0</v>
          </cell>
          <cell r="CS55">
            <v>0</v>
          </cell>
          <cell r="CT55">
            <v>0</v>
          </cell>
          <cell r="CU55">
            <v>0</v>
          </cell>
          <cell r="CV55">
            <v>0</v>
          </cell>
          <cell r="CW55">
            <v>0</v>
          </cell>
          <cell r="CX55">
            <v>0</v>
          </cell>
          <cell r="CZ55">
            <v>0</v>
          </cell>
          <cell r="DA55">
            <v>0</v>
          </cell>
          <cell r="DB55" t="str">
            <v>BRASOIL</v>
          </cell>
          <cell r="DC55">
            <v>0</v>
          </cell>
          <cell r="DD55">
            <v>0</v>
          </cell>
          <cell r="DE55">
            <v>0</v>
          </cell>
          <cell r="DF55">
            <v>0</v>
          </cell>
          <cell r="DG55">
            <v>0</v>
          </cell>
          <cell r="DH55">
            <v>0</v>
          </cell>
          <cell r="DI55">
            <v>0</v>
          </cell>
          <cell r="DJ55">
            <v>0</v>
          </cell>
          <cell r="DK55">
            <v>0</v>
          </cell>
        </row>
        <row r="56">
          <cell r="G56">
            <v>3541</v>
          </cell>
          <cell r="H56" t="str">
            <v>JAN</v>
          </cell>
          <cell r="I56" t="str">
            <v>FEV</v>
          </cell>
          <cell r="J56" t="str">
            <v>MAR</v>
          </cell>
          <cell r="K56" t="str">
            <v>ACUMULADO</v>
          </cell>
          <cell r="L56" t="str">
            <v>ABR</v>
          </cell>
          <cell r="M56" t="str">
            <v>MAI</v>
          </cell>
          <cell r="N56" t="str">
            <v>JUN</v>
          </cell>
          <cell r="O56" t="str">
            <v>ACUMULADO</v>
          </cell>
          <cell r="P56" t="str">
            <v>JUL</v>
          </cell>
          <cell r="Q56" t="str">
            <v>AGO</v>
          </cell>
          <cell r="R56" t="str">
            <v>SET</v>
          </cell>
          <cell r="S56" t="str">
            <v>ACUMULADO</v>
          </cell>
          <cell r="T56" t="str">
            <v>OUT</v>
          </cell>
          <cell r="U56" t="str">
            <v>NOV</v>
          </cell>
          <cell r="V56" t="str">
            <v>DEZ</v>
          </cell>
          <cell r="W56" t="str">
            <v>ACUMULADO</v>
          </cell>
          <cell r="Y56">
            <v>3541</v>
          </cell>
          <cell r="Z56" t="str">
            <v>JAN</v>
          </cell>
          <cell r="AA56" t="str">
            <v>FEV</v>
          </cell>
          <cell r="AB56" t="str">
            <v>MAR</v>
          </cell>
          <cell r="AC56" t="str">
            <v>ACUMULADO</v>
          </cell>
          <cell r="AD56" t="str">
            <v>ABR</v>
          </cell>
          <cell r="AE56" t="str">
            <v>MAI</v>
          </cell>
          <cell r="AF56" t="str">
            <v>JUN</v>
          </cell>
          <cell r="AG56" t="str">
            <v>ACUMULADO</v>
          </cell>
          <cell r="AH56" t="str">
            <v>JUL</v>
          </cell>
          <cell r="AI56" t="str">
            <v>AGO</v>
          </cell>
          <cell r="AJ56" t="str">
            <v>SET</v>
          </cell>
          <cell r="AK56" t="str">
            <v>ACUMULADO</v>
          </cell>
          <cell r="AL56" t="str">
            <v>OUT</v>
          </cell>
          <cell r="AM56" t="str">
            <v>NOV</v>
          </cell>
          <cell r="AN56" t="str">
            <v>DEZ</v>
          </cell>
          <cell r="AO56" t="str">
            <v>ACUMULADO</v>
          </cell>
          <cell r="BA56">
            <v>0</v>
          </cell>
          <cell r="BB56" t="str">
            <v>PAI</v>
          </cell>
          <cell r="BC56">
            <v>0</v>
          </cell>
          <cell r="BD56">
            <v>0</v>
          </cell>
          <cell r="BE56">
            <v>0</v>
          </cell>
          <cell r="BF56">
            <v>0</v>
          </cell>
          <cell r="BG56">
            <v>0</v>
          </cell>
          <cell r="BH56">
            <v>0</v>
          </cell>
          <cell r="BI56">
            <v>0</v>
          </cell>
          <cell r="BJ56">
            <v>0</v>
          </cell>
          <cell r="BK56">
            <v>0</v>
          </cell>
          <cell r="BL56">
            <v>0</v>
          </cell>
          <cell r="BM56">
            <v>0</v>
          </cell>
          <cell r="BO56">
            <v>0</v>
          </cell>
          <cell r="BP56">
            <v>0</v>
          </cell>
          <cell r="BQ56" t="str">
            <v>PAI</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L56">
            <v>0</v>
          </cell>
          <cell r="CM56" t="str">
            <v>PAI</v>
          </cell>
          <cell r="CN56">
            <v>0</v>
          </cell>
          <cell r="CO56">
            <v>0</v>
          </cell>
          <cell r="CP56">
            <v>0</v>
          </cell>
          <cell r="CQ56">
            <v>0</v>
          </cell>
          <cell r="CR56">
            <v>1699</v>
          </cell>
          <cell r="CS56">
            <v>0</v>
          </cell>
          <cell r="CT56">
            <v>0</v>
          </cell>
          <cell r="CU56">
            <v>0</v>
          </cell>
          <cell r="CV56">
            <v>0</v>
          </cell>
          <cell r="CW56">
            <v>0</v>
          </cell>
          <cell r="CX56">
            <v>0</v>
          </cell>
          <cell r="CZ56">
            <v>0</v>
          </cell>
          <cell r="DA56">
            <v>0</v>
          </cell>
          <cell r="DB56" t="str">
            <v>PAI</v>
          </cell>
          <cell r="DC56">
            <v>0</v>
          </cell>
          <cell r="DD56">
            <v>0</v>
          </cell>
          <cell r="DE56">
            <v>0</v>
          </cell>
          <cell r="DF56">
            <v>0</v>
          </cell>
          <cell r="DG56">
            <v>0</v>
          </cell>
          <cell r="DH56">
            <v>0</v>
          </cell>
          <cell r="DI56">
            <v>0</v>
          </cell>
          <cell r="DJ56">
            <v>0</v>
          </cell>
          <cell r="DK56">
            <v>0</v>
          </cell>
        </row>
        <row r="57">
          <cell r="BB57" t="str">
            <v>BR</v>
          </cell>
          <cell r="BC57">
            <v>0</v>
          </cell>
          <cell r="BD57">
            <v>0</v>
          </cell>
          <cell r="BE57">
            <v>5418</v>
          </cell>
          <cell r="BF57">
            <v>0</v>
          </cell>
          <cell r="BG57">
            <v>235</v>
          </cell>
          <cell r="BH57">
            <v>0</v>
          </cell>
          <cell r="BI57">
            <v>0</v>
          </cell>
          <cell r="BJ57">
            <v>0</v>
          </cell>
          <cell r="BK57">
            <v>0</v>
          </cell>
          <cell r="BL57">
            <v>0</v>
          </cell>
          <cell r="BM57">
            <v>0</v>
          </cell>
          <cell r="BO57">
            <v>0</v>
          </cell>
          <cell r="BP57">
            <v>0</v>
          </cell>
          <cell r="BQ57" t="str">
            <v>BR</v>
          </cell>
          <cell r="BR57">
            <v>0</v>
          </cell>
          <cell r="BS57">
            <v>0</v>
          </cell>
          <cell r="BT57">
            <v>5454</v>
          </cell>
          <cell r="BU57">
            <v>0</v>
          </cell>
          <cell r="BV57">
            <v>0</v>
          </cell>
          <cell r="BW57">
            <v>0</v>
          </cell>
          <cell r="BX57">
            <v>0</v>
          </cell>
          <cell r="BY57">
            <v>0</v>
          </cell>
          <cell r="BZ57">
            <v>236</v>
          </cell>
          <cell r="CA57">
            <v>0</v>
          </cell>
          <cell r="CB57">
            <v>0</v>
          </cell>
          <cell r="CC57">
            <v>0</v>
          </cell>
          <cell r="CD57">
            <v>0</v>
          </cell>
          <cell r="CE57">
            <v>0</v>
          </cell>
          <cell r="CF57">
            <v>0</v>
          </cell>
          <cell r="CG57">
            <v>0</v>
          </cell>
          <cell r="CH57">
            <v>0</v>
          </cell>
          <cell r="CI57">
            <v>0</v>
          </cell>
          <cell r="CL57">
            <v>0</v>
          </cell>
          <cell r="CM57" t="str">
            <v>BR</v>
          </cell>
          <cell r="CN57">
            <v>0</v>
          </cell>
          <cell r="CO57">
            <v>0</v>
          </cell>
          <cell r="CP57">
            <v>1869</v>
          </cell>
          <cell r="CQ57">
            <v>0</v>
          </cell>
          <cell r="CR57">
            <v>69</v>
          </cell>
          <cell r="CS57">
            <v>0</v>
          </cell>
          <cell r="CT57">
            <v>0</v>
          </cell>
          <cell r="CU57">
            <v>0</v>
          </cell>
          <cell r="CV57">
            <v>0</v>
          </cell>
          <cell r="CW57">
            <v>0</v>
          </cell>
          <cell r="CX57">
            <v>0</v>
          </cell>
          <cell r="CZ57">
            <v>0</v>
          </cell>
          <cell r="DA57">
            <v>0</v>
          </cell>
          <cell r="DB57" t="str">
            <v>BR</v>
          </cell>
          <cell r="DC57">
            <v>0</v>
          </cell>
          <cell r="DD57">
            <v>0</v>
          </cell>
          <cell r="DE57">
            <v>0</v>
          </cell>
          <cell r="DF57">
            <v>0</v>
          </cell>
          <cell r="DG57">
            <v>0</v>
          </cell>
          <cell r="DH57">
            <v>0</v>
          </cell>
          <cell r="DI57">
            <v>0</v>
          </cell>
          <cell r="DJ57">
            <v>0</v>
          </cell>
          <cell r="DK57">
            <v>0</v>
          </cell>
        </row>
        <row r="58">
          <cell r="G58" t="str">
            <v>PETROQUISA</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Y58" t="str">
            <v>PETROQUISA</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BA58">
            <v>0</v>
          </cell>
          <cell r="BB58" t="str">
            <v>VC - EXTERIOR</v>
          </cell>
          <cell r="BC58">
            <v>0</v>
          </cell>
          <cell r="BD58">
            <v>0</v>
          </cell>
          <cell r="BE58">
            <v>14222</v>
          </cell>
          <cell r="BF58">
            <v>0</v>
          </cell>
          <cell r="BG58">
            <v>11691</v>
          </cell>
          <cell r="BH58">
            <v>0</v>
          </cell>
          <cell r="BI58">
            <v>0</v>
          </cell>
          <cell r="BJ58">
            <v>0</v>
          </cell>
          <cell r="BK58">
            <v>0</v>
          </cell>
          <cell r="BL58">
            <v>0</v>
          </cell>
          <cell r="BM58">
            <v>0</v>
          </cell>
          <cell r="BO58">
            <v>0</v>
          </cell>
          <cell r="BP58">
            <v>0</v>
          </cell>
          <cell r="BQ58" t="str">
            <v>VC - EXTERIOR</v>
          </cell>
          <cell r="BR58">
            <v>0</v>
          </cell>
          <cell r="BS58">
            <v>0</v>
          </cell>
          <cell r="BT58">
            <v>14307</v>
          </cell>
          <cell r="BU58">
            <v>0</v>
          </cell>
          <cell r="BV58">
            <v>0</v>
          </cell>
          <cell r="BW58">
            <v>0</v>
          </cell>
          <cell r="BX58">
            <v>0</v>
          </cell>
          <cell r="BY58">
            <v>0</v>
          </cell>
          <cell r="BZ58">
            <v>11762</v>
          </cell>
          <cell r="CA58">
            <v>0</v>
          </cell>
          <cell r="CB58">
            <v>0</v>
          </cell>
          <cell r="CC58">
            <v>0</v>
          </cell>
          <cell r="CD58">
            <v>0</v>
          </cell>
          <cell r="CE58">
            <v>0</v>
          </cell>
          <cell r="CF58">
            <v>0</v>
          </cell>
          <cell r="CG58">
            <v>0</v>
          </cell>
          <cell r="CH58">
            <v>0</v>
          </cell>
          <cell r="CI58">
            <v>0</v>
          </cell>
          <cell r="CL58">
            <v>0</v>
          </cell>
          <cell r="CM58" t="str">
            <v>VC - EXTERIOR</v>
          </cell>
          <cell r="CN58">
            <v>0</v>
          </cell>
          <cell r="CO58">
            <v>0</v>
          </cell>
          <cell r="CP58">
            <v>14222</v>
          </cell>
          <cell r="CQ58">
            <v>0</v>
          </cell>
          <cell r="CR58">
            <v>11691</v>
          </cell>
          <cell r="CS58">
            <v>0</v>
          </cell>
          <cell r="CT58">
            <v>0</v>
          </cell>
          <cell r="CU58">
            <v>0</v>
          </cell>
          <cell r="CV58">
            <v>0</v>
          </cell>
          <cell r="CW58">
            <v>0</v>
          </cell>
          <cell r="CX58">
            <v>0</v>
          </cell>
          <cell r="CZ58">
            <v>0</v>
          </cell>
          <cell r="DA58">
            <v>0</v>
          </cell>
          <cell r="DB58" t="str">
            <v>VC - EXTERIOR</v>
          </cell>
          <cell r="DC58">
            <v>0</v>
          </cell>
          <cell r="DD58">
            <v>0</v>
          </cell>
          <cell r="DE58">
            <v>14307</v>
          </cell>
          <cell r="DF58">
            <v>0</v>
          </cell>
          <cell r="DG58">
            <v>0</v>
          </cell>
          <cell r="DH58">
            <v>0</v>
          </cell>
          <cell r="DI58">
            <v>0</v>
          </cell>
          <cell r="DJ58">
            <v>0</v>
          </cell>
          <cell r="DK58">
            <v>11762</v>
          </cell>
        </row>
        <row r="59">
          <cell r="G59" t="str">
            <v>- Despesa financeira - 3540.002/005</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Y59" t="str">
            <v>- Receita financeira - 3540.012/014</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BA59">
            <v>0</v>
          </cell>
          <cell r="BB59">
            <v>0</v>
          </cell>
          <cell r="BC59">
            <v>0</v>
          </cell>
          <cell r="BD59">
            <v>0</v>
          </cell>
          <cell r="BE59">
            <v>36184</v>
          </cell>
          <cell r="BF59">
            <v>0</v>
          </cell>
          <cell r="BG59">
            <v>33653</v>
          </cell>
          <cell r="BH59">
            <v>0</v>
          </cell>
          <cell r="BI59">
            <v>0</v>
          </cell>
          <cell r="BJ59">
            <v>0</v>
          </cell>
          <cell r="BK59">
            <v>0</v>
          </cell>
          <cell r="BL59">
            <v>-2531</v>
          </cell>
          <cell r="BM59">
            <v>0</v>
          </cell>
          <cell r="BO59">
            <v>0</v>
          </cell>
          <cell r="BP59">
            <v>0</v>
          </cell>
          <cell r="BQ59" t="str">
            <v>PERDA AT.MONET-PAÍS</v>
          </cell>
          <cell r="BR59">
            <v>0</v>
          </cell>
          <cell r="BS59">
            <v>4376.2352091518378</v>
          </cell>
          <cell r="BT59">
            <v>0</v>
          </cell>
          <cell r="BU59">
            <v>0</v>
          </cell>
          <cell r="BV59">
            <v>0</v>
          </cell>
          <cell r="BW59" t="str">
            <v>GANHO PASS.MONET-PAÍS</v>
          </cell>
          <cell r="BX59">
            <v>0</v>
          </cell>
          <cell r="BY59">
            <v>0</v>
          </cell>
          <cell r="BZ59">
            <v>0</v>
          </cell>
          <cell r="CA59">
            <v>10579.864167239179</v>
          </cell>
          <cell r="CB59">
            <v>0</v>
          </cell>
          <cell r="CC59">
            <v>0</v>
          </cell>
          <cell r="CD59">
            <v>0</v>
          </cell>
          <cell r="CE59">
            <v>0</v>
          </cell>
          <cell r="CF59">
            <v>0</v>
          </cell>
          <cell r="CG59">
            <v>0</v>
          </cell>
          <cell r="CH59">
            <v>0</v>
          </cell>
          <cell r="CI59">
            <v>0</v>
          </cell>
          <cell r="CL59">
            <v>0</v>
          </cell>
          <cell r="CM59">
            <v>0</v>
          </cell>
          <cell r="CN59">
            <v>0</v>
          </cell>
          <cell r="CO59">
            <v>0</v>
          </cell>
          <cell r="CP59">
            <v>34649</v>
          </cell>
          <cell r="CQ59">
            <v>0</v>
          </cell>
          <cell r="CR59">
            <v>35289</v>
          </cell>
          <cell r="CS59">
            <v>0</v>
          </cell>
          <cell r="CT59">
            <v>0</v>
          </cell>
          <cell r="CU59">
            <v>0</v>
          </cell>
          <cell r="CV59">
            <v>0</v>
          </cell>
          <cell r="CW59">
            <v>-2531</v>
          </cell>
          <cell r="CX59">
            <v>0</v>
          </cell>
          <cell r="CZ59">
            <v>0</v>
          </cell>
          <cell r="DA59">
            <v>0</v>
          </cell>
          <cell r="DB59" t="str">
            <v>PERDA AT.MONET-PAÍS</v>
          </cell>
          <cell r="DC59">
            <v>0</v>
          </cell>
          <cell r="DD59">
            <v>0</v>
          </cell>
          <cell r="DE59">
            <v>4143.2352091518378</v>
          </cell>
          <cell r="DF59" t="str">
            <v>GANHO PASS.MONET-PAÍS</v>
          </cell>
          <cell r="DG59">
            <v>0</v>
          </cell>
          <cell r="DH59">
            <v>0</v>
          </cell>
          <cell r="DI59">
            <v>0</v>
          </cell>
          <cell r="DJ59">
            <v>0</v>
          </cell>
          <cell r="DK59">
            <v>10460.864167239179</v>
          </cell>
        </row>
        <row r="60">
          <cell r="G60" t="str">
            <v>- Desp.variação cambial - 3541.012</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Y60" t="str">
            <v>- Rec.var.cambial - 3542.012/015/022</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BA60">
            <v>0</v>
          </cell>
          <cell r="BB60">
            <v>0</v>
          </cell>
          <cell r="BC60">
            <v>0</v>
          </cell>
          <cell r="BD60">
            <v>0</v>
          </cell>
          <cell r="BE60">
            <v>0</v>
          </cell>
          <cell r="BF60">
            <v>0</v>
          </cell>
          <cell r="BG60">
            <v>0</v>
          </cell>
          <cell r="BH60">
            <v>0</v>
          </cell>
          <cell r="BI60">
            <v>0</v>
          </cell>
          <cell r="BJ60">
            <v>0</v>
          </cell>
          <cell r="BK60">
            <v>0</v>
          </cell>
          <cell r="BL60">
            <v>0</v>
          </cell>
          <cell r="BM60">
            <v>0</v>
          </cell>
          <cell r="BO60">
            <v>0</v>
          </cell>
          <cell r="BP60">
            <v>0</v>
          </cell>
          <cell r="BQ60" t="str">
            <v>PERDA AT.MONET.-BRASP</v>
          </cell>
          <cell r="BR60">
            <v>0</v>
          </cell>
          <cell r="BS60">
            <v>10579.864167239179</v>
          </cell>
          <cell r="BT60">
            <v>0</v>
          </cell>
          <cell r="BU60">
            <v>0</v>
          </cell>
          <cell r="BV60">
            <v>0</v>
          </cell>
          <cell r="BW60" t="str">
            <v>GANHO PASS.AT.MONET.-BRASP</v>
          </cell>
          <cell r="BX60">
            <v>0</v>
          </cell>
          <cell r="BY60">
            <v>0</v>
          </cell>
          <cell r="BZ60">
            <v>0</v>
          </cell>
          <cell r="CA60">
            <v>4376.2352091518378</v>
          </cell>
          <cell r="CB60">
            <v>0</v>
          </cell>
          <cell r="CC60">
            <v>0</v>
          </cell>
          <cell r="CD60">
            <v>0</v>
          </cell>
          <cell r="CE60">
            <v>0</v>
          </cell>
          <cell r="CF60">
            <v>0</v>
          </cell>
          <cell r="CG60">
            <v>0</v>
          </cell>
          <cell r="CH60">
            <v>0</v>
          </cell>
          <cell r="CI60">
            <v>0</v>
          </cell>
          <cell r="CL60">
            <v>0</v>
          </cell>
          <cell r="CM60">
            <v>0</v>
          </cell>
          <cell r="CN60">
            <v>0</v>
          </cell>
          <cell r="CO60">
            <v>0</v>
          </cell>
          <cell r="CP60">
            <v>0</v>
          </cell>
          <cell r="CQ60">
            <v>0</v>
          </cell>
          <cell r="CR60">
            <v>0</v>
          </cell>
          <cell r="CS60">
            <v>0</v>
          </cell>
          <cell r="CT60">
            <v>0</v>
          </cell>
          <cell r="CU60">
            <v>0</v>
          </cell>
          <cell r="CV60">
            <v>0</v>
          </cell>
          <cell r="CW60">
            <v>0</v>
          </cell>
          <cell r="CX60">
            <v>0</v>
          </cell>
          <cell r="CZ60">
            <v>0</v>
          </cell>
          <cell r="DA60">
            <v>0</v>
          </cell>
          <cell r="DB60" t="str">
            <v>PERDA AT.MONET.-BRASP</v>
          </cell>
          <cell r="DC60">
            <v>0</v>
          </cell>
          <cell r="DD60">
            <v>0</v>
          </cell>
          <cell r="DE60">
            <v>0</v>
          </cell>
          <cell r="DF60" t="str">
            <v>GANHO PASS.AT.MONET.-BRASP</v>
          </cell>
          <cell r="DG60">
            <v>0</v>
          </cell>
          <cell r="DH60">
            <v>0</v>
          </cell>
          <cell r="DI60">
            <v>0</v>
          </cell>
          <cell r="DJ60">
            <v>0</v>
          </cell>
          <cell r="DK60">
            <v>0</v>
          </cell>
        </row>
        <row r="61">
          <cell r="G61" t="str">
            <v>- Desp.cor.monet. - 3541.002/022</v>
          </cell>
          <cell r="H61">
            <v>5690</v>
          </cell>
          <cell r="I61">
            <v>5231</v>
          </cell>
          <cell r="J61">
            <v>5253</v>
          </cell>
          <cell r="K61">
            <v>16174</v>
          </cell>
          <cell r="L61">
            <v>0</v>
          </cell>
          <cell r="M61">
            <v>0</v>
          </cell>
          <cell r="N61">
            <v>0</v>
          </cell>
          <cell r="O61">
            <v>16174</v>
          </cell>
          <cell r="P61">
            <v>0</v>
          </cell>
          <cell r="Q61">
            <v>0</v>
          </cell>
          <cell r="R61">
            <v>0</v>
          </cell>
          <cell r="S61">
            <v>16174</v>
          </cell>
          <cell r="T61">
            <v>0</v>
          </cell>
          <cell r="U61">
            <v>0</v>
          </cell>
          <cell r="V61">
            <v>0</v>
          </cell>
          <cell r="W61">
            <v>16174</v>
          </cell>
          <cell r="Y61" t="str">
            <v>- Rec.cor.monet. -  3542.002/004/025</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BA61">
            <v>0</v>
          </cell>
          <cell r="BB61">
            <v>0</v>
          </cell>
          <cell r="BC61">
            <v>0</v>
          </cell>
          <cell r="BD61">
            <v>0</v>
          </cell>
          <cell r="BE61">
            <v>0</v>
          </cell>
          <cell r="BF61">
            <v>0</v>
          </cell>
          <cell r="BG61">
            <v>0</v>
          </cell>
          <cell r="BH61">
            <v>0</v>
          </cell>
          <cell r="BI61">
            <v>0</v>
          </cell>
          <cell r="BJ61">
            <v>0</v>
          </cell>
          <cell r="BK61">
            <v>0</v>
          </cell>
          <cell r="BL61">
            <v>0</v>
          </cell>
          <cell r="BM61">
            <v>0</v>
          </cell>
          <cell r="BO61">
            <v>0</v>
          </cell>
          <cell r="BP61">
            <v>0</v>
          </cell>
          <cell r="BQ61" t="str">
            <v>PERDA AT.MONET.-EXTERIOR</v>
          </cell>
          <cell r="BR61">
            <v>0</v>
          </cell>
          <cell r="BS61">
            <v>9102.1358327608195</v>
          </cell>
          <cell r="BT61">
            <v>0</v>
          </cell>
          <cell r="BU61">
            <v>0</v>
          </cell>
          <cell r="BV61">
            <v>0</v>
          </cell>
          <cell r="BW61" t="str">
            <v>GANHO PASS.-EXTERIOR</v>
          </cell>
          <cell r="BX61">
            <v>0</v>
          </cell>
          <cell r="BY61">
            <v>0</v>
          </cell>
          <cell r="BZ61">
            <v>0</v>
          </cell>
          <cell r="CA61">
            <v>8673.7647908481631</v>
          </cell>
          <cell r="CB61">
            <v>0</v>
          </cell>
          <cell r="CC61">
            <v>0</v>
          </cell>
          <cell r="CD61">
            <v>0</v>
          </cell>
          <cell r="CE61">
            <v>0</v>
          </cell>
          <cell r="CF61">
            <v>0</v>
          </cell>
          <cell r="CG61">
            <v>0</v>
          </cell>
          <cell r="CH61">
            <v>0</v>
          </cell>
          <cell r="CI61">
            <v>0</v>
          </cell>
          <cell r="CL61">
            <v>0</v>
          </cell>
          <cell r="CM61">
            <v>0</v>
          </cell>
          <cell r="CN61">
            <v>0</v>
          </cell>
          <cell r="CO61">
            <v>0</v>
          </cell>
          <cell r="CP61">
            <v>0</v>
          </cell>
          <cell r="CQ61">
            <v>0</v>
          </cell>
          <cell r="CR61">
            <v>0</v>
          </cell>
          <cell r="CS61">
            <v>0</v>
          </cell>
          <cell r="CT61">
            <v>0</v>
          </cell>
          <cell r="CU61">
            <v>0</v>
          </cell>
          <cell r="CV61">
            <v>0</v>
          </cell>
          <cell r="CW61">
            <v>0</v>
          </cell>
          <cell r="CX61">
            <v>0</v>
          </cell>
          <cell r="CZ61">
            <v>0</v>
          </cell>
          <cell r="DA61">
            <v>0</v>
          </cell>
          <cell r="DB61" t="str">
            <v>PERDA AT.MONET.-BR</v>
          </cell>
          <cell r="DC61">
            <v>0</v>
          </cell>
          <cell r="DD61">
            <v>0</v>
          </cell>
          <cell r="DE61">
            <v>0</v>
          </cell>
          <cell r="DF61" t="str">
            <v>GANHO PASS.AT.MONET.-BR</v>
          </cell>
          <cell r="DG61">
            <v>0</v>
          </cell>
          <cell r="DH61">
            <v>0</v>
          </cell>
          <cell r="DI61">
            <v>0</v>
          </cell>
          <cell r="DJ61">
            <v>0</v>
          </cell>
          <cell r="DK61">
            <v>0</v>
          </cell>
        </row>
        <row r="62">
          <cell r="G62" t="str">
            <v>- Total</v>
          </cell>
          <cell r="H62">
            <v>5690</v>
          </cell>
          <cell r="I62">
            <v>5231</v>
          </cell>
          <cell r="J62">
            <v>5253</v>
          </cell>
          <cell r="K62">
            <v>16174</v>
          </cell>
          <cell r="L62">
            <v>0</v>
          </cell>
          <cell r="M62">
            <v>0</v>
          </cell>
          <cell r="N62">
            <v>0</v>
          </cell>
          <cell r="O62">
            <v>16174</v>
          </cell>
          <cell r="P62">
            <v>0</v>
          </cell>
          <cell r="Q62">
            <v>0</v>
          </cell>
          <cell r="R62">
            <v>0</v>
          </cell>
          <cell r="S62">
            <v>16174</v>
          </cell>
          <cell r="T62">
            <v>0</v>
          </cell>
          <cell r="U62">
            <v>0</v>
          </cell>
          <cell r="V62">
            <v>0</v>
          </cell>
          <cell r="W62">
            <v>16174</v>
          </cell>
          <cell r="Y62" t="str">
            <v>- Total</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BA62">
            <v>0</v>
          </cell>
          <cell r="BB62" t="str">
            <v>RESUMO DOS LANÇAMENTOS DE ELIMINAÇÃO NO CONSOLIDADO</v>
          </cell>
          <cell r="BC62">
            <v>0</v>
          </cell>
          <cell r="BD62">
            <v>0</v>
          </cell>
          <cell r="BE62">
            <v>0</v>
          </cell>
          <cell r="BF62">
            <v>0</v>
          </cell>
          <cell r="BG62">
            <v>0</v>
          </cell>
          <cell r="BH62">
            <v>0</v>
          </cell>
          <cell r="BI62">
            <v>0</v>
          </cell>
          <cell r="BJ62">
            <v>0</v>
          </cell>
          <cell r="BK62">
            <v>0</v>
          </cell>
          <cell r="BL62">
            <v>0</v>
          </cell>
          <cell r="BM62">
            <v>0</v>
          </cell>
          <cell r="BO62">
            <v>0</v>
          </cell>
          <cell r="BP62">
            <v>0</v>
          </cell>
          <cell r="BQ62">
            <v>0</v>
          </cell>
          <cell r="BR62">
            <v>0</v>
          </cell>
          <cell r="BS62">
            <v>0</v>
          </cell>
          <cell r="BT62">
            <v>12352.764790848167</v>
          </cell>
          <cell r="BU62">
            <v>0</v>
          </cell>
          <cell r="BV62">
            <v>0</v>
          </cell>
          <cell r="BW62">
            <v>0</v>
          </cell>
          <cell r="BX62">
            <v>0</v>
          </cell>
          <cell r="BY62">
            <v>0</v>
          </cell>
          <cell r="BZ62">
            <v>10236.135832760821</v>
          </cell>
          <cell r="CA62">
            <v>0</v>
          </cell>
          <cell r="CB62">
            <v>0</v>
          </cell>
          <cell r="CC62">
            <v>0</v>
          </cell>
          <cell r="CD62">
            <v>22980.764790848163</v>
          </cell>
          <cell r="CE62">
            <v>20864.135832760818</v>
          </cell>
          <cell r="CF62">
            <v>0</v>
          </cell>
          <cell r="CG62">
            <v>0</v>
          </cell>
          <cell r="CH62">
            <v>0</v>
          </cell>
          <cell r="CI62">
            <v>0</v>
          </cell>
          <cell r="CL62">
            <v>0</v>
          </cell>
          <cell r="CM62" t="str">
            <v>RESUMO DOS LANÇAMENTOS DE ELIMINAÇÃO NO CONSOLIDADO</v>
          </cell>
          <cell r="CN62">
            <v>0</v>
          </cell>
          <cell r="CO62">
            <v>0</v>
          </cell>
          <cell r="CP62">
            <v>0</v>
          </cell>
          <cell r="CQ62">
            <v>0</v>
          </cell>
          <cell r="CR62">
            <v>0</v>
          </cell>
          <cell r="CS62">
            <v>0</v>
          </cell>
          <cell r="CT62">
            <v>0</v>
          </cell>
          <cell r="CU62">
            <v>0</v>
          </cell>
          <cell r="CV62">
            <v>0</v>
          </cell>
          <cell r="CW62">
            <v>0</v>
          </cell>
          <cell r="CX62">
            <v>0</v>
          </cell>
          <cell r="CZ62">
            <v>0</v>
          </cell>
          <cell r="DA62">
            <v>0</v>
          </cell>
          <cell r="DB62" t="str">
            <v>PERDA AT.MONET.-PETROF</v>
          </cell>
          <cell r="DC62">
            <v>0</v>
          </cell>
          <cell r="DD62">
            <v>0</v>
          </cell>
          <cell r="DE62">
            <v>0</v>
          </cell>
          <cell r="DF62" t="str">
            <v>GANHO PASS.AT.MONET.-PETROF</v>
          </cell>
          <cell r="DG62">
            <v>0</v>
          </cell>
          <cell r="DH62">
            <v>0</v>
          </cell>
          <cell r="DI62">
            <v>0</v>
          </cell>
          <cell r="DJ62">
            <v>0</v>
          </cell>
          <cell r="DK62">
            <v>0</v>
          </cell>
        </row>
        <row r="63">
          <cell r="G63" t="str">
            <v>PETROFERTIL</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Y63" t="str">
            <v>PETROFERTIL</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BA63">
            <v>0</v>
          </cell>
          <cell r="BB63">
            <v>0</v>
          </cell>
          <cell r="BC63">
            <v>0</v>
          </cell>
          <cell r="BD63">
            <v>0</v>
          </cell>
          <cell r="BE63">
            <v>0</v>
          </cell>
          <cell r="BF63">
            <v>0</v>
          </cell>
          <cell r="BG63">
            <v>0</v>
          </cell>
          <cell r="BH63">
            <v>0</v>
          </cell>
          <cell r="BI63">
            <v>0</v>
          </cell>
          <cell r="BJ63">
            <v>0</v>
          </cell>
          <cell r="BK63">
            <v>0</v>
          </cell>
          <cell r="BL63">
            <v>0</v>
          </cell>
          <cell r="BM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L63">
            <v>0</v>
          </cell>
          <cell r="CM63">
            <v>0</v>
          </cell>
          <cell r="CN63">
            <v>0</v>
          </cell>
          <cell r="CO63">
            <v>0</v>
          </cell>
          <cell r="CP63">
            <v>0</v>
          </cell>
          <cell r="CQ63">
            <v>0</v>
          </cell>
          <cell r="CR63">
            <v>0</v>
          </cell>
          <cell r="CS63">
            <v>0</v>
          </cell>
          <cell r="CT63">
            <v>0</v>
          </cell>
          <cell r="CU63">
            <v>0</v>
          </cell>
          <cell r="CV63">
            <v>0</v>
          </cell>
          <cell r="CW63">
            <v>0</v>
          </cell>
          <cell r="CX63">
            <v>0</v>
          </cell>
          <cell r="CZ63">
            <v>0</v>
          </cell>
          <cell r="DA63">
            <v>0</v>
          </cell>
          <cell r="DB63" t="str">
            <v>PERDA AT.MONET.-EXTERIOR</v>
          </cell>
          <cell r="DC63">
            <v>0</v>
          </cell>
          <cell r="DD63">
            <v>0</v>
          </cell>
          <cell r="DE63">
            <v>8673.7647908481631</v>
          </cell>
          <cell r="DF63" t="str">
            <v>GANHO PASS.-EXTERIOR</v>
          </cell>
          <cell r="DG63">
            <v>0</v>
          </cell>
          <cell r="DH63">
            <v>0</v>
          </cell>
          <cell r="DI63">
            <v>0</v>
          </cell>
          <cell r="DJ63">
            <v>0</v>
          </cell>
          <cell r="DK63">
            <v>9102.1358327608195</v>
          </cell>
        </row>
        <row r="64">
          <cell r="G64" t="str">
            <v>- Despesa financeira - 3540.002/005</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Y64" t="str">
            <v>- Receita financeira - 3540.012/014</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BA64">
            <v>0</v>
          </cell>
          <cell r="BB64" t="str">
            <v>D  -  RECEITA</v>
          </cell>
          <cell r="BC64">
            <v>0</v>
          </cell>
          <cell r="BD64">
            <v>0</v>
          </cell>
          <cell r="BE64">
            <v>33653</v>
          </cell>
          <cell r="BF64">
            <v>0</v>
          </cell>
          <cell r="BG64">
            <v>0</v>
          </cell>
          <cell r="BH64">
            <v>0</v>
          </cell>
          <cell r="BI64">
            <v>0</v>
          </cell>
          <cell r="BJ64">
            <v>0</v>
          </cell>
          <cell r="BK64">
            <v>0</v>
          </cell>
          <cell r="BL64">
            <v>0</v>
          </cell>
          <cell r="BM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-2116.6289580873454</v>
          </cell>
          <cell r="CF64">
            <v>0</v>
          </cell>
          <cell r="CG64">
            <v>0</v>
          </cell>
          <cell r="CH64">
            <v>0</v>
          </cell>
          <cell r="CI64">
            <v>0</v>
          </cell>
          <cell r="CL64">
            <v>0</v>
          </cell>
          <cell r="CM64" t="str">
            <v>D  -  RECEITA</v>
          </cell>
          <cell r="CN64">
            <v>0</v>
          </cell>
          <cell r="CO64">
            <v>0</v>
          </cell>
          <cell r="CP64">
            <v>35289</v>
          </cell>
          <cell r="CQ64">
            <v>0</v>
          </cell>
          <cell r="CR64">
            <v>0</v>
          </cell>
          <cell r="CS64">
            <v>0</v>
          </cell>
          <cell r="CT64">
            <v>0</v>
          </cell>
          <cell r="CU64">
            <v>0</v>
          </cell>
          <cell r="CV64">
            <v>0</v>
          </cell>
          <cell r="CW64">
            <v>0</v>
          </cell>
          <cell r="CX64">
            <v>0</v>
          </cell>
          <cell r="CZ64">
            <v>0</v>
          </cell>
          <cell r="DA64">
            <v>0</v>
          </cell>
          <cell r="DB64">
            <v>0</v>
          </cell>
          <cell r="DC64">
            <v>0</v>
          </cell>
          <cell r="DD64">
            <v>0</v>
          </cell>
          <cell r="DE64">
            <v>43558</v>
          </cell>
          <cell r="DF64">
            <v>0</v>
          </cell>
          <cell r="DG64">
            <v>0</v>
          </cell>
          <cell r="DH64">
            <v>0</v>
          </cell>
          <cell r="DI64">
            <v>0</v>
          </cell>
          <cell r="DJ64">
            <v>0</v>
          </cell>
          <cell r="DK64">
            <v>36995</v>
          </cell>
          <cell r="DL64">
            <v>0</v>
          </cell>
          <cell r="DM64">
            <v>0</v>
          </cell>
          <cell r="DN64">
            <v>0</v>
          </cell>
          <cell r="DO64">
            <v>22980.764790848163</v>
          </cell>
          <cell r="DP64">
            <v>20864.135832760818</v>
          </cell>
        </row>
        <row r="65">
          <cell r="G65" t="str">
            <v>- Desp.variação cambial - 3541.012</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Y65" t="str">
            <v>- Rec.var.cambial - 3542.012/015/022</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BA65">
            <v>0</v>
          </cell>
          <cell r="BB65" t="str">
            <v>C  -  DESPESA</v>
          </cell>
          <cell r="BC65">
            <v>0</v>
          </cell>
          <cell r="BD65">
            <v>0</v>
          </cell>
          <cell r="BE65">
            <v>36184</v>
          </cell>
          <cell r="BF65">
            <v>0</v>
          </cell>
          <cell r="BG65">
            <v>0</v>
          </cell>
          <cell r="BH65">
            <v>0</v>
          </cell>
          <cell r="BI65">
            <v>0</v>
          </cell>
          <cell r="BJ65">
            <v>0</v>
          </cell>
          <cell r="BK65">
            <v>0</v>
          </cell>
          <cell r="BL65">
            <v>0</v>
          </cell>
          <cell r="BM65">
            <v>0</v>
          </cell>
          <cell r="BO65">
            <v>0</v>
          </cell>
          <cell r="BP65" t="str">
            <v>RESUMO DOS LANÇAMENTOS DE ELIMINAÇÃO NO CONSOLIDADO</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L65">
            <v>0</v>
          </cell>
          <cell r="CM65" t="str">
            <v>C  -  DESPESA</v>
          </cell>
          <cell r="CN65">
            <v>0</v>
          </cell>
          <cell r="CO65">
            <v>0</v>
          </cell>
          <cell r="CP65">
            <v>34649</v>
          </cell>
        </row>
        <row r="66">
          <cell r="G66" t="str">
            <v>- Desp.cor.monet. - 3541.002/022</v>
          </cell>
          <cell r="H66">
            <v>0</v>
          </cell>
          <cell r="I66">
            <v>7</v>
          </cell>
          <cell r="J66">
            <v>17</v>
          </cell>
          <cell r="K66">
            <v>24</v>
          </cell>
          <cell r="L66">
            <v>0</v>
          </cell>
          <cell r="M66">
            <v>0</v>
          </cell>
          <cell r="N66">
            <v>0</v>
          </cell>
          <cell r="O66">
            <v>24</v>
          </cell>
          <cell r="P66">
            <v>0</v>
          </cell>
          <cell r="Q66">
            <v>0</v>
          </cell>
          <cell r="R66">
            <v>0</v>
          </cell>
          <cell r="S66">
            <v>24</v>
          </cell>
          <cell r="T66">
            <v>0</v>
          </cell>
          <cell r="U66">
            <v>0</v>
          </cell>
          <cell r="V66">
            <v>0</v>
          </cell>
          <cell r="W66">
            <v>24</v>
          </cell>
          <cell r="Y66" t="str">
            <v>- Rec.cor.monet. -  3542.002/004/025</v>
          </cell>
          <cell r="Z66">
            <v>2364</v>
          </cell>
          <cell r="AA66">
            <v>-2330</v>
          </cell>
          <cell r="AB66">
            <v>12</v>
          </cell>
          <cell r="AC66">
            <v>46</v>
          </cell>
          <cell r="AD66">
            <v>0</v>
          </cell>
          <cell r="AE66">
            <v>0</v>
          </cell>
          <cell r="AF66">
            <v>0</v>
          </cell>
          <cell r="AG66">
            <v>46</v>
          </cell>
          <cell r="AH66">
            <v>0</v>
          </cell>
          <cell r="AI66">
            <v>0</v>
          </cell>
          <cell r="AJ66">
            <v>0</v>
          </cell>
          <cell r="AK66">
            <v>46</v>
          </cell>
          <cell r="AL66">
            <v>0</v>
          </cell>
          <cell r="AM66">
            <v>0</v>
          </cell>
          <cell r="AN66">
            <v>0</v>
          </cell>
          <cell r="AO66">
            <v>46</v>
          </cell>
          <cell r="BA66">
            <v>0</v>
          </cell>
          <cell r="BB66" t="str">
            <v>D/C - GANHO/PERDA</v>
          </cell>
          <cell r="BC66">
            <v>0</v>
          </cell>
          <cell r="BD66">
            <v>0</v>
          </cell>
          <cell r="BE66">
            <v>-2531</v>
          </cell>
          <cell r="BF66">
            <v>0</v>
          </cell>
          <cell r="BG66">
            <v>0</v>
          </cell>
          <cell r="BH66">
            <v>0</v>
          </cell>
          <cell r="BI66">
            <v>0</v>
          </cell>
          <cell r="BJ66">
            <v>0</v>
          </cell>
          <cell r="BK66">
            <v>0</v>
          </cell>
          <cell r="BL66">
            <v>0</v>
          </cell>
          <cell r="BM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L66">
            <v>0</v>
          </cell>
          <cell r="CM66" t="str">
            <v>D/C - GANHO/PERDA</v>
          </cell>
          <cell r="CN66">
            <v>0</v>
          </cell>
          <cell r="CO66">
            <v>0</v>
          </cell>
          <cell r="CP66">
            <v>-2531</v>
          </cell>
          <cell r="CQ66">
            <v>0</v>
          </cell>
          <cell r="CR66">
            <v>0</v>
          </cell>
          <cell r="CS66">
            <v>0</v>
          </cell>
          <cell r="CT66">
            <v>0</v>
          </cell>
          <cell r="CU66">
            <v>0</v>
          </cell>
          <cell r="CV66">
            <v>0</v>
          </cell>
          <cell r="CW66">
            <v>0</v>
          </cell>
          <cell r="CX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-2116.6289580873454</v>
          </cell>
        </row>
        <row r="67">
          <cell r="G67" t="str">
            <v>- Total</v>
          </cell>
          <cell r="H67">
            <v>0</v>
          </cell>
          <cell r="I67">
            <v>7</v>
          </cell>
          <cell r="J67">
            <v>17</v>
          </cell>
          <cell r="K67">
            <v>24</v>
          </cell>
          <cell r="L67">
            <v>0</v>
          </cell>
          <cell r="M67">
            <v>0</v>
          </cell>
          <cell r="N67">
            <v>0</v>
          </cell>
          <cell r="O67">
            <v>24</v>
          </cell>
          <cell r="P67">
            <v>0</v>
          </cell>
          <cell r="Q67">
            <v>0</v>
          </cell>
          <cell r="R67">
            <v>0</v>
          </cell>
          <cell r="S67">
            <v>24</v>
          </cell>
          <cell r="T67">
            <v>0</v>
          </cell>
          <cell r="U67">
            <v>0</v>
          </cell>
          <cell r="V67">
            <v>0</v>
          </cell>
          <cell r="W67">
            <v>24</v>
          </cell>
          <cell r="Y67" t="str">
            <v>- Total</v>
          </cell>
          <cell r="Z67">
            <v>2364</v>
          </cell>
          <cell r="AA67">
            <v>-2330</v>
          </cell>
          <cell r="AB67">
            <v>12</v>
          </cell>
          <cell r="AC67">
            <v>46</v>
          </cell>
          <cell r="AD67">
            <v>0</v>
          </cell>
          <cell r="AE67">
            <v>0</v>
          </cell>
          <cell r="AF67">
            <v>0</v>
          </cell>
          <cell r="AG67">
            <v>46</v>
          </cell>
          <cell r="AH67">
            <v>0</v>
          </cell>
          <cell r="AI67">
            <v>0</v>
          </cell>
          <cell r="AJ67">
            <v>0</v>
          </cell>
          <cell r="AK67">
            <v>46</v>
          </cell>
          <cell r="AL67">
            <v>0</v>
          </cell>
          <cell r="AM67">
            <v>0</v>
          </cell>
          <cell r="AN67">
            <v>0</v>
          </cell>
          <cell r="AO67">
            <v>46</v>
          </cell>
          <cell r="BA67">
            <v>0</v>
          </cell>
          <cell r="BB67" t="str">
            <v>DIFERENÇA</v>
          </cell>
          <cell r="BC67">
            <v>0</v>
          </cell>
          <cell r="BD67">
            <v>0</v>
          </cell>
          <cell r="BE67">
            <v>0</v>
          </cell>
          <cell r="BF67">
            <v>0</v>
          </cell>
          <cell r="BG67">
            <v>0</v>
          </cell>
          <cell r="BH67">
            <v>0</v>
          </cell>
          <cell r="BI67">
            <v>0</v>
          </cell>
          <cell r="BJ67">
            <v>0</v>
          </cell>
          <cell r="BK67">
            <v>0</v>
          </cell>
          <cell r="BL67">
            <v>0</v>
          </cell>
          <cell r="BM67">
            <v>0</v>
          </cell>
          <cell r="BO67">
            <v>0</v>
          </cell>
          <cell r="BP67" t="str">
            <v>D  -  RECEITA</v>
          </cell>
          <cell r="BQ67">
            <v>0</v>
          </cell>
          <cell r="BR67">
            <v>10236.135832760821</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L67">
            <v>0</v>
          </cell>
          <cell r="CM67" t="str">
            <v>DIFERENÇA</v>
          </cell>
          <cell r="CN67">
            <v>0</v>
          </cell>
          <cell r="CO67">
            <v>0</v>
          </cell>
          <cell r="CP67">
            <v>3171</v>
          </cell>
          <cell r="CQ67">
            <v>0</v>
          </cell>
          <cell r="CR67">
            <v>0</v>
          </cell>
          <cell r="CS67">
            <v>0</v>
          </cell>
          <cell r="CT67">
            <v>0</v>
          </cell>
          <cell r="CU67">
            <v>0</v>
          </cell>
          <cell r="CV67">
            <v>0</v>
          </cell>
          <cell r="CW67">
            <v>0</v>
          </cell>
          <cell r="CX67">
            <v>0</v>
          </cell>
          <cell r="CZ67">
            <v>0</v>
          </cell>
          <cell r="DA67" t="str">
            <v>RESUMO DOS LANÇAMENTOS DE ELIMINAÇÃO NO CONSOLIDADO</v>
          </cell>
        </row>
        <row r="68">
          <cell r="G68" t="str">
            <v>BRASPETRO</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Y68" t="str">
            <v>BRASPETRO</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BO68">
            <v>0</v>
          </cell>
          <cell r="BP68" t="str">
            <v>C  -  DESPESA</v>
          </cell>
          <cell r="BQ68">
            <v>0</v>
          </cell>
          <cell r="BR68">
            <v>12352.764790848167</v>
          </cell>
        </row>
        <row r="69">
          <cell r="G69" t="str">
            <v>- Despesa financeira - 3540.002/005</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Y69" t="str">
            <v>- Receita financeira - 3540.012/014</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BO69">
            <v>0</v>
          </cell>
          <cell r="BP69" t="str">
            <v>D/C - GANHO/PERDA</v>
          </cell>
          <cell r="BQ69">
            <v>0</v>
          </cell>
          <cell r="BR69">
            <v>-2116.6289580873454</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Z69">
            <v>0</v>
          </cell>
          <cell r="DA69" t="str">
            <v>D  -  RECEITA</v>
          </cell>
          <cell r="DB69">
            <v>0</v>
          </cell>
          <cell r="DC69">
            <v>36995</v>
          </cell>
        </row>
        <row r="70">
          <cell r="G70" t="str">
            <v>- Desp.variação cambial - 3541.012</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Y70" t="str">
            <v>- Rec.var.cambial - 3542.012/015/022</v>
          </cell>
          <cell r="Z70">
            <v>0</v>
          </cell>
          <cell r="AA70">
            <v>1</v>
          </cell>
          <cell r="AB70">
            <v>147</v>
          </cell>
          <cell r="AC70">
            <v>148</v>
          </cell>
          <cell r="AD70">
            <v>0</v>
          </cell>
          <cell r="AE70">
            <v>0</v>
          </cell>
          <cell r="AF70">
            <v>0</v>
          </cell>
          <cell r="AG70">
            <v>148</v>
          </cell>
          <cell r="AH70">
            <v>0</v>
          </cell>
          <cell r="AI70">
            <v>0</v>
          </cell>
          <cell r="AJ70">
            <v>0</v>
          </cell>
          <cell r="AK70">
            <v>148</v>
          </cell>
          <cell r="AL70">
            <v>0</v>
          </cell>
          <cell r="AM70">
            <v>0</v>
          </cell>
          <cell r="AN70">
            <v>0</v>
          </cell>
          <cell r="AO70">
            <v>148</v>
          </cell>
          <cell r="BO70">
            <v>0</v>
          </cell>
          <cell r="BP70" t="str">
            <v>DIFERENÇA</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Z70">
            <v>0</v>
          </cell>
          <cell r="DA70" t="str">
            <v>C  -  DESPESA</v>
          </cell>
          <cell r="DB70">
            <v>0</v>
          </cell>
          <cell r="DC70">
            <v>43558</v>
          </cell>
        </row>
        <row r="71">
          <cell r="G71" t="str">
            <v>- Desp.cor.monet. - 3541.002/022</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Y71" t="str">
            <v>- Rec.cor.monet. -  3542.002/004/025</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CZ71">
            <v>0</v>
          </cell>
          <cell r="DA71" t="str">
            <v>D/C - GANHO/PERDA</v>
          </cell>
          <cell r="DB71">
            <v>0</v>
          </cell>
          <cell r="DC71">
            <v>-2116.6289580873454</v>
          </cell>
        </row>
        <row r="72">
          <cell r="G72" t="str">
            <v>- Total</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Y72" t="str">
            <v>- Total</v>
          </cell>
          <cell r="Z72">
            <v>0</v>
          </cell>
          <cell r="AA72">
            <v>1</v>
          </cell>
          <cell r="AB72">
            <v>147</v>
          </cell>
          <cell r="AC72">
            <v>148</v>
          </cell>
          <cell r="AD72">
            <v>0</v>
          </cell>
          <cell r="AE72">
            <v>0</v>
          </cell>
          <cell r="AF72">
            <v>0</v>
          </cell>
          <cell r="AG72">
            <v>148</v>
          </cell>
          <cell r="AH72">
            <v>0</v>
          </cell>
          <cell r="AI72">
            <v>0</v>
          </cell>
          <cell r="AJ72">
            <v>0</v>
          </cell>
          <cell r="AK72">
            <v>148</v>
          </cell>
          <cell r="AL72">
            <v>0</v>
          </cell>
          <cell r="AM72">
            <v>0</v>
          </cell>
          <cell r="AN72">
            <v>0</v>
          </cell>
          <cell r="AO72">
            <v>148</v>
          </cell>
          <cell r="CZ72">
            <v>0</v>
          </cell>
          <cell r="DA72" t="str">
            <v>DIFERENÇA</v>
          </cell>
          <cell r="DB72">
            <v>0</v>
          </cell>
          <cell r="DC72">
            <v>-4446.3710419126546</v>
          </cell>
        </row>
        <row r="73">
          <cell r="G73" t="str">
            <v>BRASOIL</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Y73" t="str">
            <v>BRASOIL</v>
          </cell>
        </row>
        <row r="74">
          <cell r="G74" t="str">
            <v>- Despesa financeira - 3540.002/005</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Y74" t="str">
            <v>- Receita financeira - 3540.012/014</v>
          </cell>
          <cell r="Z74">
            <v>22</v>
          </cell>
          <cell r="AA74">
            <v>0</v>
          </cell>
          <cell r="AB74">
            <v>0</v>
          </cell>
          <cell r="AC74">
            <v>22</v>
          </cell>
          <cell r="AD74">
            <v>0</v>
          </cell>
          <cell r="AE74">
            <v>0</v>
          </cell>
          <cell r="AF74">
            <v>0</v>
          </cell>
          <cell r="AG74">
            <v>22</v>
          </cell>
          <cell r="AH74">
            <v>0</v>
          </cell>
          <cell r="AI74">
            <v>0</v>
          </cell>
          <cell r="AJ74">
            <v>0</v>
          </cell>
          <cell r="AK74">
            <v>22</v>
          </cell>
          <cell r="AL74">
            <v>0</v>
          </cell>
          <cell r="AM74">
            <v>0</v>
          </cell>
          <cell r="AN74">
            <v>0</v>
          </cell>
          <cell r="AO74">
            <v>22</v>
          </cell>
        </row>
        <row r="75">
          <cell r="G75" t="str">
            <v>- Desp.variação cambial - 3541.012</v>
          </cell>
          <cell r="H75">
            <v>4876</v>
          </cell>
          <cell r="I75">
            <v>4730</v>
          </cell>
          <cell r="J75">
            <v>3521</v>
          </cell>
          <cell r="K75">
            <v>13127</v>
          </cell>
          <cell r="L75">
            <v>0</v>
          </cell>
          <cell r="M75">
            <v>0</v>
          </cell>
          <cell r="N75">
            <v>0</v>
          </cell>
          <cell r="O75">
            <v>13127</v>
          </cell>
          <cell r="P75">
            <v>0</v>
          </cell>
          <cell r="Q75">
            <v>0</v>
          </cell>
          <cell r="R75">
            <v>0</v>
          </cell>
          <cell r="S75">
            <v>13127</v>
          </cell>
          <cell r="T75">
            <v>0</v>
          </cell>
          <cell r="U75">
            <v>0</v>
          </cell>
          <cell r="V75">
            <v>0</v>
          </cell>
          <cell r="W75">
            <v>13127</v>
          </cell>
          <cell r="Y75" t="str">
            <v>- Rec.var.cambial - 3542.012/015/022</v>
          </cell>
          <cell r="Z75">
            <v>4590</v>
          </cell>
          <cell r="AA75">
            <v>4070</v>
          </cell>
          <cell r="AB75">
            <v>2974</v>
          </cell>
          <cell r="AC75">
            <v>11634</v>
          </cell>
          <cell r="AD75">
            <v>0</v>
          </cell>
          <cell r="AE75">
            <v>0</v>
          </cell>
          <cell r="AF75">
            <v>0</v>
          </cell>
          <cell r="AG75">
            <v>11634</v>
          </cell>
          <cell r="AH75">
            <v>0</v>
          </cell>
          <cell r="AI75">
            <v>0</v>
          </cell>
          <cell r="AJ75">
            <v>0</v>
          </cell>
          <cell r="AK75">
            <v>11634</v>
          </cell>
          <cell r="AL75">
            <v>0</v>
          </cell>
          <cell r="AM75">
            <v>0</v>
          </cell>
          <cell r="AN75">
            <v>0</v>
          </cell>
          <cell r="AO75">
            <v>11634</v>
          </cell>
        </row>
        <row r="76">
          <cell r="G76" t="str">
            <v>- Desp.cor.monet. - 3541.002/022</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Y76" t="str">
            <v>- Rec.cor.monet. -  3542.002/004/025</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row>
        <row r="77">
          <cell r="G77" t="str">
            <v>- Total</v>
          </cell>
          <cell r="H77">
            <v>4876</v>
          </cell>
          <cell r="I77">
            <v>4730</v>
          </cell>
          <cell r="J77">
            <v>3521</v>
          </cell>
          <cell r="K77">
            <v>13127</v>
          </cell>
          <cell r="L77">
            <v>0</v>
          </cell>
          <cell r="M77">
            <v>0</v>
          </cell>
          <cell r="N77">
            <v>0</v>
          </cell>
          <cell r="O77">
            <v>13127</v>
          </cell>
          <cell r="P77">
            <v>0</v>
          </cell>
          <cell r="Q77">
            <v>0</v>
          </cell>
          <cell r="R77">
            <v>0</v>
          </cell>
          <cell r="S77">
            <v>13127</v>
          </cell>
          <cell r="T77">
            <v>0</v>
          </cell>
          <cell r="U77">
            <v>0</v>
          </cell>
          <cell r="V77">
            <v>0</v>
          </cell>
          <cell r="W77">
            <v>13127</v>
          </cell>
          <cell r="Y77" t="str">
            <v>- Total</v>
          </cell>
          <cell r="Z77">
            <v>4612</v>
          </cell>
          <cell r="AA77">
            <v>4070</v>
          </cell>
          <cell r="AB77">
            <v>2974</v>
          </cell>
          <cell r="AC77">
            <v>11656</v>
          </cell>
          <cell r="AD77">
            <v>0</v>
          </cell>
          <cell r="AE77">
            <v>0</v>
          </cell>
          <cell r="AF77">
            <v>0</v>
          </cell>
          <cell r="AG77">
            <v>11656</v>
          </cell>
          <cell r="AH77">
            <v>0</v>
          </cell>
          <cell r="AI77">
            <v>0</v>
          </cell>
          <cell r="AJ77">
            <v>0</v>
          </cell>
          <cell r="AK77">
            <v>11656</v>
          </cell>
          <cell r="AL77">
            <v>0</v>
          </cell>
          <cell r="AM77">
            <v>0</v>
          </cell>
          <cell r="AN77">
            <v>0</v>
          </cell>
          <cell r="AO77">
            <v>11656</v>
          </cell>
        </row>
        <row r="78">
          <cell r="G78" t="str">
            <v>PETROBRÁS AMÉRICA</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Y78" t="str">
            <v>PETROBRÁS AMÉRICA</v>
          </cell>
        </row>
        <row r="79">
          <cell r="G79" t="str">
            <v>- Despesa financeira - 3540.002/005</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Y79" t="str">
            <v>- Receita financeira - 3540.012/014</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row>
        <row r="80">
          <cell r="G80" t="str">
            <v>- Desp.variação cambial - 3541.012</v>
          </cell>
          <cell r="H80">
            <v>553</v>
          </cell>
          <cell r="I80">
            <v>657</v>
          </cell>
          <cell r="J80">
            <v>-30</v>
          </cell>
          <cell r="K80">
            <v>1180</v>
          </cell>
          <cell r="L80">
            <v>0</v>
          </cell>
          <cell r="M80">
            <v>0</v>
          </cell>
          <cell r="N80">
            <v>0</v>
          </cell>
          <cell r="O80">
            <v>1180</v>
          </cell>
          <cell r="P80">
            <v>0</v>
          </cell>
          <cell r="Q80">
            <v>0</v>
          </cell>
          <cell r="R80">
            <v>0</v>
          </cell>
          <cell r="S80">
            <v>1180</v>
          </cell>
          <cell r="T80">
            <v>0</v>
          </cell>
          <cell r="U80">
            <v>0</v>
          </cell>
          <cell r="V80">
            <v>0</v>
          </cell>
          <cell r="W80">
            <v>1180</v>
          </cell>
          <cell r="Y80" t="str">
            <v>- Rec.var.cambial - 3542.012/015/022</v>
          </cell>
          <cell r="Z80">
            <v>85</v>
          </cell>
          <cell r="AA80">
            <v>60</v>
          </cell>
          <cell r="AB80">
            <v>-17</v>
          </cell>
          <cell r="AC80">
            <v>128</v>
          </cell>
          <cell r="AD80">
            <v>0</v>
          </cell>
          <cell r="AE80">
            <v>0</v>
          </cell>
          <cell r="AF80">
            <v>0</v>
          </cell>
          <cell r="AG80">
            <v>128</v>
          </cell>
          <cell r="AH80">
            <v>0</v>
          </cell>
          <cell r="AI80">
            <v>0</v>
          </cell>
          <cell r="AJ80">
            <v>0</v>
          </cell>
          <cell r="AK80">
            <v>128</v>
          </cell>
          <cell r="AL80">
            <v>0</v>
          </cell>
          <cell r="AM80">
            <v>0</v>
          </cell>
          <cell r="AN80">
            <v>0</v>
          </cell>
          <cell r="AO80">
            <v>128</v>
          </cell>
        </row>
        <row r="81">
          <cell r="G81" t="str">
            <v>- Desp.cor.monet. - 3541.002/022</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Y81" t="str">
            <v>- Rec.cor.monet. -  3542.002/004/025</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row>
        <row r="82">
          <cell r="G82" t="str">
            <v>- Total</v>
          </cell>
          <cell r="H82">
            <v>553</v>
          </cell>
          <cell r="I82">
            <v>657</v>
          </cell>
          <cell r="J82">
            <v>-30</v>
          </cell>
          <cell r="K82">
            <v>1180</v>
          </cell>
          <cell r="L82">
            <v>0</v>
          </cell>
          <cell r="M82">
            <v>0</v>
          </cell>
          <cell r="N82">
            <v>0</v>
          </cell>
          <cell r="O82">
            <v>1180</v>
          </cell>
          <cell r="P82">
            <v>0</v>
          </cell>
          <cell r="Q82">
            <v>0</v>
          </cell>
          <cell r="R82">
            <v>0</v>
          </cell>
          <cell r="S82">
            <v>1180</v>
          </cell>
          <cell r="T82">
            <v>0</v>
          </cell>
          <cell r="U82">
            <v>0</v>
          </cell>
          <cell r="V82">
            <v>0</v>
          </cell>
          <cell r="W82">
            <v>1180</v>
          </cell>
          <cell r="Y82" t="str">
            <v>- Total</v>
          </cell>
          <cell r="Z82">
            <v>85</v>
          </cell>
          <cell r="AA82">
            <v>60</v>
          </cell>
          <cell r="AB82">
            <v>-17</v>
          </cell>
          <cell r="AC82">
            <v>128</v>
          </cell>
          <cell r="AD82">
            <v>0</v>
          </cell>
          <cell r="AE82">
            <v>0</v>
          </cell>
          <cell r="AF82">
            <v>0</v>
          </cell>
          <cell r="AG82">
            <v>128</v>
          </cell>
          <cell r="AH82">
            <v>0</v>
          </cell>
          <cell r="AI82">
            <v>0</v>
          </cell>
          <cell r="AJ82">
            <v>0</v>
          </cell>
          <cell r="AK82">
            <v>128</v>
          </cell>
          <cell r="AL82">
            <v>0</v>
          </cell>
          <cell r="AM82">
            <v>0</v>
          </cell>
          <cell r="AN82">
            <v>0</v>
          </cell>
          <cell r="AO82">
            <v>128</v>
          </cell>
        </row>
        <row r="83">
          <cell r="Y83" t="str">
            <v>DISTRIBUIDORA</v>
          </cell>
        </row>
        <row r="84">
          <cell r="Y84" t="str">
            <v>- Receita financeira - 3540.012/014</v>
          </cell>
          <cell r="Z84">
            <v>1529</v>
          </cell>
          <cell r="AA84">
            <v>970</v>
          </cell>
          <cell r="AB84">
            <v>1024</v>
          </cell>
          <cell r="AC84">
            <v>3523</v>
          </cell>
          <cell r="AD84">
            <v>0</v>
          </cell>
          <cell r="AE84">
            <v>0</v>
          </cell>
          <cell r="AF84">
            <v>0</v>
          </cell>
          <cell r="AG84">
            <v>3523</v>
          </cell>
          <cell r="AH84">
            <v>0</v>
          </cell>
          <cell r="AI84">
            <v>0</v>
          </cell>
          <cell r="AJ84">
            <v>0</v>
          </cell>
          <cell r="AK84">
            <v>3523</v>
          </cell>
          <cell r="AL84">
            <v>0</v>
          </cell>
          <cell r="AM84">
            <v>0</v>
          </cell>
          <cell r="AN84">
            <v>0</v>
          </cell>
          <cell r="AO84">
            <v>3523</v>
          </cell>
        </row>
        <row r="85">
          <cell r="Y85" t="str">
            <v>- Rec.var.cambial - 3542.012/015/022</v>
          </cell>
          <cell r="Z85">
            <v>997</v>
          </cell>
          <cell r="AA85">
            <v>528</v>
          </cell>
          <cell r="AB85">
            <v>403</v>
          </cell>
          <cell r="AC85">
            <v>1928</v>
          </cell>
          <cell r="AD85">
            <v>0</v>
          </cell>
          <cell r="AE85">
            <v>0</v>
          </cell>
          <cell r="AF85">
            <v>0</v>
          </cell>
          <cell r="AG85">
            <v>1928</v>
          </cell>
          <cell r="AH85">
            <v>0</v>
          </cell>
          <cell r="AI85">
            <v>0</v>
          </cell>
          <cell r="AJ85">
            <v>0</v>
          </cell>
          <cell r="AK85">
            <v>1928</v>
          </cell>
          <cell r="AL85">
            <v>0</v>
          </cell>
          <cell r="AM85">
            <v>0</v>
          </cell>
          <cell r="AN85">
            <v>0</v>
          </cell>
          <cell r="AO85">
            <v>1928</v>
          </cell>
        </row>
        <row r="86">
          <cell r="Y86" t="str">
            <v>- Rec.cor.monet. -  3542.002/004/025</v>
          </cell>
          <cell r="Z86">
            <v>1</v>
          </cell>
          <cell r="AA86">
            <v>1</v>
          </cell>
          <cell r="AB86">
            <v>1</v>
          </cell>
          <cell r="AC86">
            <v>3</v>
          </cell>
          <cell r="AD86">
            <v>0</v>
          </cell>
          <cell r="AE86">
            <v>0</v>
          </cell>
          <cell r="AF86">
            <v>0</v>
          </cell>
          <cell r="AG86">
            <v>3</v>
          </cell>
          <cell r="AH86">
            <v>0</v>
          </cell>
          <cell r="AI86">
            <v>0</v>
          </cell>
          <cell r="AJ86">
            <v>0</v>
          </cell>
          <cell r="AK86">
            <v>3</v>
          </cell>
          <cell r="AL86">
            <v>0</v>
          </cell>
          <cell r="AM86">
            <v>0</v>
          </cell>
          <cell r="AN86">
            <v>0</v>
          </cell>
          <cell r="AO86">
            <v>3</v>
          </cell>
        </row>
        <row r="87">
          <cell r="Y87" t="str">
            <v>- Total</v>
          </cell>
          <cell r="Z87">
            <v>2527</v>
          </cell>
          <cell r="AA87">
            <v>1499</v>
          </cell>
          <cell r="AB87">
            <v>1428</v>
          </cell>
          <cell r="AC87">
            <v>5454</v>
          </cell>
          <cell r="AD87">
            <v>0</v>
          </cell>
          <cell r="AE87">
            <v>0</v>
          </cell>
          <cell r="AF87">
            <v>0</v>
          </cell>
          <cell r="AG87">
            <v>5454</v>
          </cell>
          <cell r="AH87">
            <v>0</v>
          </cell>
          <cell r="AI87">
            <v>0</v>
          </cell>
          <cell r="AJ87">
            <v>0</v>
          </cell>
          <cell r="AK87">
            <v>5454</v>
          </cell>
          <cell r="AL87">
            <v>0</v>
          </cell>
          <cell r="AM87">
            <v>0</v>
          </cell>
          <cell r="AN87">
            <v>0</v>
          </cell>
          <cell r="AO87">
            <v>5454</v>
          </cell>
        </row>
        <row r="89">
          <cell r="Y89" t="str">
            <v>TOTAL</v>
          </cell>
          <cell r="Z89">
            <v>9588</v>
          </cell>
          <cell r="AA89">
            <v>3300</v>
          </cell>
          <cell r="AB89">
            <v>4544</v>
          </cell>
          <cell r="AC89">
            <v>17432</v>
          </cell>
          <cell r="AD89">
            <v>0</v>
          </cell>
          <cell r="AE89">
            <v>0</v>
          </cell>
          <cell r="AF89">
            <v>0</v>
          </cell>
          <cell r="AG89">
            <v>17432</v>
          </cell>
          <cell r="AH89">
            <v>0</v>
          </cell>
          <cell r="AI89">
            <v>0</v>
          </cell>
          <cell r="AJ89">
            <v>0</v>
          </cell>
          <cell r="AK89">
            <v>17432</v>
          </cell>
          <cell r="AL89">
            <v>0</v>
          </cell>
          <cell r="AM89">
            <v>0</v>
          </cell>
          <cell r="AN89">
            <v>0</v>
          </cell>
          <cell r="AO89">
            <v>17432</v>
          </cell>
        </row>
        <row r="91">
          <cell r="AA91" t="str">
            <v/>
          </cell>
          <cell r="AL91" t="str">
            <v/>
          </cell>
        </row>
        <row r="92">
          <cell r="Y92" t="str">
            <v>CHECK</v>
          </cell>
          <cell r="Z92">
            <v>9588</v>
          </cell>
          <cell r="AA92">
            <v>3301</v>
          </cell>
          <cell r="AB92">
            <v>4544</v>
          </cell>
          <cell r="AC92">
            <v>17433</v>
          </cell>
          <cell r="AD92">
            <v>0</v>
          </cell>
          <cell r="AE92">
            <v>0</v>
          </cell>
          <cell r="AF92">
            <v>0</v>
          </cell>
          <cell r="AG92">
            <v>17433</v>
          </cell>
          <cell r="AH92">
            <v>0</v>
          </cell>
          <cell r="AI92">
            <v>0</v>
          </cell>
          <cell r="AJ92">
            <v>0</v>
          </cell>
          <cell r="AK92">
            <v>17433</v>
          </cell>
          <cell r="AL92">
            <v>0</v>
          </cell>
          <cell r="AM92">
            <v>0</v>
          </cell>
          <cell r="AN92">
            <v>0</v>
          </cell>
          <cell r="AO92">
            <v>17433</v>
          </cell>
        </row>
        <row r="93">
          <cell r="AA93" t="str">
            <v/>
          </cell>
        </row>
        <row r="94">
          <cell r="Y94" t="str">
            <v>Diferença</v>
          </cell>
          <cell r="Z94">
            <v>0</v>
          </cell>
          <cell r="AA94">
            <v>-1</v>
          </cell>
          <cell r="AB94">
            <v>0</v>
          </cell>
          <cell r="AC94">
            <v>-1</v>
          </cell>
          <cell r="AD94">
            <v>0</v>
          </cell>
          <cell r="AE94">
            <v>0</v>
          </cell>
          <cell r="AF94">
            <v>0</v>
          </cell>
          <cell r="AG94">
            <v>-1</v>
          </cell>
          <cell r="AH94">
            <v>0</v>
          </cell>
          <cell r="AI94">
            <v>0</v>
          </cell>
          <cell r="AJ94">
            <v>0</v>
          </cell>
          <cell r="AK94">
            <v>-1</v>
          </cell>
          <cell r="AL94">
            <v>0</v>
          </cell>
          <cell r="AM94">
            <v>0</v>
          </cell>
          <cell r="AN94">
            <v>0</v>
          </cell>
          <cell r="AO94">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sheetData sheetId="425"/>
      <sheetData sheetId="426"/>
      <sheetData sheetId="427"/>
      <sheetData sheetId="428"/>
      <sheetData sheetId="429"/>
      <sheetData sheetId="430"/>
      <sheetData sheetId="431"/>
      <sheetData sheetId="432"/>
      <sheetData sheetId="433"/>
      <sheetData sheetId="434">
        <row r="1">
          <cell r="F1" t="str">
            <v>REF</v>
          </cell>
        </row>
      </sheetData>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row r="1">
          <cell r="F1" t="str">
            <v>REF</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FLSUBS"/>
      <sheetName val="Demonstração (2)"/>
    </sheetNames>
    <sheetDataSet>
      <sheetData sheetId="0" refreshError="1">
        <row r="1">
          <cell r="A1" t="str">
            <v>RECEITAS E DESPESAS FINANCEIRAS DE SUBSIDIÁRIAS</v>
          </cell>
          <cell r="B1">
            <v>0</v>
          </cell>
          <cell r="C1">
            <v>0</v>
          </cell>
          <cell r="D1">
            <v>0</v>
          </cell>
          <cell r="E1">
            <v>0</v>
          </cell>
          <cell r="F1">
            <v>0</v>
          </cell>
          <cell r="G1">
            <v>0</v>
          </cell>
          <cell r="H1">
            <v>0</v>
          </cell>
          <cell r="I1">
            <v>0</v>
          </cell>
          <cell r="J1">
            <v>0</v>
          </cell>
          <cell r="K1">
            <v>0</v>
          </cell>
          <cell r="L1">
            <v>0</v>
          </cell>
          <cell r="M1">
            <v>0</v>
          </cell>
          <cell r="N1">
            <v>0</v>
          </cell>
          <cell r="O1">
            <v>0</v>
          </cell>
          <cell r="Q1" t="str">
            <v>RECEITAS E DESPESAS FINANCEIRAS DE SUBSIDIÁRIAS</v>
          </cell>
          <cell r="R1">
            <v>0</v>
          </cell>
          <cell r="S1">
            <v>0</v>
          </cell>
          <cell r="T1">
            <v>0</v>
          </cell>
          <cell r="U1">
            <v>0</v>
          </cell>
          <cell r="V1">
            <v>0</v>
          </cell>
          <cell r="W1">
            <v>0</v>
          </cell>
          <cell r="X1">
            <v>0</v>
          </cell>
          <cell r="Y1">
            <v>0</v>
          </cell>
          <cell r="Z1">
            <v>0</v>
          </cell>
          <cell r="AA1">
            <v>0</v>
          </cell>
          <cell r="AB1">
            <v>0</v>
          </cell>
          <cell r="AC1">
            <v>0</v>
          </cell>
          <cell r="AD1">
            <v>0</v>
          </cell>
          <cell r="AE1">
            <v>0</v>
          </cell>
          <cell r="AG1" t="str">
            <v>RECEITAS E DESPESAS FINANCEIRAS DE SUBSIDIÁRIAS</v>
          </cell>
          <cell r="AH1">
            <v>0</v>
          </cell>
          <cell r="AI1">
            <v>0</v>
          </cell>
          <cell r="AJ1">
            <v>0</v>
          </cell>
          <cell r="AK1">
            <v>0</v>
          </cell>
          <cell r="AL1">
            <v>0</v>
          </cell>
          <cell r="AM1">
            <v>0</v>
          </cell>
          <cell r="AN1">
            <v>0</v>
          </cell>
          <cell r="AO1">
            <v>0</v>
          </cell>
          <cell r="AP1">
            <v>0</v>
          </cell>
          <cell r="AQ1">
            <v>0</v>
          </cell>
          <cell r="AR1">
            <v>0</v>
          </cell>
          <cell r="AS1">
            <v>0</v>
          </cell>
          <cell r="AT1">
            <v>0</v>
          </cell>
          <cell r="AU1">
            <v>0</v>
          </cell>
          <cell r="AW1" t="str">
            <v>RECEITAS E DESPESAS FINANCEIRAS DE SUBSIDIÁRIAS</v>
          </cell>
          <cell r="AX1">
            <v>0</v>
          </cell>
          <cell r="AY1">
            <v>0</v>
          </cell>
          <cell r="AZ1">
            <v>0</v>
          </cell>
          <cell r="BA1">
            <v>0</v>
          </cell>
          <cell r="BB1">
            <v>0</v>
          </cell>
          <cell r="BC1">
            <v>0</v>
          </cell>
          <cell r="BD1">
            <v>0</v>
          </cell>
          <cell r="BE1">
            <v>0</v>
          </cell>
          <cell r="BF1">
            <v>0</v>
          </cell>
          <cell r="BG1">
            <v>0</v>
          </cell>
          <cell r="BH1">
            <v>0</v>
          </cell>
          <cell r="BI1">
            <v>0</v>
          </cell>
          <cell r="BJ1">
            <v>0</v>
          </cell>
          <cell r="BK1">
            <v>0</v>
          </cell>
          <cell r="BM1" t="str">
            <v>RECEITAS E DESPESAS FINANCEIRAS DE SUBSIDIÁRIAS</v>
          </cell>
          <cell r="BN1">
            <v>0</v>
          </cell>
          <cell r="BO1">
            <v>0</v>
          </cell>
          <cell r="BP1">
            <v>0</v>
          </cell>
          <cell r="BQ1">
            <v>0</v>
          </cell>
          <cell r="BR1">
            <v>0</v>
          </cell>
          <cell r="BS1">
            <v>0</v>
          </cell>
          <cell r="BT1">
            <v>0</v>
          </cell>
          <cell r="BU1">
            <v>0</v>
          </cell>
          <cell r="BV1">
            <v>0</v>
          </cell>
          <cell r="BW1">
            <v>0</v>
          </cell>
          <cell r="BX1">
            <v>0</v>
          </cell>
          <cell r="BY1">
            <v>0</v>
          </cell>
          <cell r="BZ1">
            <v>0</v>
          </cell>
          <cell r="CA1">
            <v>0</v>
          </cell>
          <cell r="CC1" t="str">
            <v>RECEITAS E DESPESAS FINANCEIRAS DE SUBSIDIÁRIAS</v>
          </cell>
        </row>
        <row r="2">
          <cell r="A2">
            <v>2000</v>
          </cell>
          <cell r="B2">
            <v>0</v>
          </cell>
          <cell r="C2">
            <v>0</v>
          </cell>
          <cell r="D2">
            <v>0</v>
          </cell>
          <cell r="E2">
            <v>0</v>
          </cell>
          <cell r="F2">
            <v>0</v>
          </cell>
          <cell r="G2">
            <v>0</v>
          </cell>
          <cell r="H2">
            <v>0</v>
          </cell>
          <cell r="I2">
            <v>0</v>
          </cell>
          <cell r="J2">
            <v>0</v>
          </cell>
          <cell r="K2">
            <v>0</v>
          </cell>
          <cell r="L2">
            <v>0</v>
          </cell>
          <cell r="M2">
            <v>0</v>
          </cell>
          <cell r="N2">
            <v>0</v>
          </cell>
          <cell r="O2">
            <v>0</v>
          </cell>
          <cell r="Q2">
            <v>2000</v>
          </cell>
          <cell r="R2">
            <v>0</v>
          </cell>
          <cell r="S2">
            <v>0</v>
          </cell>
          <cell r="T2">
            <v>0</v>
          </cell>
          <cell r="U2">
            <v>0</v>
          </cell>
          <cell r="V2">
            <v>0</v>
          </cell>
          <cell r="W2">
            <v>0</v>
          </cell>
          <cell r="X2">
            <v>0</v>
          </cell>
          <cell r="Y2">
            <v>0</v>
          </cell>
          <cell r="Z2">
            <v>0</v>
          </cell>
          <cell r="AA2">
            <v>0</v>
          </cell>
          <cell r="AB2">
            <v>0</v>
          </cell>
          <cell r="AC2">
            <v>0</v>
          </cell>
          <cell r="AD2">
            <v>0</v>
          </cell>
          <cell r="AE2">
            <v>0</v>
          </cell>
          <cell r="AG2">
            <v>2000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W2">
            <v>2000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M2">
            <v>1999</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C2">
            <v>1999</v>
          </cell>
        </row>
        <row r="4">
          <cell r="D4" t="str">
            <v>DESPESAS FINANCEIRAS</v>
          </cell>
          <cell r="E4">
            <v>0</v>
          </cell>
          <cell r="F4">
            <v>0</v>
          </cell>
          <cell r="G4" t="str">
            <v>V. M. CAMBIAL PASSIVA</v>
          </cell>
          <cell r="H4">
            <v>0</v>
          </cell>
          <cell r="I4">
            <v>0</v>
          </cell>
          <cell r="J4" t="str">
            <v>RECEITAS FINANCEIRAS</v>
          </cell>
          <cell r="K4">
            <v>0</v>
          </cell>
          <cell r="L4">
            <v>0</v>
          </cell>
          <cell r="M4" t="str">
            <v>V. M. CAMBIAL ATIVA</v>
          </cell>
          <cell r="N4">
            <v>0</v>
          </cell>
          <cell r="O4">
            <v>0</v>
          </cell>
          <cell r="Q4">
            <v>0</v>
          </cell>
          <cell r="R4">
            <v>0</v>
          </cell>
          <cell r="S4">
            <v>0</v>
          </cell>
          <cell r="T4" t="str">
            <v>DESPESAS FINANCEIRAS</v>
          </cell>
          <cell r="U4">
            <v>0</v>
          </cell>
          <cell r="V4">
            <v>0</v>
          </cell>
          <cell r="W4" t="str">
            <v>V. M. CAMBIAL PASSIVA</v>
          </cell>
          <cell r="X4">
            <v>0</v>
          </cell>
          <cell r="Y4">
            <v>0</v>
          </cell>
          <cell r="Z4" t="str">
            <v>RECEITAS FINANCEIRAS</v>
          </cell>
          <cell r="AA4">
            <v>0</v>
          </cell>
          <cell r="AB4">
            <v>0</v>
          </cell>
          <cell r="AC4" t="str">
            <v>V. M. CAMBIAL ATIVA</v>
          </cell>
          <cell r="AD4">
            <v>0</v>
          </cell>
          <cell r="AE4">
            <v>0</v>
          </cell>
          <cell r="AG4">
            <v>0</v>
          </cell>
          <cell r="AH4">
            <v>0</v>
          </cell>
          <cell r="AI4">
            <v>0</v>
          </cell>
          <cell r="AJ4" t="str">
            <v>DESPESAS FINANCEIRAS</v>
          </cell>
          <cell r="AK4">
            <v>0</v>
          </cell>
          <cell r="AL4">
            <v>0</v>
          </cell>
          <cell r="AM4" t="str">
            <v>V. M. CAMBIAL PASSIVA</v>
          </cell>
          <cell r="AN4">
            <v>0</v>
          </cell>
          <cell r="AO4">
            <v>0</v>
          </cell>
          <cell r="AP4" t="str">
            <v>RECEITAS FINANCEIRAS</v>
          </cell>
          <cell r="AQ4">
            <v>0</v>
          </cell>
          <cell r="AR4">
            <v>0</v>
          </cell>
          <cell r="AS4" t="str">
            <v>V. M. CAMBIAL ATIVA</v>
          </cell>
          <cell r="AT4">
            <v>0</v>
          </cell>
          <cell r="AU4">
            <v>0</v>
          </cell>
          <cell r="AW4">
            <v>0</v>
          </cell>
          <cell r="AX4">
            <v>0</v>
          </cell>
          <cell r="AY4">
            <v>0</v>
          </cell>
          <cell r="AZ4" t="str">
            <v>DESPESAS FINANCEIRAS</v>
          </cell>
          <cell r="BA4">
            <v>0</v>
          </cell>
          <cell r="BB4">
            <v>0</v>
          </cell>
          <cell r="BC4" t="str">
            <v>V. M. CAMBIAL PASSIVA</v>
          </cell>
          <cell r="BD4">
            <v>0</v>
          </cell>
          <cell r="BE4">
            <v>0</v>
          </cell>
          <cell r="BF4" t="str">
            <v>RECEITAS FINANCEIRAS</v>
          </cell>
          <cell r="BG4">
            <v>0</v>
          </cell>
          <cell r="BH4">
            <v>0</v>
          </cell>
          <cell r="BI4" t="str">
            <v>V. M. CAMBIAL ATIVA</v>
          </cell>
          <cell r="BJ4">
            <v>0</v>
          </cell>
          <cell r="BK4">
            <v>0</v>
          </cell>
          <cell r="BM4">
            <v>0</v>
          </cell>
          <cell r="BN4">
            <v>0</v>
          </cell>
          <cell r="BO4">
            <v>0</v>
          </cell>
          <cell r="BP4" t="str">
            <v>DESPESAS FINANCEIRAS</v>
          </cell>
          <cell r="BQ4">
            <v>0</v>
          </cell>
          <cell r="BR4">
            <v>0</v>
          </cell>
          <cell r="BS4" t="str">
            <v>V. M. CAMBIAL PASSIVA</v>
          </cell>
          <cell r="BT4">
            <v>0</v>
          </cell>
          <cell r="BU4">
            <v>0</v>
          </cell>
          <cell r="BV4" t="str">
            <v>RECEITAS FINANCEIRAS</v>
          </cell>
          <cell r="BW4">
            <v>0</v>
          </cell>
          <cell r="BX4">
            <v>0</v>
          </cell>
          <cell r="BY4" t="str">
            <v>V. M. CAMBIAL ATIVA</v>
          </cell>
          <cell r="BZ4">
            <v>0</v>
          </cell>
          <cell r="CA4">
            <v>0</v>
          </cell>
          <cell r="CC4">
            <v>0</v>
          </cell>
          <cell r="CD4">
            <v>0</v>
          </cell>
          <cell r="CE4">
            <v>0</v>
          </cell>
          <cell r="CF4" t="str">
            <v>DESPESAS FINANCEIRAS</v>
          </cell>
          <cell r="CG4">
            <v>0</v>
          </cell>
          <cell r="CH4">
            <v>0</v>
          </cell>
          <cell r="CI4" t="str">
            <v>V. M. CAMBIAL PASSIVA</v>
          </cell>
          <cell r="CJ4">
            <v>0</v>
          </cell>
          <cell r="CK4">
            <v>0</v>
          </cell>
          <cell r="CL4" t="str">
            <v>RECEITAS FINANCEIRAS</v>
          </cell>
          <cell r="CM4">
            <v>0</v>
          </cell>
          <cell r="CN4">
            <v>0</v>
          </cell>
          <cell r="CO4" t="str">
            <v>V. M. CAMBIAL ATIVA</v>
          </cell>
        </row>
        <row r="5">
          <cell r="A5" t="str">
            <v>MÊS</v>
          </cell>
          <cell r="B5" t="str">
            <v>DETALHE</v>
          </cell>
          <cell r="C5" t="str">
            <v>EMPRESA</v>
          </cell>
          <cell r="D5">
            <v>3540002</v>
          </cell>
          <cell r="E5">
            <v>0</v>
          </cell>
          <cell r="F5">
            <v>0</v>
          </cell>
          <cell r="G5">
            <v>3541002</v>
          </cell>
          <cell r="H5">
            <v>3541012</v>
          </cell>
          <cell r="I5">
            <v>0</v>
          </cell>
          <cell r="J5">
            <v>3540012</v>
          </cell>
          <cell r="K5">
            <v>0</v>
          </cell>
          <cell r="L5">
            <v>0</v>
          </cell>
          <cell r="M5">
            <v>3542002</v>
          </cell>
          <cell r="N5">
            <v>3542012</v>
          </cell>
          <cell r="O5" t="str">
            <v>3542015/3542029</v>
          </cell>
          <cell r="Q5" t="str">
            <v>MÊS</v>
          </cell>
          <cell r="R5" t="str">
            <v>DETALHE</v>
          </cell>
          <cell r="S5" t="str">
            <v>EMPRESA</v>
          </cell>
          <cell r="T5">
            <v>3540002</v>
          </cell>
          <cell r="U5">
            <v>0</v>
          </cell>
          <cell r="V5">
            <v>0</v>
          </cell>
          <cell r="W5">
            <v>3541002</v>
          </cell>
          <cell r="X5">
            <v>3541012</v>
          </cell>
          <cell r="Y5">
            <v>0</v>
          </cell>
          <cell r="Z5">
            <v>3540012</v>
          </cell>
          <cell r="AA5">
            <v>0</v>
          </cell>
          <cell r="AB5">
            <v>0</v>
          </cell>
          <cell r="AC5">
            <v>3542002</v>
          </cell>
          <cell r="AD5">
            <v>3542012</v>
          </cell>
          <cell r="AE5" t="str">
            <v>3542015/3542029</v>
          </cell>
          <cell r="AG5" t="str">
            <v>MÊS</v>
          </cell>
          <cell r="AH5" t="str">
            <v>DETALHE</v>
          </cell>
          <cell r="AI5" t="str">
            <v>EMPRESA</v>
          </cell>
          <cell r="AJ5">
            <v>3540002</v>
          </cell>
          <cell r="AK5">
            <v>0</v>
          </cell>
          <cell r="AL5">
            <v>0</v>
          </cell>
          <cell r="AM5">
            <v>3541002</v>
          </cell>
          <cell r="AN5">
            <v>3541012</v>
          </cell>
          <cell r="AO5">
            <v>0</v>
          </cell>
          <cell r="AP5">
            <v>3540012</v>
          </cell>
          <cell r="AQ5">
            <v>0</v>
          </cell>
          <cell r="AR5">
            <v>0</v>
          </cell>
          <cell r="AS5">
            <v>3542002</v>
          </cell>
          <cell r="AT5">
            <v>3542012</v>
          </cell>
          <cell r="AU5">
            <v>3542015</v>
          </cell>
          <cell r="AW5" t="str">
            <v>MÊS</v>
          </cell>
          <cell r="AX5" t="str">
            <v>DETALHE</v>
          </cell>
          <cell r="AY5" t="str">
            <v>EMPRESA</v>
          </cell>
          <cell r="AZ5">
            <v>3540002</v>
          </cell>
          <cell r="BA5">
            <v>0</v>
          </cell>
          <cell r="BB5">
            <v>0</v>
          </cell>
          <cell r="BC5">
            <v>3541002</v>
          </cell>
          <cell r="BD5">
            <v>3541012</v>
          </cell>
          <cell r="BE5">
            <v>0</v>
          </cell>
          <cell r="BF5">
            <v>3540012</v>
          </cell>
          <cell r="BG5">
            <v>0</v>
          </cell>
          <cell r="BH5">
            <v>0</v>
          </cell>
          <cell r="BI5">
            <v>3542002</v>
          </cell>
          <cell r="BJ5">
            <v>3542012</v>
          </cell>
          <cell r="BK5">
            <v>3542015</v>
          </cell>
          <cell r="BM5" t="str">
            <v>MÊS</v>
          </cell>
          <cell r="BN5" t="str">
            <v>DETALHE</v>
          </cell>
          <cell r="BO5" t="str">
            <v>EMPRESA</v>
          </cell>
          <cell r="BP5">
            <v>3540002</v>
          </cell>
          <cell r="BQ5">
            <v>0</v>
          </cell>
          <cell r="BR5">
            <v>0</v>
          </cell>
          <cell r="BS5">
            <v>3541002</v>
          </cell>
          <cell r="BT5">
            <v>3541012</v>
          </cell>
          <cell r="BU5">
            <v>0</v>
          </cell>
          <cell r="BV5">
            <v>3540012</v>
          </cell>
          <cell r="BW5">
            <v>0</v>
          </cell>
          <cell r="BX5">
            <v>0</v>
          </cell>
          <cell r="BY5">
            <v>3542002</v>
          </cell>
          <cell r="BZ5">
            <v>3542012</v>
          </cell>
          <cell r="CA5">
            <v>3542015</v>
          </cell>
          <cell r="CC5" t="str">
            <v>MÊS</v>
          </cell>
          <cell r="CD5" t="str">
            <v>DETALHE</v>
          </cell>
          <cell r="CE5" t="str">
            <v>EMPRESA</v>
          </cell>
          <cell r="CF5">
            <v>3540002</v>
          </cell>
          <cell r="CG5">
            <v>0</v>
          </cell>
          <cell r="CH5">
            <v>0</v>
          </cell>
          <cell r="CI5">
            <v>3541002</v>
          </cell>
          <cell r="CJ5">
            <v>3541012</v>
          </cell>
          <cell r="CK5">
            <v>0</v>
          </cell>
          <cell r="CL5">
            <v>3540012</v>
          </cell>
          <cell r="CM5">
            <v>0</v>
          </cell>
          <cell r="CN5">
            <v>0</v>
          </cell>
          <cell r="CO5">
            <v>3542002</v>
          </cell>
          <cell r="CP5">
            <v>3542012</v>
          </cell>
          <cell r="CQ5">
            <v>3542015</v>
          </cell>
        </row>
        <row r="6">
          <cell r="B6" t="str">
            <v>C02709449</v>
          </cell>
          <cell r="C6" t="str">
            <v>TRANSPETRO</v>
          </cell>
          <cell r="D6">
            <v>0</v>
          </cell>
          <cell r="E6">
            <v>0</v>
          </cell>
          <cell r="F6">
            <v>0</v>
          </cell>
          <cell r="G6">
            <v>0</v>
          </cell>
          <cell r="H6">
            <v>0</v>
          </cell>
          <cell r="I6">
            <v>0</v>
          </cell>
          <cell r="J6">
            <v>0</v>
          </cell>
          <cell r="K6">
            <v>0</v>
          </cell>
          <cell r="L6">
            <v>0</v>
          </cell>
          <cell r="M6">
            <v>-61990.1</v>
          </cell>
          <cell r="N6">
            <v>0</v>
          </cell>
          <cell r="O6">
            <v>0</v>
          </cell>
          <cell r="Q6">
            <v>0</v>
          </cell>
          <cell r="R6" t="str">
            <v>C02709449</v>
          </cell>
          <cell r="S6" t="str">
            <v>TRANSPETRO</v>
          </cell>
          <cell r="T6">
            <v>0</v>
          </cell>
          <cell r="U6">
            <v>0</v>
          </cell>
          <cell r="V6">
            <v>0</v>
          </cell>
          <cell r="W6">
            <v>0</v>
          </cell>
          <cell r="X6">
            <v>0</v>
          </cell>
          <cell r="Y6">
            <v>0</v>
          </cell>
          <cell r="Z6">
            <v>0</v>
          </cell>
          <cell r="AA6">
            <v>0</v>
          </cell>
          <cell r="AB6">
            <v>0</v>
          </cell>
          <cell r="AC6">
            <v>-62464.37</v>
          </cell>
          <cell r="AD6">
            <v>0</v>
          </cell>
          <cell r="AE6">
            <v>0</v>
          </cell>
          <cell r="AG6">
            <v>0</v>
          </cell>
          <cell r="AH6">
            <v>0</v>
          </cell>
          <cell r="AI6">
            <v>0</v>
          </cell>
          <cell r="AJ6">
            <v>0</v>
          </cell>
          <cell r="AK6">
            <v>0</v>
          </cell>
          <cell r="AL6">
            <v>0</v>
          </cell>
          <cell r="AM6">
            <v>0</v>
          </cell>
          <cell r="AN6">
            <v>0</v>
          </cell>
          <cell r="AO6">
            <v>0</v>
          </cell>
          <cell r="AP6">
            <v>0</v>
          </cell>
          <cell r="AQ6">
            <v>0</v>
          </cell>
          <cell r="AR6">
            <v>0</v>
          </cell>
          <cell r="AS6">
            <v>-63370.1</v>
          </cell>
          <cell r="AT6">
            <v>0</v>
          </cell>
          <cell r="AU6">
            <v>0</v>
          </cell>
          <cell r="AW6">
            <v>0</v>
          </cell>
          <cell r="AX6" t="str">
            <v>C02709449</v>
          </cell>
          <cell r="AY6" t="str">
            <v>TRANSPETRO</v>
          </cell>
          <cell r="AZ6">
            <v>0</v>
          </cell>
          <cell r="BA6">
            <v>0</v>
          </cell>
          <cell r="BB6">
            <v>0</v>
          </cell>
          <cell r="BC6">
            <v>0</v>
          </cell>
          <cell r="BD6">
            <v>0</v>
          </cell>
          <cell r="BE6">
            <v>0</v>
          </cell>
          <cell r="BF6">
            <v>0</v>
          </cell>
          <cell r="BG6">
            <v>0</v>
          </cell>
          <cell r="BH6">
            <v>0</v>
          </cell>
          <cell r="BI6">
            <v>-57638.39</v>
          </cell>
          <cell r="BJ6">
            <v>0</v>
          </cell>
          <cell r="BK6">
            <v>0</v>
          </cell>
          <cell r="BM6">
            <v>0</v>
          </cell>
          <cell r="BN6" t="str">
            <v>C02709449</v>
          </cell>
          <cell r="BO6" t="str">
            <v>TRANSPETRO</v>
          </cell>
          <cell r="BP6">
            <v>0</v>
          </cell>
          <cell r="BQ6">
            <v>0</v>
          </cell>
          <cell r="BR6">
            <v>0</v>
          </cell>
          <cell r="BS6">
            <v>0</v>
          </cell>
          <cell r="BT6">
            <v>0</v>
          </cell>
          <cell r="BU6">
            <v>0</v>
          </cell>
          <cell r="BV6">
            <v>0</v>
          </cell>
          <cell r="BW6">
            <v>0</v>
          </cell>
          <cell r="BX6">
            <v>0</v>
          </cell>
          <cell r="BY6">
            <v>-12012.49</v>
          </cell>
          <cell r="BZ6">
            <v>0</v>
          </cell>
          <cell r="CA6">
            <v>0</v>
          </cell>
          <cell r="CC6">
            <v>0</v>
          </cell>
          <cell r="CD6" t="str">
            <v>C02709449</v>
          </cell>
          <cell r="CE6" t="str">
            <v>TRANSPETRO</v>
          </cell>
        </row>
        <row r="7">
          <cell r="A7" t="str">
            <v>JANEIRO</v>
          </cell>
          <cell r="B7" t="str">
            <v>C34274233</v>
          </cell>
          <cell r="C7" t="str">
            <v>BR</v>
          </cell>
          <cell r="D7">
            <v>82237.850000000006</v>
          </cell>
          <cell r="E7">
            <v>0</v>
          </cell>
          <cell r="F7">
            <v>0</v>
          </cell>
          <cell r="G7">
            <v>2582502.56</v>
          </cell>
          <cell r="H7">
            <v>0</v>
          </cell>
          <cell r="I7">
            <v>0</v>
          </cell>
          <cell r="J7">
            <v>-729.03</v>
          </cell>
          <cell r="K7">
            <v>0</v>
          </cell>
          <cell r="L7">
            <v>0</v>
          </cell>
          <cell r="M7">
            <v>-8034737.7199999997</v>
          </cell>
          <cell r="N7">
            <v>0</v>
          </cell>
          <cell r="O7">
            <v>0</v>
          </cell>
          <cell r="Q7" t="str">
            <v>FEVEREIRO</v>
          </cell>
          <cell r="R7" t="str">
            <v>C34274233</v>
          </cell>
          <cell r="S7" t="str">
            <v>BR</v>
          </cell>
          <cell r="T7">
            <v>6390.47</v>
          </cell>
          <cell r="U7">
            <v>0</v>
          </cell>
          <cell r="V7">
            <v>0</v>
          </cell>
          <cell r="W7">
            <v>1305773.8700000001</v>
          </cell>
          <cell r="X7">
            <v>0</v>
          </cell>
          <cell r="Y7">
            <v>0</v>
          </cell>
          <cell r="Z7">
            <v>-428.84999999999997</v>
          </cell>
          <cell r="AA7">
            <v>0</v>
          </cell>
          <cell r="AB7">
            <v>0</v>
          </cell>
          <cell r="AC7">
            <v>-7018819.6100000003</v>
          </cell>
          <cell r="AD7">
            <v>0</v>
          </cell>
          <cell r="AE7">
            <v>0</v>
          </cell>
          <cell r="AG7" t="str">
            <v>MARÇO</v>
          </cell>
          <cell r="AH7" t="str">
            <v>C34274233</v>
          </cell>
          <cell r="AI7" t="str">
            <v>BR</v>
          </cell>
          <cell r="AJ7">
            <v>0</v>
          </cell>
          <cell r="AK7">
            <v>0</v>
          </cell>
          <cell r="AL7">
            <v>0</v>
          </cell>
          <cell r="AM7">
            <v>1167340.7300000002</v>
          </cell>
          <cell r="AN7">
            <v>0</v>
          </cell>
          <cell r="AO7">
            <v>0</v>
          </cell>
          <cell r="AP7">
            <v>-478.04</v>
          </cell>
          <cell r="AQ7">
            <v>0</v>
          </cell>
          <cell r="AR7">
            <v>0</v>
          </cell>
          <cell r="AS7">
            <v>-7443080.8199999994</v>
          </cell>
          <cell r="AT7">
            <v>0</v>
          </cell>
          <cell r="AU7">
            <v>0</v>
          </cell>
          <cell r="AW7" t="str">
            <v>ABRIL</v>
          </cell>
          <cell r="AX7" t="str">
            <v>C34274233</v>
          </cell>
          <cell r="AY7" t="str">
            <v>BR</v>
          </cell>
          <cell r="AZ7">
            <v>6390.47</v>
          </cell>
          <cell r="BA7">
            <v>0</v>
          </cell>
          <cell r="BB7">
            <v>0</v>
          </cell>
          <cell r="BC7">
            <v>1524470.14</v>
          </cell>
          <cell r="BD7">
            <v>0</v>
          </cell>
          <cell r="BE7">
            <v>0</v>
          </cell>
          <cell r="BF7">
            <v>-7959.5599999999995</v>
          </cell>
          <cell r="BG7">
            <v>0</v>
          </cell>
          <cell r="BH7">
            <v>0</v>
          </cell>
          <cell r="BI7">
            <v>-9237386.0700000003</v>
          </cell>
          <cell r="BJ7">
            <v>0</v>
          </cell>
          <cell r="BK7">
            <v>0</v>
          </cell>
          <cell r="BM7" t="str">
            <v>MAIO</v>
          </cell>
          <cell r="BN7" t="str">
            <v>C34274233</v>
          </cell>
          <cell r="BO7" t="str">
            <v>BR</v>
          </cell>
          <cell r="BP7">
            <v>0</v>
          </cell>
          <cell r="BQ7">
            <v>0</v>
          </cell>
          <cell r="BR7">
            <v>0</v>
          </cell>
          <cell r="BS7">
            <v>932226.73</v>
          </cell>
          <cell r="BT7">
            <v>0</v>
          </cell>
          <cell r="BU7">
            <v>0</v>
          </cell>
          <cell r="BV7">
            <v>-1047.75</v>
          </cell>
          <cell r="BW7">
            <v>0</v>
          </cell>
          <cell r="BX7">
            <v>0</v>
          </cell>
          <cell r="BY7">
            <v>-7059109.3600000003</v>
          </cell>
          <cell r="BZ7">
            <v>0</v>
          </cell>
          <cell r="CA7">
            <v>0</v>
          </cell>
          <cell r="CC7" t="str">
            <v>JUNHO</v>
          </cell>
          <cell r="CD7" t="str">
            <v>C34274233</v>
          </cell>
          <cell r="CE7" t="str">
            <v>BR</v>
          </cell>
          <cell r="CF7">
            <v>0</v>
          </cell>
          <cell r="CG7">
            <v>0</v>
          </cell>
          <cell r="CH7">
            <v>0</v>
          </cell>
          <cell r="CI7">
            <v>5499895.8200000003</v>
          </cell>
          <cell r="CJ7">
            <v>0</v>
          </cell>
          <cell r="CK7">
            <v>0</v>
          </cell>
          <cell r="CL7">
            <v>-495.50999999999993</v>
          </cell>
          <cell r="CM7">
            <v>0</v>
          </cell>
          <cell r="CN7">
            <v>0</v>
          </cell>
          <cell r="CO7">
            <v>-6473770.0700000003</v>
          </cell>
        </row>
        <row r="8">
          <cell r="B8" t="str">
            <v>C33795055</v>
          </cell>
          <cell r="C8" t="str">
            <v>PETROQUISA</v>
          </cell>
          <cell r="D8">
            <v>0</v>
          </cell>
          <cell r="E8">
            <v>0</v>
          </cell>
          <cell r="F8">
            <v>0</v>
          </cell>
          <cell r="G8">
            <v>0</v>
          </cell>
          <cell r="H8">
            <v>0</v>
          </cell>
          <cell r="I8">
            <v>0</v>
          </cell>
          <cell r="J8">
            <v>0</v>
          </cell>
          <cell r="K8">
            <v>0</v>
          </cell>
          <cell r="L8">
            <v>0</v>
          </cell>
          <cell r="M8">
            <v>-1445475.06</v>
          </cell>
          <cell r="N8">
            <v>0</v>
          </cell>
          <cell r="O8">
            <v>0</v>
          </cell>
          <cell r="Q8">
            <v>0</v>
          </cell>
          <cell r="R8" t="str">
            <v>C33795055</v>
          </cell>
          <cell r="S8" t="str">
            <v>PETROQUISA</v>
          </cell>
          <cell r="T8">
            <v>0</v>
          </cell>
          <cell r="U8">
            <v>0</v>
          </cell>
          <cell r="V8">
            <v>0</v>
          </cell>
          <cell r="W8">
            <v>0</v>
          </cell>
          <cell r="X8">
            <v>0</v>
          </cell>
          <cell r="Y8">
            <v>0</v>
          </cell>
          <cell r="Z8">
            <v>0</v>
          </cell>
          <cell r="AA8">
            <v>0</v>
          </cell>
          <cell r="AB8">
            <v>0</v>
          </cell>
          <cell r="AC8">
            <v>-1456533.94</v>
          </cell>
          <cell r="AD8">
            <v>0</v>
          </cell>
          <cell r="AE8">
            <v>0</v>
          </cell>
          <cell r="AG8">
            <v>0</v>
          </cell>
          <cell r="AH8" t="str">
            <v>C33795055</v>
          </cell>
          <cell r="AI8" t="str">
            <v>PETROQUISA</v>
          </cell>
          <cell r="AJ8">
            <v>0</v>
          </cell>
          <cell r="AK8">
            <v>0</v>
          </cell>
          <cell r="AL8">
            <v>0</v>
          </cell>
          <cell r="AM8">
            <v>0</v>
          </cell>
          <cell r="AN8">
            <v>0</v>
          </cell>
          <cell r="AO8">
            <v>0</v>
          </cell>
          <cell r="AP8">
            <v>0</v>
          </cell>
          <cell r="AQ8">
            <v>0</v>
          </cell>
          <cell r="AR8">
            <v>0</v>
          </cell>
          <cell r="AS8">
            <v>-1477653.68</v>
          </cell>
          <cell r="AT8">
            <v>0</v>
          </cell>
          <cell r="AU8">
            <v>0</v>
          </cell>
          <cell r="AW8">
            <v>0</v>
          </cell>
          <cell r="AX8" t="str">
            <v>C33795055</v>
          </cell>
          <cell r="AY8" t="str">
            <v>PETROQUISA</v>
          </cell>
          <cell r="AZ8">
            <v>0</v>
          </cell>
          <cell r="BA8">
            <v>0</v>
          </cell>
          <cell r="BB8">
            <v>0</v>
          </cell>
          <cell r="BC8">
            <v>0</v>
          </cell>
          <cell r="BD8">
            <v>0</v>
          </cell>
          <cell r="BE8">
            <v>0</v>
          </cell>
          <cell r="BF8">
            <v>0</v>
          </cell>
          <cell r="BG8">
            <v>0</v>
          </cell>
          <cell r="BH8">
            <v>0</v>
          </cell>
          <cell r="BI8">
            <v>-31356.2</v>
          </cell>
          <cell r="BJ8">
            <v>0</v>
          </cell>
          <cell r="BK8">
            <v>0</v>
          </cell>
          <cell r="BM8">
            <v>0</v>
          </cell>
          <cell r="BN8" t="str">
            <v>C33795055</v>
          </cell>
          <cell r="BO8" t="str">
            <v>PETROQUISA</v>
          </cell>
          <cell r="BP8">
            <v>0</v>
          </cell>
          <cell r="BQ8">
            <v>0</v>
          </cell>
          <cell r="BR8">
            <v>0</v>
          </cell>
          <cell r="BS8">
            <v>0</v>
          </cell>
          <cell r="BT8">
            <v>0</v>
          </cell>
          <cell r="BU8">
            <v>0</v>
          </cell>
          <cell r="BV8">
            <v>0</v>
          </cell>
          <cell r="BW8">
            <v>0</v>
          </cell>
          <cell r="BX8">
            <v>0</v>
          </cell>
          <cell r="BY8">
            <v>0</v>
          </cell>
          <cell r="BZ8">
            <v>0</v>
          </cell>
          <cell r="CA8">
            <v>0</v>
          </cell>
          <cell r="CC8">
            <v>0</v>
          </cell>
          <cell r="CD8" t="str">
            <v>C33795055</v>
          </cell>
          <cell r="CE8" t="str">
            <v>PETROQUISA</v>
          </cell>
          <cell r="CF8">
            <v>0</v>
          </cell>
          <cell r="CG8">
            <v>0</v>
          </cell>
          <cell r="CH8">
            <v>0</v>
          </cell>
          <cell r="CI8">
            <v>0</v>
          </cell>
          <cell r="CJ8">
            <v>0</v>
          </cell>
          <cell r="CK8">
            <v>0</v>
          </cell>
          <cell r="CL8">
            <v>-10.56</v>
          </cell>
        </row>
        <row r="9">
          <cell r="B9" t="str">
            <v>C42520171</v>
          </cell>
          <cell r="C9" t="str">
            <v>GASPETRO</v>
          </cell>
          <cell r="D9">
            <v>0</v>
          </cell>
          <cell r="E9">
            <v>0</v>
          </cell>
          <cell r="F9">
            <v>0</v>
          </cell>
          <cell r="G9">
            <v>8058058.71</v>
          </cell>
          <cell r="H9">
            <v>0</v>
          </cell>
          <cell r="I9">
            <v>0</v>
          </cell>
          <cell r="J9">
            <v>0</v>
          </cell>
          <cell r="K9">
            <v>0</v>
          </cell>
          <cell r="L9">
            <v>0</v>
          </cell>
          <cell r="M9">
            <v>-2114586.0099999998</v>
          </cell>
          <cell r="N9">
            <v>0</v>
          </cell>
          <cell r="O9">
            <v>0</v>
          </cell>
          <cell r="Q9">
            <v>0</v>
          </cell>
          <cell r="R9" t="str">
            <v>C42520171</v>
          </cell>
          <cell r="S9" t="str">
            <v>GASPETRO</v>
          </cell>
          <cell r="T9">
            <v>0</v>
          </cell>
          <cell r="U9">
            <v>0</v>
          </cell>
          <cell r="V9">
            <v>0</v>
          </cell>
          <cell r="W9">
            <v>8141058.1500000004</v>
          </cell>
          <cell r="X9">
            <v>0</v>
          </cell>
          <cell r="Y9">
            <v>0</v>
          </cell>
          <cell r="Z9">
            <v>0</v>
          </cell>
          <cell r="AA9">
            <v>0</v>
          </cell>
          <cell r="AB9">
            <v>0</v>
          </cell>
          <cell r="AC9">
            <v>-2227585.06</v>
          </cell>
          <cell r="AD9">
            <v>0</v>
          </cell>
          <cell r="AE9">
            <v>0</v>
          </cell>
          <cell r="AG9">
            <v>0</v>
          </cell>
          <cell r="AH9" t="str">
            <v>C42520171</v>
          </cell>
          <cell r="AI9" t="str">
            <v>GASPETRO</v>
          </cell>
          <cell r="AJ9">
            <v>0</v>
          </cell>
          <cell r="AK9">
            <v>0</v>
          </cell>
          <cell r="AL9">
            <v>0</v>
          </cell>
          <cell r="AM9">
            <v>1697571.39</v>
          </cell>
          <cell r="AN9">
            <v>0</v>
          </cell>
          <cell r="AO9">
            <v>0</v>
          </cell>
          <cell r="AP9">
            <v>0</v>
          </cell>
          <cell r="AQ9">
            <v>0</v>
          </cell>
          <cell r="AR9">
            <v>0</v>
          </cell>
          <cell r="AS9">
            <v>-2370617.8199999998</v>
          </cell>
          <cell r="AT9">
            <v>0</v>
          </cell>
          <cell r="AU9">
            <v>0</v>
          </cell>
          <cell r="AW9">
            <v>0</v>
          </cell>
          <cell r="AX9" t="str">
            <v>C42520171</v>
          </cell>
          <cell r="AY9" t="str">
            <v>GASPETRO</v>
          </cell>
          <cell r="AZ9">
            <v>0</v>
          </cell>
          <cell r="BA9">
            <v>0</v>
          </cell>
          <cell r="BB9">
            <v>0</v>
          </cell>
          <cell r="BC9">
            <v>1537376.21</v>
          </cell>
          <cell r="BD9">
            <v>0</v>
          </cell>
          <cell r="BE9">
            <v>0</v>
          </cell>
          <cell r="BF9">
            <v>0</v>
          </cell>
          <cell r="BG9">
            <v>0</v>
          </cell>
          <cell r="BH9">
            <v>0</v>
          </cell>
          <cell r="BI9">
            <v>-2253823.08</v>
          </cell>
          <cell r="BJ9">
            <v>0</v>
          </cell>
          <cell r="BK9">
            <v>0</v>
          </cell>
          <cell r="BM9">
            <v>0</v>
          </cell>
          <cell r="BN9" t="str">
            <v>C42520171</v>
          </cell>
          <cell r="BO9" t="str">
            <v>GASPETRO</v>
          </cell>
          <cell r="BP9">
            <v>0</v>
          </cell>
          <cell r="BQ9">
            <v>0</v>
          </cell>
          <cell r="BR9">
            <v>0</v>
          </cell>
          <cell r="BS9">
            <v>1795791.35</v>
          </cell>
          <cell r="BT9">
            <v>0</v>
          </cell>
          <cell r="BU9">
            <v>0</v>
          </cell>
          <cell r="BV9">
            <v>0</v>
          </cell>
          <cell r="BW9">
            <v>0</v>
          </cell>
          <cell r="BX9">
            <v>0</v>
          </cell>
          <cell r="BY9">
            <v>-2690818.06</v>
          </cell>
          <cell r="BZ9">
            <v>0</v>
          </cell>
          <cell r="CA9">
            <v>0</v>
          </cell>
          <cell r="CC9">
            <v>0</v>
          </cell>
          <cell r="CD9" t="str">
            <v>C42520171</v>
          </cell>
          <cell r="CE9" t="str">
            <v>GASPETRO</v>
          </cell>
          <cell r="CF9">
            <v>0</v>
          </cell>
          <cell r="CG9">
            <v>0</v>
          </cell>
          <cell r="CH9">
            <v>0</v>
          </cell>
          <cell r="CI9">
            <v>0</v>
          </cell>
          <cell r="CJ9">
            <v>0</v>
          </cell>
          <cell r="CK9">
            <v>0</v>
          </cell>
          <cell r="CL9">
            <v>0</v>
          </cell>
          <cell r="CM9">
            <v>0</v>
          </cell>
          <cell r="CN9">
            <v>0</v>
          </cell>
          <cell r="CO9">
            <v>-33573.9</v>
          </cell>
        </row>
        <row r="10">
          <cell r="B10" t="str">
            <v>C01891441</v>
          </cell>
          <cell r="C10" t="str">
            <v>TBG</v>
          </cell>
          <cell r="D10">
            <v>0</v>
          </cell>
          <cell r="E10">
            <v>0</v>
          </cell>
          <cell r="F10">
            <v>0</v>
          </cell>
          <cell r="G10">
            <v>0</v>
          </cell>
          <cell r="H10">
            <v>0</v>
          </cell>
          <cell r="I10">
            <v>0</v>
          </cell>
          <cell r="J10">
            <v>0</v>
          </cell>
          <cell r="K10">
            <v>0</v>
          </cell>
          <cell r="L10">
            <v>0</v>
          </cell>
          <cell r="M10">
            <v>0</v>
          </cell>
          <cell r="N10">
            <v>-3888615.92</v>
          </cell>
          <cell r="O10">
            <v>0</v>
          </cell>
          <cell r="Q10">
            <v>0</v>
          </cell>
          <cell r="R10" t="str">
            <v>C01891441</v>
          </cell>
          <cell r="S10" t="str">
            <v>TBG</v>
          </cell>
          <cell r="T10">
            <v>0</v>
          </cell>
          <cell r="U10">
            <v>0</v>
          </cell>
          <cell r="V10">
            <v>0</v>
          </cell>
          <cell r="W10">
            <v>0</v>
          </cell>
          <cell r="X10">
            <v>0</v>
          </cell>
          <cell r="Y10">
            <v>0</v>
          </cell>
          <cell r="Z10">
            <v>0</v>
          </cell>
          <cell r="AA10">
            <v>0</v>
          </cell>
          <cell r="AB10">
            <v>0</v>
          </cell>
          <cell r="AC10">
            <v>0</v>
          </cell>
          <cell r="AD10">
            <v>9837617.8900000006</v>
          </cell>
          <cell r="AE10">
            <v>0</v>
          </cell>
          <cell r="AG10">
            <v>0</v>
          </cell>
          <cell r="AH10" t="str">
            <v>C01891441</v>
          </cell>
          <cell r="AI10" t="str">
            <v>TBG</v>
          </cell>
          <cell r="AJ10">
            <v>0</v>
          </cell>
          <cell r="AK10">
            <v>0</v>
          </cell>
          <cell r="AL10">
            <v>0</v>
          </cell>
          <cell r="AM10">
            <v>0</v>
          </cell>
          <cell r="AN10">
            <v>0</v>
          </cell>
          <cell r="AO10">
            <v>0</v>
          </cell>
          <cell r="AP10">
            <v>0</v>
          </cell>
          <cell r="AQ10">
            <v>0</v>
          </cell>
          <cell r="AR10">
            <v>0</v>
          </cell>
          <cell r="AS10">
            <v>0</v>
          </cell>
          <cell r="AT10">
            <v>6152138.6200000001</v>
          </cell>
          <cell r="AU10">
            <v>0</v>
          </cell>
          <cell r="AW10">
            <v>0</v>
          </cell>
          <cell r="AX10" t="str">
            <v>C01891441</v>
          </cell>
          <cell r="AY10" t="str">
            <v>TBG</v>
          </cell>
          <cell r="AZ10">
            <v>0</v>
          </cell>
          <cell r="BA10">
            <v>0</v>
          </cell>
          <cell r="BB10">
            <v>0</v>
          </cell>
          <cell r="BC10">
            <v>0</v>
          </cell>
          <cell r="BD10">
            <v>0</v>
          </cell>
          <cell r="BE10">
            <v>0</v>
          </cell>
          <cell r="BF10">
            <v>0</v>
          </cell>
          <cell r="BG10">
            <v>0</v>
          </cell>
          <cell r="BH10">
            <v>0</v>
          </cell>
          <cell r="BI10">
            <v>0</v>
          </cell>
          <cell r="BJ10">
            <v>-17237595.940000001</v>
          </cell>
          <cell r="BK10">
            <v>0</v>
          </cell>
          <cell r="BM10">
            <v>0</v>
          </cell>
          <cell r="BN10" t="str">
            <v>C01891441</v>
          </cell>
          <cell r="BO10" t="str">
            <v>TBG</v>
          </cell>
          <cell r="BP10">
            <v>0</v>
          </cell>
          <cell r="BQ10">
            <v>0</v>
          </cell>
          <cell r="BR10">
            <v>0</v>
          </cell>
          <cell r="BS10">
            <v>0</v>
          </cell>
          <cell r="BT10">
            <v>0</v>
          </cell>
          <cell r="BU10">
            <v>0</v>
          </cell>
          <cell r="BV10">
            <v>0</v>
          </cell>
          <cell r="BW10">
            <v>0</v>
          </cell>
          <cell r="BX10">
            <v>0</v>
          </cell>
          <cell r="BY10">
            <v>0</v>
          </cell>
          <cell r="BZ10">
            <v>-5774884.8399999999</v>
          </cell>
          <cell r="CA10">
            <v>0</v>
          </cell>
          <cell r="CC10">
            <v>0</v>
          </cell>
          <cell r="CD10" t="str">
            <v>C01891441</v>
          </cell>
          <cell r="CE10" t="str">
            <v>TBG</v>
          </cell>
          <cell r="CF10">
            <v>0</v>
          </cell>
          <cell r="CG10">
            <v>0</v>
          </cell>
          <cell r="CH10">
            <v>0</v>
          </cell>
          <cell r="CI10">
            <v>0</v>
          </cell>
          <cell r="CJ10">
            <v>0</v>
          </cell>
          <cell r="CK10">
            <v>0</v>
          </cell>
          <cell r="CL10">
            <v>0</v>
          </cell>
          <cell r="CM10">
            <v>0</v>
          </cell>
          <cell r="CN10">
            <v>0</v>
          </cell>
          <cell r="CO10">
            <v>0</v>
          </cell>
          <cell r="CP10">
            <v>7719192.7999999998</v>
          </cell>
        </row>
        <row r="11">
          <cell r="B11" t="str">
            <v>C42154146</v>
          </cell>
          <cell r="C11" t="str">
            <v>BRASPETRO</v>
          </cell>
          <cell r="D11">
            <v>0</v>
          </cell>
          <cell r="E11">
            <v>0</v>
          </cell>
          <cell r="F11">
            <v>0</v>
          </cell>
          <cell r="G11">
            <v>0</v>
          </cell>
          <cell r="H11">
            <v>0</v>
          </cell>
          <cell r="I11">
            <v>0</v>
          </cell>
          <cell r="J11">
            <v>-456.96</v>
          </cell>
          <cell r="K11">
            <v>0</v>
          </cell>
          <cell r="L11">
            <v>0</v>
          </cell>
          <cell r="M11">
            <v>0</v>
          </cell>
          <cell r="N11">
            <v>-1782.1</v>
          </cell>
          <cell r="O11">
            <v>-98.77</v>
          </cell>
          <cell r="Q11">
            <v>0</v>
          </cell>
          <cell r="R11" t="str">
            <v>C42154146</v>
          </cell>
          <cell r="S11" t="str">
            <v>BRASPETRO</v>
          </cell>
          <cell r="T11">
            <v>0</v>
          </cell>
          <cell r="U11">
            <v>0</v>
          </cell>
          <cell r="V11">
            <v>0</v>
          </cell>
          <cell r="W11">
            <v>0</v>
          </cell>
          <cell r="X11">
            <v>0</v>
          </cell>
          <cell r="Y11">
            <v>0</v>
          </cell>
          <cell r="Z11">
            <v>0</v>
          </cell>
          <cell r="AA11">
            <v>0</v>
          </cell>
          <cell r="AB11">
            <v>0</v>
          </cell>
          <cell r="AC11">
            <v>0</v>
          </cell>
          <cell r="AD11">
            <v>5900.5</v>
          </cell>
          <cell r="AE11">
            <v>249.85</v>
          </cell>
          <cell r="AG11">
            <v>0</v>
          </cell>
          <cell r="AH11" t="str">
            <v>C42154146</v>
          </cell>
          <cell r="AI11" t="str">
            <v>BRASPETRO</v>
          </cell>
          <cell r="AJ11">
            <v>0</v>
          </cell>
          <cell r="AK11">
            <v>0</v>
          </cell>
          <cell r="AL11">
            <v>0</v>
          </cell>
          <cell r="AM11">
            <v>0</v>
          </cell>
          <cell r="AN11">
            <v>0</v>
          </cell>
          <cell r="AO11">
            <v>0</v>
          </cell>
          <cell r="AP11">
            <v>0</v>
          </cell>
          <cell r="AQ11">
            <v>0</v>
          </cell>
          <cell r="AR11">
            <v>0</v>
          </cell>
          <cell r="AS11">
            <v>0</v>
          </cell>
          <cell r="AT11">
            <v>2251.1999999999998</v>
          </cell>
          <cell r="AU11">
            <v>156.25</v>
          </cell>
          <cell r="AW11">
            <v>0</v>
          </cell>
          <cell r="AX11" t="str">
            <v>C42154146</v>
          </cell>
          <cell r="AY11" t="str">
            <v>BRASPETRO</v>
          </cell>
          <cell r="AZ11">
            <v>0</v>
          </cell>
          <cell r="BA11">
            <v>0</v>
          </cell>
          <cell r="BB11">
            <v>0</v>
          </cell>
          <cell r="BC11">
            <v>0</v>
          </cell>
          <cell r="BD11">
            <v>1070400</v>
          </cell>
          <cell r="BE11">
            <v>0</v>
          </cell>
          <cell r="BF11">
            <v>0</v>
          </cell>
          <cell r="BG11">
            <v>0</v>
          </cell>
          <cell r="BH11">
            <v>0</v>
          </cell>
          <cell r="BI11">
            <v>0</v>
          </cell>
          <cell r="BJ11">
            <v>-6273.28</v>
          </cell>
          <cell r="BK11">
            <v>-437.79</v>
          </cell>
          <cell r="BM11">
            <v>0</v>
          </cell>
          <cell r="BN11" t="str">
            <v>C42154146</v>
          </cell>
          <cell r="BO11" t="str">
            <v>BRASPETRO</v>
          </cell>
          <cell r="BP11">
            <v>0</v>
          </cell>
          <cell r="BQ11">
            <v>0</v>
          </cell>
          <cell r="BR11">
            <v>0</v>
          </cell>
          <cell r="BS11">
            <v>0</v>
          </cell>
          <cell r="BT11">
            <v>0</v>
          </cell>
          <cell r="BU11">
            <v>0</v>
          </cell>
          <cell r="BV11">
            <v>0</v>
          </cell>
          <cell r="BW11">
            <v>0</v>
          </cell>
          <cell r="BX11">
            <v>0</v>
          </cell>
          <cell r="BY11">
            <v>0</v>
          </cell>
          <cell r="BZ11">
            <v>-614.42999999999995</v>
          </cell>
          <cell r="CA11">
            <v>-146.66</v>
          </cell>
          <cell r="CC11">
            <v>0</v>
          </cell>
          <cell r="CD11" t="str">
            <v>C42154146</v>
          </cell>
          <cell r="CE11" t="str">
            <v>BRASPETRO</v>
          </cell>
          <cell r="CF11">
            <v>0</v>
          </cell>
          <cell r="CG11">
            <v>0</v>
          </cell>
          <cell r="CH11">
            <v>0</v>
          </cell>
          <cell r="CI11">
            <v>0</v>
          </cell>
          <cell r="CJ11">
            <v>0</v>
          </cell>
          <cell r="CK11">
            <v>0</v>
          </cell>
          <cell r="CL11">
            <v>0</v>
          </cell>
          <cell r="CM11">
            <v>0</v>
          </cell>
          <cell r="CN11">
            <v>0</v>
          </cell>
          <cell r="CO11">
            <v>0</v>
          </cell>
          <cell r="CP11">
            <v>2857.72</v>
          </cell>
          <cell r="CQ11">
            <v>196.04</v>
          </cell>
        </row>
        <row r="12">
          <cell r="B12" t="str">
            <v>P001467</v>
          </cell>
          <cell r="C12" t="str">
            <v>BRASOIL</v>
          </cell>
          <cell r="D12">
            <v>0</v>
          </cell>
          <cell r="E12">
            <v>0</v>
          </cell>
          <cell r="F12">
            <v>0</v>
          </cell>
          <cell r="G12">
            <v>0</v>
          </cell>
          <cell r="H12">
            <v>7702632.3099999996</v>
          </cell>
          <cell r="I12">
            <v>0</v>
          </cell>
          <cell r="J12">
            <v>-14513292.6</v>
          </cell>
          <cell r="K12">
            <v>0</v>
          </cell>
          <cell r="L12">
            <v>0</v>
          </cell>
          <cell r="M12">
            <v>0</v>
          </cell>
          <cell r="N12">
            <v>-20423716.57</v>
          </cell>
          <cell r="O12">
            <v>-2257600.5</v>
          </cell>
          <cell r="Q12">
            <v>0</v>
          </cell>
          <cell r="R12" t="str">
            <v>P001467</v>
          </cell>
          <cell r="S12" t="str">
            <v>BRASOIL</v>
          </cell>
          <cell r="T12">
            <v>0</v>
          </cell>
          <cell r="U12">
            <v>0</v>
          </cell>
          <cell r="V12">
            <v>0</v>
          </cell>
          <cell r="W12">
            <v>0</v>
          </cell>
          <cell r="X12">
            <v>-15732353.290000001</v>
          </cell>
          <cell r="Y12">
            <v>0</v>
          </cell>
          <cell r="Z12">
            <v>-13289452.109999999</v>
          </cell>
          <cell r="AA12">
            <v>0</v>
          </cell>
          <cell r="AB12">
            <v>0</v>
          </cell>
          <cell r="AC12">
            <v>0</v>
          </cell>
          <cell r="AD12">
            <v>44271787.18</v>
          </cell>
          <cell r="AE12">
            <v>11365661.529999999</v>
          </cell>
          <cell r="AG12">
            <v>0</v>
          </cell>
          <cell r="AH12" t="str">
            <v>P001467</v>
          </cell>
          <cell r="AI12" t="str">
            <v>BRASOIL</v>
          </cell>
          <cell r="AJ12">
            <v>0</v>
          </cell>
          <cell r="AK12">
            <v>0</v>
          </cell>
          <cell r="AL12">
            <v>0</v>
          </cell>
          <cell r="AM12">
            <v>0</v>
          </cell>
          <cell r="AN12">
            <v>-12137609.17</v>
          </cell>
          <cell r="AO12">
            <v>0</v>
          </cell>
          <cell r="AP12">
            <v>-14054795.300000001</v>
          </cell>
          <cell r="AQ12">
            <v>0</v>
          </cell>
          <cell r="AR12">
            <v>0</v>
          </cell>
          <cell r="AS12">
            <v>0</v>
          </cell>
          <cell r="AT12">
            <v>30517457.309999995</v>
          </cell>
          <cell r="AU12">
            <v>6937426.5599999996</v>
          </cell>
          <cell r="AW12">
            <v>0</v>
          </cell>
          <cell r="AX12" t="str">
            <v>P001467</v>
          </cell>
          <cell r="AY12" t="str">
            <v>BRASOIL</v>
          </cell>
          <cell r="AZ12">
            <v>0</v>
          </cell>
          <cell r="BA12">
            <v>0</v>
          </cell>
          <cell r="BB12">
            <v>0</v>
          </cell>
          <cell r="BC12">
            <v>0</v>
          </cell>
          <cell r="BD12">
            <v>25598447.399999999</v>
          </cell>
          <cell r="BE12">
            <v>0</v>
          </cell>
          <cell r="BF12">
            <v>-14048784.92</v>
          </cell>
          <cell r="BG12">
            <v>0</v>
          </cell>
          <cell r="BH12">
            <v>0</v>
          </cell>
          <cell r="BI12">
            <v>0</v>
          </cell>
          <cell r="BJ12">
            <v>-84761992.739999995</v>
          </cell>
          <cell r="BK12">
            <v>-15312859.559999999</v>
          </cell>
          <cell r="BM12">
            <v>0</v>
          </cell>
          <cell r="BN12" t="str">
            <v>P001467</v>
          </cell>
          <cell r="BO12" t="str">
            <v>BRASOIL</v>
          </cell>
          <cell r="BP12">
            <v>0</v>
          </cell>
          <cell r="BQ12">
            <v>0</v>
          </cell>
          <cell r="BR12">
            <v>0</v>
          </cell>
          <cell r="BS12">
            <v>0</v>
          </cell>
          <cell r="BT12">
            <v>7803672.5300000003</v>
          </cell>
          <cell r="BU12">
            <v>0</v>
          </cell>
          <cell r="BV12">
            <v>-15931339.119999999</v>
          </cell>
          <cell r="BW12">
            <v>0</v>
          </cell>
          <cell r="BX12">
            <v>0</v>
          </cell>
          <cell r="BY12">
            <v>0</v>
          </cell>
          <cell r="BZ12">
            <v>-31890999.18</v>
          </cell>
          <cell r="CA12">
            <v>-6288992.2800000003</v>
          </cell>
          <cell r="CC12">
            <v>0</v>
          </cell>
          <cell r="CD12" t="str">
            <v>P001467</v>
          </cell>
          <cell r="CE12" t="str">
            <v>BRASOIL</v>
          </cell>
          <cell r="CF12">
            <v>356.96</v>
          </cell>
          <cell r="CG12">
            <v>0</v>
          </cell>
          <cell r="CH12">
            <v>0</v>
          </cell>
          <cell r="CI12">
            <v>0</v>
          </cell>
          <cell r="CJ12">
            <v>-13865256.08</v>
          </cell>
          <cell r="CK12">
            <v>0</v>
          </cell>
          <cell r="CL12">
            <v>-15087701.199999999</v>
          </cell>
          <cell r="CM12">
            <v>0</v>
          </cell>
          <cell r="CN12">
            <v>0</v>
          </cell>
          <cell r="CO12">
            <v>0</v>
          </cell>
          <cell r="CP12">
            <v>48157305.660000004</v>
          </cell>
          <cell r="CQ12">
            <v>5269587.76</v>
          </cell>
        </row>
        <row r="13">
          <cell r="B13" t="str">
            <v>P002797</v>
          </cell>
          <cell r="C13" t="str">
            <v>PAI</v>
          </cell>
          <cell r="D13">
            <v>0</v>
          </cell>
          <cell r="E13">
            <v>0</v>
          </cell>
          <cell r="F13">
            <v>0</v>
          </cell>
          <cell r="G13">
            <v>0</v>
          </cell>
          <cell r="H13">
            <v>458507.15</v>
          </cell>
          <cell r="I13">
            <v>0</v>
          </cell>
          <cell r="J13">
            <v>0</v>
          </cell>
          <cell r="K13">
            <v>0</v>
          </cell>
          <cell r="L13">
            <v>0</v>
          </cell>
          <cell r="M13">
            <v>0</v>
          </cell>
          <cell r="N13">
            <v>-33334.35</v>
          </cell>
          <cell r="O13">
            <v>-37.5</v>
          </cell>
          <cell r="Q13">
            <v>0</v>
          </cell>
          <cell r="R13" t="str">
            <v>P002797</v>
          </cell>
          <cell r="S13" t="str">
            <v>PAI</v>
          </cell>
          <cell r="T13">
            <v>0</v>
          </cell>
          <cell r="U13">
            <v>0</v>
          </cell>
          <cell r="V13">
            <v>0</v>
          </cell>
          <cell r="W13">
            <v>0</v>
          </cell>
          <cell r="X13">
            <v>-279334.96000000002</v>
          </cell>
          <cell r="Y13">
            <v>0</v>
          </cell>
          <cell r="Z13">
            <v>0</v>
          </cell>
          <cell r="AA13">
            <v>0</v>
          </cell>
          <cell r="AB13">
            <v>0</v>
          </cell>
          <cell r="AC13">
            <v>0</v>
          </cell>
          <cell r="AD13">
            <v>84330.94</v>
          </cell>
          <cell r="AE13">
            <v>94.87</v>
          </cell>
          <cell r="AG13">
            <v>0</v>
          </cell>
          <cell r="AH13" t="str">
            <v>P002797</v>
          </cell>
          <cell r="AI13" t="str">
            <v>PAI</v>
          </cell>
          <cell r="AJ13">
            <v>0</v>
          </cell>
          <cell r="AK13">
            <v>0</v>
          </cell>
          <cell r="AL13">
            <v>0</v>
          </cell>
          <cell r="AM13">
            <v>0</v>
          </cell>
          <cell r="AN13">
            <v>-320186.33</v>
          </cell>
          <cell r="AO13">
            <v>0</v>
          </cell>
          <cell r="AP13">
            <v>0</v>
          </cell>
          <cell r="AQ13">
            <v>0</v>
          </cell>
          <cell r="AR13">
            <v>0</v>
          </cell>
          <cell r="AS13">
            <v>0</v>
          </cell>
          <cell r="AT13">
            <v>52737.93</v>
          </cell>
          <cell r="AU13">
            <v>59.33</v>
          </cell>
          <cell r="AW13">
            <v>0</v>
          </cell>
          <cell r="AX13" t="str">
            <v>P002797</v>
          </cell>
          <cell r="AY13" t="str">
            <v>PAI</v>
          </cell>
          <cell r="AZ13">
            <v>0</v>
          </cell>
          <cell r="BA13">
            <v>0</v>
          </cell>
          <cell r="BB13">
            <v>0</v>
          </cell>
          <cell r="BC13">
            <v>0</v>
          </cell>
          <cell r="BD13">
            <v>476643.69</v>
          </cell>
          <cell r="BE13">
            <v>0</v>
          </cell>
          <cell r="BF13">
            <v>0</v>
          </cell>
          <cell r="BG13">
            <v>0</v>
          </cell>
          <cell r="BH13">
            <v>0</v>
          </cell>
          <cell r="BI13">
            <v>0</v>
          </cell>
          <cell r="BJ13">
            <v>-152276.97</v>
          </cell>
          <cell r="BK13">
            <v>-166.23</v>
          </cell>
          <cell r="BM13">
            <v>0</v>
          </cell>
          <cell r="BN13" t="str">
            <v>P002797</v>
          </cell>
          <cell r="BO13" t="str">
            <v>PAI</v>
          </cell>
          <cell r="BP13">
            <v>0</v>
          </cell>
          <cell r="BQ13">
            <v>0</v>
          </cell>
          <cell r="BR13">
            <v>0</v>
          </cell>
          <cell r="BS13">
            <v>0</v>
          </cell>
          <cell r="BT13">
            <v>682726.61</v>
          </cell>
          <cell r="BU13">
            <v>0</v>
          </cell>
          <cell r="BV13">
            <v>0</v>
          </cell>
          <cell r="BW13">
            <v>0</v>
          </cell>
          <cell r="BX13">
            <v>0</v>
          </cell>
          <cell r="BY13">
            <v>0</v>
          </cell>
          <cell r="BZ13">
            <v>-52367.46</v>
          </cell>
          <cell r="CA13">
            <v>-55.69</v>
          </cell>
          <cell r="CC13">
            <v>0</v>
          </cell>
          <cell r="CD13" t="str">
            <v>P002797</v>
          </cell>
          <cell r="CE13" t="str">
            <v>PAI</v>
          </cell>
          <cell r="CF13">
            <v>0</v>
          </cell>
          <cell r="CG13">
            <v>0</v>
          </cell>
          <cell r="CH13">
            <v>0</v>
          </cell>
          <cell r="CI13">
            <v>0</v>
          </cell>
          <cell r="CJ13">
            <v>-440922.10000000003</v>
          </cell>
          <cell r="CK13">
            <v>0</v>
          </cell>
          <cell r="CL13">
            <v>0</v>
          </cell>
          <cell r="CM13">
            <v>0</v>
          </cell>
          <cell r="CN13">
            <v>0</v>
          </cell>
          <cell r="CO13">
            <v>0</v>
          </cell>
          <cell r="CP13">
            <v>67008.06</v>
          </cell>
          <cell r="CQ13">
            <v>74.44</v>
          </cell>
        </row>
        <row r="14">
          <cell r="B14" t="str">
            <v>P007120</v>
          </cell>
          <cell r="C14" t="str">
            <v>PAR</v>
          </cell>
          <cell r="D14">
            <v>0</v>
          </cell>
          <cell r="E14">
            <v>0</v>
          </cell>
          <cell r="F14">
            <v>0</v>
          </cell>
          <cell r="G14">
            <v>0</v>
          </cell>
          <cell r="H14">
            <v>82157.179999999993</v>
          </cell>
          <cell r="I14">
            <v>0</v>
          </cell>
          <cell r="J14">
            <v>0</v>
          </cell>
          <cell r="K14">
            <v>0</v>
          </cell>
          <cell r="L14">
            <v>0</v>
          </cell>
          <cell r="M14">
            <v>0</v>
          </cell>
          <cell r="N14">
            <v>0</v>
          </cell>
          <cell r="O14">
            <v>0</v>
          </cell>
          <cell r="Q14">
            <v>0</v>
          </cell>
          <cell r="R14" t="str">
            <v>P007120</v>
          </cell>
          <cell r="S14" t="str">
            <v>PAR</v>
          </cell>
          <cell r="T14">
            <v>0</v>
          </cell>
          <cell r="U14">
            <v>0</v>
          </cell>
          <cell r="V14">
            <v>0</v>
          </cell>
          <cell r="W14">
            <v>0</v>
          </cell>
          <cell r="X14">
            <v>-225787.86</v>
          </cell>
          <cell r="Y14">
            <v>0</v>
          </cell>
          <cell r="Z14">
            <v>0</v>
          </cell>
          <cell r="AA14">
            <v>0</v>
          </cell>
          <cell r="AB14">
            <v>0</v>
          </cell>
          <cell r="AC14">
            <v>0</v>
          </cell>
          <cell r="AD14">
            <v>0</v>
          </cell>
          <cell r="AE14">
            <v>0</v>
          </cell>
          <cell r="AG14">
            <v>0</v>
          </cell>
          <cell r="AH14" t="str">
            <v>P007120</v>
          </cell>
          <cell r="AI14" t="str">
            <v>PAR</v>
          </cell>
          <cell r="AJ14">
            <v>0</v>
          </cell>
          <cell r="AK14">
            <v>0</v>
          </cell>
          <cell r="AL14">
            <v>0</v>
          </cell>
          <cell r="AM14">
            <v>0</v>
          </cell>
          <cell r="AN14">
            <v>-137455.98000000001</v>
          </cell>
          <cell r="AO14">
            <v>0</v>
          </cell>
          <cell r="AP14">
            <v>0</v>
          </cell>
          <cell r="AQ14">
            <v>0</v>
          </cell>
          <cell r="AR14">
            <v>0</v>
          </cell>
          <cell r="AS14">
            <v>0</v>
          </cell>
          <cell r="AT14">
            <v>0</v>
          </cell>
          <cell r="AU14">
            <v>0</v>
          </cell>
          <cell r="AW14">
            <v>0</v>
          </cell>
          <cell r="AX14" t="str">
            <v>P007120</v>
          </cell>
          <cell r="AY14" t="str">
            <v>PAR</v>
          </cell>
          <cell r="AZ14">
            <v>0</v>
          </cell>
          <cell r="BA14">
            <v>0</v>
          </cell>
          <cell r="BB14">
            <v>0</v>
          </cell>
          <cell r="BC14">
            <v>0</v>
          </cell>
          <cell r="BD14">
            <v>389007.28</v>
          </cell>
          <cell r="BE14">
            <v>0</v>
          </cell>
          <cell r="BF14">
            <v>0</v>
          </cell>
          <cell r="BG14">
            <v>0</v>
          </cell>
          <cell r="BH14">
            <v>0</v>
          </cell>
          <cell r="BI14">
            <v>0</v>
          </cell>
          <cell r="BJ14">
            <v>0</v>
          </cell>
          <cell r="BK14">
            <v>0</v>
          </cell>
          <cell r="BM14">
            <v>0</v>
          </cell>
          <cell r="BN14" t="str">
            <v>P007120</v>
          </cell>
          <cell r="BO14" t="str">
            <v>PAR</v>
          </cell>
          <cell r="BP14">
            <v>0</v>
          </cell>
          <cell r="BQ14">
            <v>0</v>
          </cell>
          <cell r="BR14">
            <v>0</v>
          </cell>
          <cell r="BS14">
            <v>0</v>
          </cell>
          <cell r="BT14">
            <v>144443.48000000001</v>
          </cell>
          <cell r="BU14">
            <v>0</v>
          </cell>
          <cell r="BV14">
            <v>0</v>
          </cell>
          <cell r="BW14">
            <v>0</v>
          </cell>
          <cell r="BX14">
            <v>0</v>
          </cell>
          <cell r="BY14">
            <v>0</v>
          </cell>
          <cell r="BZ14">
            <v>0</v>
          </cell>
          <cell r="CA14">
            <v>0</v>
          </cell>
          <cell r="CC14">
            <v>0</v>
          </cell>
          <cell r="CD14" t="str">
            <v>P007120</v>
          </cell>
          <cell r="CE14" t="str">
            <v>PAR</v>
          </cell>
          <cell r="CF14">
            <v>0</v>
          </cell>
          <cell r="CG14">
            <v>0</v>
          </cell>
          <cell r="CH14">
            <v>0</v>
          </cell>
          <cell r="CI14">
            <v>0</v>
          </cell>
          <cell r="CJ14">
            <v>-255256.71000000002</v>
          </cell>
        </row>
        <row r="15">
          <cell r="B15" t="str">
            <v>P009099</v>
          </cell>
          <cell r="C15" t="str">
            <v>PETROGASBOL</v>
          </cell>
          <cell r="D15">
            <v>0</v>
          </cell>
          <cell r="E15">
            <v>0</v>
          </cell>
          <cell r="F15">
            <v>0</v>
          </cell>
          <cell r="G15">
            <v>0</v>
          </cell>
          <cell r="H15">
            <v>0</v>
          </cell>
          <cell r="I15">
            <v>0</v>
          </cell>
          <cell r="J15">
            <v>0</v>
          </cell>
          <cell r="K15">
            <v>0</v>
          </cell>
          <cell r="L15">
            <v>0</v>
          </cell>
          <cell r="M15">
            <v>0</v>
          </cell>
          <cell r="N15">
            <v>-90038.3</v>
          </cell>
          <cell r="O15">
            <v>0</v>
          </cell>
          <cell r="Q15">
            <v>0</v>
          </cell>
          <cell r="R15" t="str">
            <v>P009099</v>
          </cell>
          <cell r="S15" t="str">
            <v>PETROGASBOL</v>
          </cell>
          <cell r="T15">
            <v>0</v>
          </cell>
          <cell r="U15">
            <v>0</v>
          </cell>
          <cell r="V15">
            <v>0</v>
          </cell>
          <cell r="W15">
            <v>0</v>
          </cell>
          <cell r="X15">
            <v>0</v>
          </cell>
          <cell r="Y15">
            <v>0</v>
          </cell>
          <cell r="Z15">
            <v>0</v>
          </cell>
          <cell r="AA15">
            <v>0</v>
          </cell>
          <cell r="AB15">
            <v>0</v>
          </cell>
          <cell r="AC15">
            <v>0</v>
          </cell>
          <cell r="AD15">
            <v>233125.58</v>
          </cell>
          <cell r="AE15">
            <v>0</v>
          </cell>
          <cell r="AG15">
            <v>0</v>
          </cell>
          <cell r="AH15" t="str">
            <v>P009099</v>
          </cell>
          <cell r="AI15" t="str">
            <v>PETROGASBOL</v>
          </cell>
          <cell r="AJ15">
            <v>0</v>
          </cell>
          <cell r="AK15">
            <v>0</v>
          </cell>
          <cell r="AL15">
            <v>0</v>
          </cell>
          <cell r="AM15">
            <v>0</v>
          </cell>
          <cell r="AN15">
            <v>0</v>
          </cell>
          <cell r="AO15">
            <v>0</v>
          </cell>
          <cell r="AP15">
            <v>0</v>
          </cell>
          <cell r="AQ15">
            <v>0</v>
          </cell>
          <cell r="AR15">
            <v>0</v>
          </cell>
          <cell r="AS15">
            <v>0</v>
          </cell>
          <cell r="AT15">
            <v>163677.26</v>
          </cell>
          <cell r="AU15">
            <v>0</v>
          </cell>
          <cell r="AW15">
            <v>0</v>
          </cell>
          <cell r="AX15" t="str">
            <v>P009099</v>
          </cell>
          <cell r="AY15" t="str">
            <v>PETROGASBOL</v>
          </cell>
          <cell r="AZ15">
            <v>0</v>
          </cell>
          <cell r="BA15">
            <v>0</v>
          </cell>
          <cell r="BB15">
            <v>0</v>
          </cell>
          <cell r="BC15">
            <v>0</v>
          </cell>
          <cell r="BD15">
            <v>0</v>
          </cell>
          <cell r="BE15">
            <v>0</v>
          </cell>
          <cell r="BF15">
            <v>0</v>
          </cell>
          <cell r="BG15">
            <v>0</v>
          </cell>
          <cell r="BH15">
            <v>0</v>
          </cell>
          <cell r="BI15">
            <v>0</v>
          </cell>
          <cell r="BJ15">
            <v>-579308.76</v>
          </cell>
          <cell r="BK15">
            <v>0</v>
          </cell>
          <cell r="BM15">
            <v>0</v>
          </cell>
          <cell r="BN15" t="str">
            <v>P009099</v>
          </cell>
          <cell r="BO15" t="str">
            <v>PETROGASBOL</v>
          </cell>
          <cell r="BP15">
            <v>0</v>
          </cell>
          <cell r="BQ15">
            <v>0</v>
          </cell>
          <cell r="BR15">
            <v>0</v>
          </cell>
          <cell r="BS15">
            <v>0</v>
          </cell>
          <cell r="BT15">
            <v>0</v>
          </cell>
          <cell r="BU15">
            <v>0</v>
          </cell>
          <cell r="BV15">
            <v>0</v>
          </cell>
          <cell r="BW15">
            <v>0</v>
          </cell>
          <cell r="BX15">
            <v>0</v>
          </cell>
          <cell r="BY15">
            <v>0</v>
          </cell>
          <cell r="BZ15">
            <v>-16055.58</v>
          </cell>
          <cell r="CA15">
            <v>0</v>
          </cell>
          <cell r="CC15">
            <v>0</v>
          </cell>
          <cell r="CD15" t="str">
            <v>P009099</v>
          </cell>
          <cell r="CE15" t="str">
            <v>PETROGASBOL</v>
          </cell>
          <cell r="CF15">
            <v>0</v>
          </cell>
          <cell r="CG15">
            <v>0</v>
          </cell>
          <cell r="CH15">
            <v>0</v>
          </cell>
          <cell r="CI15">
            <v>0</v>
          </cell>
          <cell r="CJ15">
            <v>0</v>
          </cell>
          <cell r="CK15">
            <v>0</v>
          </cell>
          <cell r="CL15">
            <v>0</v>
          </cell>
          <cell r="CM15">
            <v>0</v>
          </cell>
          <cell r="CN15">
            <v>0</v>
          </cell>
          <cell r="CO15">
            <v>0</v>
          </cell>
          <cell r="CP15">
            <v>198951.51</v>
          </cell>
        </row>
        <row r="16">
          <cell r="B16" t="str">
            <v>P009797</v>
          </cell>
          <cell r="C16" t="str">
            <v>PIFCO</v>
          </cell>
          <cell r="D16">
            <v>32129037.109999999</v>
          </cell>
          <cell r="E16">
            <v>0</v>
          </cell>
          <cell r="F16">
            <v>0</v>
          </cell>
          <cell r="G16">
            <v>0</v>
          </cell>
          <cell r="H16">
            <v>40072511.68</v>
          </cell>
          <cell r="I16">
            <v>0</v>
          </cell>
          <cell r="J16">
            <v>-19211771.989999998</v>
          </cell>
          <cell r="K16">
            <v>0</v>
          </cell>
          <cell r="L16">
            <v>0</v>
          </cell>
          <cell r="M16">
            <v>0</v>
          </cell>
          <cell r="N16">
            <v>-22460982.059999999</v>
          </cell>
          <cell r="O16">
            <v>-638.27</v>
          </cell>
          <cell r="Q16">
            <v>0</v>
          </cell>
          <cell r="R16" t="str">
            <v>P009797</v>
          </cell>
          <cell r="S16" t="str">
            <v>PIFCO</v>
          </cell>
          <cell r="T16">
            <v>29981770.169999998</v>
          </cell>
          <cell r="U16">
            <v>0</v>
          </cell>
          <cell r="V16">
            <v>0</v>
          </cell>
          <cell r="W16">
            <v>0</v>
          </cell>
          <cell r="X16">
            <v>-96287239.680000007</v>
          </cell>
          <cell r="Y16">
            <v>0</v>
          </cell>
          <cell r="Z16">
            <v>-19414857.469999999</v>
          </cell>
          <cell r="AA16">
            <v>0</v>
          </cell>
          <cell r="AB16">
            <v>0</v>
          </cell>
          <cell r="AC16">
            <v>0</v>
          </cell>
          <cell r="AD16">
            <v>58636033.950000003</v>
          </cell>
          <cell r="AE16">
            <v>1211.32</v>
          </cell>
          <cell r="AG16">
            <v>0</v>
          </cell>
          <cell r="AH16" t="str">
            <v>P009797</v>
          </cell>
          <cell r="AI16" t="str">
            <v>PIFCO</v>
          </cell>
          <cell r="AJ16">
            <v>38783600.979999997</v>
          </cell>
          <cell r="AK16">
            <v>0</v>
          </cell>
          <cell r="AL16">
            <v>0</v>
          </cell>
          <cell r="AM16">
            <v>0</v>
          </cell>
          <cell r="AN16">
            <v>-66527860.670000002</v>
          </cell>
          <cell r="AO16">
            <v>0</v>
          </cell>
          <cell r="AP16">
            <v>-20146186.82</v>
          </cell>
          <cell r="AQ16">
            <v>0</v>
          </cell>
          <cell r="AR16">
            <v>0</v>
          </cell>
          <cell r="AS16">
            <v>0</v>
          </cell>
          <cell r="AT16">
            <v>37197817.409999996</v>
          </cell>
          <cell r="AU16">
            <v>7987.34</v>
          </cell>
          <cell r="AW16">
            <v>0</v>
          </cell>
          <cell r="AX16" t="str">
            <v>P009797</v>
          </cell>
          <cell r="AY16" t="str">
            <v>PIFCO</v>
          </cell>
          <cell r="AZ16">
            <v>18475228.129999995</v>
          </cell>
          <cell r="BA16">
            <v>0</v>
          </cell>
          <cell r="BB16">
            <v>0</v>
          </cell>
          <cell r="BC16">
            <v>0</v>
          </cell>
          <cell r="BD16">
            <v>181996177.03</v>
          </cell>
          <cell r="BE16">
            <v>0</v>
          </cell>
          <cell r="BF16">
            <v>-21089547.489999998</v>
          </cell>
          <cell r="BG16">
            <v>0</v>
          </cell>
          <cell r="BH16">
            <v>0</v>
          </cell>
          <cell r="BI16">
            <v>0</v>
          </cell>
          <cell r="BJ16">
            <v>-114949003.65000001</v>
          </cell>
          <cell r="BK16">
            <v>-24965.05</v>
          </cell>
          <cell r="BM16">
            <v>0</v>
          </cell>
          <cell r="BN16" t="str">
            <v>P009797</v>
          </cell>
          <cell r="BO16" t="str">
            <v>PIFCO</v>
          </cell>
          <cell r="BP16">
            <v>13384098.609999999</v>
          </cell>
          <cell r="BQ16">
            <v>0</v>
          </cell>
          <cell r="BR16">
            <v>0</v>
          </cell>
          <cell r="BS16">
            <v>0</v>
          </cell>
          <cell r="BT16">
            <v>60736332.32</v>
          </cell>
          <cell r="BU16">
            <v>0</v>
          </cell>
          <cell r="BV16">
            <v>-20519285.989999998</v>
          </cell>
          <cell r="BW16">
            <v>0</v>
          </cell>
          <cell r="BX16">
            <v>0</v>
          </cell>
          <cell r="BY16">
            <v>0</v>
          </cell>
          <cell r="BZ16">
            <v>-37395876.619999997</v>
          </cell>
          <cell r="CA16">
            <v>3748.51</v>
          </cell>
          <cell r="CC16">
            <v>0</v>
          </cell>
          <cell r="CD16" t="str">
            <v>P009797</v>
          </cell>
          <cell r="CE16" t="str">
            <v>PIFCO</v>
          </cell>
          <cell r="CF16">
            <v>60723230.670000002</v>
          </cell>
          <cell r="CG16">
            <v>0</v>
          </cell>
          <cell r="CH16">
            <v>0</v>
          </cell>
          <cell r="CI16">
            <v>0</v>
          </cell>
          <cell r="CJ16">
            <v>-86833284.120000005</v>
          </cell>
          <cell r="CK16">
            <v>0</v>
          </cell>
          <cell r="CL16">
            <v>-19562501.41</v>
          </cell>
          <cell r="CM16">
            <v>0</v>
          </cell>
          <cell r="CN16">
            <v>0</v>
          </cell>
          <cell r="CO16">
            <v>0</v>
          </cell>
          <cell r="CP16">
            <v>44651680.200000003</v>
          </cell>
          <cell r="CQ16">
            <v>13460.99</v>
          </cell>
        </row>
        <row r="17">
          <cell r="B17" t="str">
            <v>P010128</v>
          </cell>
          <cell r="C17" t="str">
            <v>BRASOIL ALLIANCE</v>
          </cell>
          <cell r="D17">
            <v>0</v>
          </cell>
          <cell r="E17">
            <v>0</v>
          </cell>
          <cell r="F17">
            <v>0</v>
          </cell>
          <cell r="G17">
            <v>0</v>
          </cell>
          <cell r="H17">
            <v>0</v>
          </cell>
          <cell r="I17">
            <v>0</v>
          </cell>
          <cell r="J17">
            <v>0</v>
          </cell>
          <cell r="K17">
            <v>0</v>
          </cell>
          <cell r="L17">
            <v>0</v>
          </cell>
          <cell r="M17">
            <v>0</v>
          </cell>
          <cell r="N17">
            <v>0</v>
          </cell>
          <cell r="O17">
            <v>-42145.3</v>
          </cell>
          <cell r="Q17">
            <v>0</v>
          </cell>
          <cell r="R17" t="str">
            <v>P010128</v>
          </cell>
          <cell r="S17" t="str">
            <v>BRASOIL ALLIANCE</v>
          </cell>
          <cell r="T17">
            <v>0</v>
          </cell>
          <cell r="U17">
            <v>0</v>
          </cell>
          <cell r="V17">
            <v>0</v>
          </cell>
          <cell r="W17">
            <v>0</v>
          </cell>
          <cell r="X17">
            <v>0</v>
          </cell>
          <cell r="Y17">
            <v>0</v>
          </cell>
          <cell r="Z17">
            <v>0</v>
          </cell>
          <cell r="AA17">
            <v>0</v>
          </cell>
          <cell r="AB17">
            <v>0</v>
          </cell>
          <cell r="AC17">
            <v>0</v>
          </cell>
          <cell r="AD17">
            <v>0</v>
          </cell>
          <cell r="AE17">
            <v>0</v>
          </cell>
          <cell r="AG17">
            <v>0</v>
          </cell>
          <cell r="AH17" t="str">
            <v>P010128</v>
          </cell>
          <cell r="AI17" t="str">
            <v>BRASOIL ALLIANCE</v>
          </cell>
          <cell r="AJ17">
            <v>0</v>
          </cell>
          <cell r="AK17">
            <v>0</v>
          </cell>
          <cell r="AL17">
            <v>0</v>
          </cell>
          <cell r="AM17">
            <v>0</v>
          </cell>
          <cell r="AN17">
            <v>0</v>
          </cell>
          <cell r="AO17">
            <v>0</v>
          </cell>
          <cell r="AP17">
            <v>0</v>
          </cell>
          <cell r="AQ17">
            <v>0</v>
          </cell>
          <cell r="AR17">
            <v>0</v>
          </cell>
          <cell r="AS17">
            <v>0</v>
          </cell>
          <cell r="AT17">
            <v>0</v>
          </cell>
          <cell r="AU17">
            <v>0</v>
          </cell>
          <cell r="AW17">
            <v>0</v>
          </cell>
          <cell r="AX17" t="str">
            <v>P010128</v>
          </cell>
          <cell r="AY17" t="str">
            <v>BRASOIL ALLIANCE</v>
          </cell>
          <cell r="AZ17">
            <v>0</v>
          </cell>
          <cell r="BA17">
            <v>0</v>
          </cell>
          <cell r="BB17">
            <v>0</v>
          </cell>
          <cell r="BC17">
            <v>0</v>
          </cell>
          <cell r="BD17">
            <v>0</v>
          </cell>
          <cell r="BE17">
            <v>0</v>
          </cell>
          <cell r="BF17">
            <v>0</v>
          </cell>
          <cell r="BG17">
            <v>0</v>
          </cell>
          <cell r="BH17">
            <v>0</v>
          </cell>
          <cell r="BI17">
            <v>0</v>
          </cell>
          <cell r="BJ17">
            <v>0</v>
          </cell>
          <cell r="BK17">
            <v>0</v>
          </cell>
          <cell r="BM17">
            <v>0</v>
          </cell>
          <cell r="BN17" t="str">
            <v>P010128</v>
          </cell>
          <cell r="BO17" t="str">
            <v>BRASOIL ALLIANCE</v>
          </cell>
          <cell r="BP17">
            <v>0</v>
          </cell>
          <cell r="BQ17">
            <v>0</v>
          </cell>
          <cell r="BR17">
            <v>0</v>
          </cell>
          <cell r="BS17">
            <v>0</v>
          </cell>
          <cell r="BT17">
            <v>0</v>
          </cell>
          <cell r="BU17">
            <v>0</v>
          </cell>
          <cell r="BV17">
            <v>0</v>
          </cell>
          <cell r="BW17">
            <v>0</v>
          </cell>
          <cell r="BX17">
            <v>0</v>
          </cell>
          <cell r="BY17">
            <v>0</v>
          </cell>
          <cell r="BZ17">
            <v>0</v>
          </cell>
          <cell r="CA17">
            <v>0</v>
          </cell>
          <cell r="CC17">
            <v>0</v>
          </cell>
          <cell r="CD17" t="str">
            <v>P010128</v>
          </cell>
          <cell r="CE17" t="str">
            <v>BRASOIL ALLIANCE</v>
          </cell>
        </row>
        <row r="18">
          <cell r="B18" t="str">
            <v>P010224</v>
          </cell>
          <cell r="C18" t="str">
            <v>CATLEIA</v>
          </cell>
          <cell r="D18">
            <v>418700.69</v>
          </cell>
          <cell r="E18">
            <v>0</v>
          </cell>
          <cell r="F18">
            <v>0</v>
          </cell>
          <cell r="G18">
            <v>0</v>
          </cell>
          <cell r="H18">
            <v>3238736.78</v>
          </cell>
          <cell r="I18">
            <v>0</v>
          </cell>
          <cell r="J18">
            <v>0</v>
          </cell>
          <cell r="K18">
            <v>0</v>
          </cell>
          <cell r="L18">
            <v>0</v>
          </cell>
          <cell r="M18">
            <v>0</v>
          </cell>
          <cell r="N18">
            <v>0</v>
          </cell>
          <cell r="O18">
            <v>0</v>
          </cell>
          <cell r="Q18">
            <v>0</v>
          </cell>
          <cell r="R18" t="str">
            <v>P010224</v>
          </cell>
          <cell r="S18" t="str">
            <v>CATLEIA</v>
          </cell>
          <cell r="T18">
            <v>803021.47</v>
          </cell>
          <cell r="U18">
            <v>0</v>
          </cell>
          <cell r="V18">
            <v>0</v>
          </cell>
          <cell r="W18">
            <v>0</v>
          </cell>
          <cell r="X18">
            <v>-7886703.1699999999</v>
          </cell>
          <cell r="Y18">
            <v>0</v>
          </cell>
          <cell r="Z18">
            <v>-418700.69</v>
          </cell>
          <cell r="AA18">
            <v>0</v>
          </cell>
          <cell r="AB18">
            <v>0</v>
          </cell>
          <cell r="AC18">
            <v>0</v>
          </cell>
          <cell r="AD18">
            <v>0</v>
          </cell>
          <cell r="AE18">
            <v>0</v>
          </cell>
          <cell r="AG18">
            <v>0</v>
          </cell>
          <cell r="AH18" t="str">
            <v>P010224</v>
          </cell>
          <cell r="AI18" t="str">
            <v>CATLEIA</v>
          </cell>
          <cell r="AJ18">
            <v>405900.86</v>
          </cell>
          <cell r="AK18">
            <v>0</v>
          </cell>
          <cell r="AL18">
            <v>0</v>
          </cell>
          <cell r="AM18">
            <v>0</v>
          </cell>
          <cell r="AN18">
            <v>-5303907.1399999997</v>
          </cell>
          <cell r="AO18">
            <v>0</v>
          </cell>
          <cell r="AP18">
            <v>0</v>
          </cell>
          <cell r="AQ18">
            <v>0</v>
          </cell>
          <cell r="AR18">
            <v>0</v>
          </cell>
          <cell r="AS18">
            <v>0</v>
          </cell>
          <cell r="AT18">
            <v>0</v>
          </cell>
          <cell r="AU18">
            <v>0</v>
          </cell>
          <cell r="AW18">
            <v>0</v>
          </cell>
          <cell r="AX18" t="str">
            <v>P010224</v>
          </cell>
          <cell r="AY18" t="str">
            <v>CATLEIA</v>
          </cell>
          <cell r="AZ18">
            <v>1209182.3500000001</v>
          </cell>
          <cell r="BA18">
            <v>0</v>
          </cell>
          <cell r="BB18">
            <v>0</v>
          </cell>
          <cell r="BC18">
            <v>0</v>
          </cell>
          <cell r="BD18">
            <v>16970318.07</v>
          </cell>
          <cell r="BE18">
            <v>0</v>
          </cell>
          <cell r="BF18">
            <v>0</v>
          </cell>
          <cell r="BG18">
            <v>0</v>
          </cell>
          <cell r="BH18">
            <v>0</v>
          </cell>
          <cell r="BI18">
            <v>0</v>
          </cell>
          <cell r="BJ18">
            <v>0</v>
          </cell>
          <cell r="BK18">
            <v>0</v>
          </cell>
          <cell r="BM18">
            <v>0</v>
          </cell>
          <cell r="BN18" t="str">
            <v>P010224</v>
          </cell>
          <cell r="BO18" t="str">
            <v>CATLEIA</v>
          </cell>
          <cell r="BP18">
            <v>424322.39</v>
          </cell>
          <cell r="BQ18">
            <v>0</v>
          </cell>
          <cell r="BR18">
            <v>0</v>
          </cell>
          <cell r="BS18">
            <v>0</v>
          </cell>
          <cell r="BT18">
            <v>5236634.93</v>
          </cell>
          <cell r="BU18">
            <v>0</v>
          </cell>
          <cell r="BV18">
            <v>0</v>
          </cell>
          <cell r="BW18">
            <v>0</v>
          </cell>
          <cell r="BX18">
            <v>0</v>
          </cell>
          <cell r="BY18">
            <v>0</v>
          </cell>
          <cell r="BZ18">
            <v>0</v>
          </cell>
          <cell r="CA18">
            <v>0</v>
          </cell>
          <cell r="CC18">
            <v>0</v>
          </cell>
          <cell r="CD18" t="str">
            <v>P010224</v>
          </cell>
          <cell r="CE18" t="str">
            <v>CATLEIA</v>
          </cell>
          <cell r="CF18">
            <v>404654.67</v>
          </cell>
          <cell r="CG18">
            <v>0</v>
          </cell>
          <cell r="CH18">
            <v>0</v>
          </cell>
          <cell r="CI18">
            <v>0</v>
          </cell>
          <cell r="CJ18">
            <v>-7210941.54</v>
          </cell>
        </row>
        <row r="19">
          <cell r="B19" t="str">
            <v>P008424</v>
          </cell>
          <cell r="C19" t="str">
            <v>PETROBRAS U.K.</v>
          </cell>
          <cell r="D19">
            <v>0</v>
          </cell>
          <cell r="E19">
            <v>0</v>
          </cell>
          <cell r="F19">
            <v>0</v>
          </cell>
          <cell r="G19">
            <v>0</v>
          </cell>
          <cell r="H19">
            <v>26522.09</v>
          </cell>
          <cell r="I19">
            <v>0</v>
          </cell>
          <cell r="J19">
            <v>0</v>
          </cell>
          <cell r="K19">
            <v>0</v>
          </cell>
          <cell r="L19">
            <v>0</v>
          </cell>
          <cell r="M19">
            <v>0</v>
          </cell>
          <cell r="N19">
            <v>0</v>
          </cell>
          <cell r="O19">
            <v>0</v>
          </cell>
          <cell r="Q19">
            <v>0</v>
          </cell>
          <cell r="R19" t="str">
            <v>P008424</v>
          </cell>
          <cell r="S19" t="str">
            <v>PETROBRAS U.K.</v>
          </cell>
          <cell r="T19">
            <v>0</v>
          </cell>
          <cell r="U19">
            <v>0</v>
          </cell>
          <cell r="V19">
            <v>0</v>
          </cell>
          <cell r="W19">
            <v>0</v>
          </cell>
          <cell r="X19">
            <v>34849.67</v>
          </cell>
          <cell r="Y19">
            <v>0</v>
          </cell>
          <cell r="Z19">
            <v>0</v>
          </cell>
          <cell r="AA19">
            <v>0</v>
          </cell>
          <cell r="AB19">
            <v>0</v>
          </cell>
          <cell r="AC19">
            <v>0</v>
          </cell>
          <cell r="AD19">
            <v>0</v>
          </cell>
          <cell r="AE19">
            <v>0</v>
          </cell>
          <cell r="AG19">
            <v>0</v>
          </cell>
          <cell r="AH19" t="str">
            <v>P008424</v>
          </cell>
          <cell r="AI19" t="str">
            <v>PETROBRAS U.K.</v>
          </cell>
          <cell r="AJ19">
            <v>0</v>
          </cell>
          <cell r="AK19">
            <v>0</v>
          </cell>
          <cell r="AL19">
            <v>0</v>
          </cell>
          <cell r="AM19">
            <v>0</v>
          </cell>
          <cell r="AN19">
            <v>2340.0700000000002</v>
          </cell>
          <cell r="AO19">
            <v>0</v>
          </cell>
          <cell r="AP19">
            <v>0</v>
          </cell>
          <cell r="AQ19">
            <v>0</v>
          </cell>
          <cell r="AR19">
            <v>0</v>
          </cell>
          <cell r="AS19">
            <v>0</v>
          </cell>
          <cell r="AT19">
            <v>0</v>
          </cell>
          <cell r="AU19">
            <v>0</v>
          </cell>
          <cell r="AW19">
            <v>0</v>
          </cell>
          <cell r="AX19" t="str">
            <v>P008424</v>
          </cell>
          <cell r="AY19" t="str">
            <v>PETROBRAS U.K.</v>
          </cell>
          <cell r="AZ19">
            <v>0</v>
          </cell>
          <cell r="BA19">
            <v>0</v>
          </cell>
          <cell r="BB19">
            <v>0</v>
          </cell>
          <cell r="BC19">
            <v>0</v>
          </cell>
          <cell r="BD19">
            <v>55662.63</v>
          </cell>
          <cell r="BE19">
            <v>0</v>
          </cell>
          <cell r="BF19">
            <v>0</v>
          </cell>
          <cell r="BG19">
            <v>0</v>
          </cell>
          <cell r="BH19">
            <v>0</v>
          </cell>
          <cell r="BI19">
            <v>0</v>
          </cell>
          <cell r="BJ19">
            <v>0</v>
          </cell>
          <cell r="BK19">
            <v>0</v>
          </cell>
          <cell r="BM19">
            <v>0</v>
          </cell>
          <cell r="BN19" t="str">
            <v>P008424</v>
          </cell>
          <cell r="BO19" t="str">
            <v>PETROBRAS U.K.</v>
          </cell>
          <cell r="BP19">
            <v>0</v>
          </cell>
          <cell r="BQ19">
            <v>0</v>
          </cell>
          <cell r="BR19">
            <v>0</v>
          </cell>
          <cell r="BS19">
            <v>0</v>
          </cell>
          <cell r="BT19">
            <v>17940.490000000002</v>
          </cell>
          <cell r="BU19">
            <v>0</v>
          </cell>
          <cell r="BV19">
            <v>0</v>
          </cell>
          <cell r="BW19">
            <v>0</v>
          </cell>
          <cell r="BX19">
            <v>0</v>
          </cell>
          <cell r="BY19">
            <v>0</v>
          </cell>
          <cell r="BZ19">
            <v>0</v>
          </cell>
          <cell r="CA19">
            <v>0</v>
          </cell>
          <cell r="CC19">
            <v>0</v>
          </cell>
          <cell r="CD19" t="str">
            <v>P008424</v>
          </cell>
          <cell r="CE19" t="str">
            <v>PETROBRAS U.K.</v>
          </cell>
          <cell r="CF19">
            <v>0</v>
          </cell>
          <cell r="CG19">
            <v>0</v>
          </cell>
          <cell r="CH19">
            <v>0</v>
          </cell>
          <cell r="CI19">
            <v>0</v>
          </cell>
          <cell r="CJ19">
            <v>-27676.31</v>
          </cell>
        </row>
        <row r="20">
          <cell r="B20" t="str">
            <v>P008945</v>
          </cell>
          <cell r="C20" t="str">
            <v>PETROBRAS BOLÍVIA</v>
          </cell>
          <cell r="D20">
            <v>0</v>
          </cell>
          <cell r="E20">
            <v>0</v>
          </cell>
          <cell r="F20">
            <v>0</v>
          </cell>
          <cell r="G20">
            <v>0</v>
          </cell>
          <cell r="H20">
            <v>0</v>
          </cell>
          <cell r="I20">
            <v>0</v>
          </cell>
          <cell r="J20">
            <v>0</v>
          </cell>
          <cell r="K20">
            <v>0</v>
          </cell>
          <cell r="L20">
            <v>0</v>
          </cell>
          <cell r="M20">
            <v>0</v>
          </cell>
          <cell r="N20">
            <v>0</v>
          </cell>
          <cell r="O20">
            <v>-0.54</v>
          </cell>
          <cell r="Q20">
            <v>0</v>
          </cell>
          <cell r="R20" t="str">
            <v>P008945</v>
          </cell>
          <cell r="S20" t="str">
            <v>PETROBRAS BOLÍVIA</v>
          </cell>
          <cell r="T20">
            <v>0</v>
          </cell>
          <cell r="U20">
            <v>0</v>
          </cell>
          <cell r="V20">
            <v>0</v>
          </cell>
          <cell r="W20">
            <v>0</v>
          </cell>
          <cell r="X20">
            <v>0</v>
          </cell>
          <cell r="Y20">
            <v>0</v>
          </cell>
          <cell r="Z20">
            <v>0</v>
          </cell>
          <cell r="AA20">
            <v>0</v>
          </cell>
          <cell r="AB20">
            <v>0</v>
          </cell>
          <cell r="AC20">
            <v>0</v>
          </cell>
          <cell r="AD20">
            <v>0</v>
          </cell>
          <cell r="AE20">
            <v>1.36</v>
          </cell>
          <cell r="AG20">
            <v>0</v>
          </cell>
          <cell r="AH20" t="str">
            <v>P008945</v>
          </cell>
          <cell r="AI20" t="str">
            <v>PETROBRAS BOLÍVIA</v>
          </cell>
          <cell r="AJ20">
            <v>0</v>
          </cell>
          <cell r="AK20">
            <v>0</v>
          </cell>
          <cell r="AL20">
            <v>0</v>
          </cell>
          <cell r="AM20">
            <v>0</v>
          </cell>
          <cell r="AN20">
            <v>0</v>
          </cell>
          <cell r="AO20">
            <v>0</v>
          </cell>
          <cell r="AP20">
            <v>0</v>
          </cell>
          <cell r="AQ20">
            <v>0</v>
          </cell>
          <cell r="AR20">
            <v>0</v>
          </cell>
          <cell r="AS20">
            <v>0</v>
          </cell>
          <cell r="AT20">
            <v>0</v>
          </cell>
          <cell r="AU20">
            <v>0.84</v>
          </cell>
          <cell r="AW20">
            <v>0</v>
          </cell>
          <cell r="AX20" t="str">
            <v>P008945</v>
          </cell>
          <cell r="AY20" t="str">
            <v>PETROBRAS BOLÍVIA</v>
          </cell>
          <cell r="AZ20">
            <v>0</v>
          </cell>
          <cell r="BA20">
            <v>0</v>
          </cell>
          <cell r="BB20">
            <v>0</v>
          </cell>
          <cell r="BC20">
            <v>0</v>
          </cell>
          <cell r="BD20">
            <v>0</v>
          </cell>
          <cell r="BE20">
            <v>0</v>
          </cell>
          <cell r="BF20">
            <v>0</v>
          </cell>
          <cell r="BG20">
            <v>0</v>
          </cell>
          <cell r="BH20">
            <v>0</v>
          </cell>
          <cell r="BI20">
            <v>0</v>
          </cell>
          <cell r="BJ20">
            <v>0</v>
          </cell>
          <cell r="BK20">
            <v>-2.37</v>
          </cell>
          <cell r="BM20">
            <v>0</v>
          </cell>
          <cell r="BN20" t="str">
            <v>P008945</v>
          </cell>
          <cell r="BO20" t="str">
            <v>PETROBRAS BOLÍVIA</v>
          </cell>
          <cell r="BP20">
            <v>0</v>
          </cell>
          <cell r="BQ20">
            <v>0</v>
          </cell>
          <cell r="BR20">
            <v>0</v>
          </cell>
          <cell r="BS20">
            <v>0</v>
          </cell>
          <cell r="BT20">
            <v>0</v>
          </cell>
          <cell r="BU20">
            <v>0</v>
          </cell>
          <cell r="BV20">
            <v>0</v>
          </cell>
          <cell r="BW20">
            <v>0</v>
          </cell>
          <cell r="BX20">
            <v>0</v>
          </cell>
          <cell r="BY20">
            <v>0</v>
          </cell>
          <cell r="BZ20">
            <v>0</v>
          </cell>
          <cell r="CA20">
            <v>-0.8</v>
          </cell>
          <cell r="CC20">
            <v>0</v>
          </cell>
          <cell r="CD20" t="str">
            <v>P008945</v>
          </cell>
          <cell r="CE20" t="str">
            <v>PETROBRAS BOLÍVIA</v>
          </cell>
          <cell r="CF20">
            <v>0</v>
          </cell>
          <cell r="CG20">
            <v>0</v>
          </cell>
          <cell r="CH20">
            <v>0</v>
          </cell>
          <cell r="CI20">
            <v>0</v>
          </cell>
          <cell r="CJ20">
            <v>0</v>
          </cell>
          <cell r="CK20">
            <v>0</v>
          </cell>
          <cell r="CL20">
            <v>0</v>
          </cell>
          <cell r="CM20">
            <v>0</v>
          </cell>
          <cell r="CN20">
            <v>0</v>
          </cell>
          <cell r="CO20">
            <v>0</v>
          </cell>
          <cell r="CP20">
            <v>0</v>
          </cell>
          <cell r="CQ20">
            <v>1.07</v>
          </cell>
        </row>
        <row r="21">
          <cell r="A21" t="str">
            <v>TOTAL</v>
          </cell>
          <cell r="B21" t="str">
            <v>P010559</v>
          </cell>
          <cell r="C21" t="str">
            <v>FIC</v>
          </cell>
          <cell r="D21">
            <v>0</v>
          </cell>
          <cell r="E21">
            <v>0</v>
          </cell>
          <cell r="F21">
            <v>0</v>
          </cell>
          <cell r="G21">
            <v>0</v>
          </cell>
          <cell r="H21">
            <v>-302172.63</v>
          </cell>
          <cell r="I21">
            <v>0</v>
          </cell>
          <cell r="J21">
            <v>0</v>
          </cell>
          <cell r="K21">
            <v>0</v>
          </cell>
          <cell r="L21">
            <v>0</v>
          </cell>
          <cell r="M21">
            <v>0</v>
          </cell>
          <cell r="N21">
            <v>0</v>
          </cell>
          <cell r="O21">
            <v>0</v>
          </cell>
          <cell r="Q21" t="str">
            <v>TOTAL</v>
          </cell>
          <cell r="R21" t="str">
            <v>P010559</v>
          </cell>
          <cell r="S21" t="str">
            <v>FIC</v>
          </cell>
          <cell r="T21">
            <v>0</v>
          </cell>
          <cell r="U21">
            <v>0</v>
          </cell>
          <cell r="V21">
            <v>0</v>
          </cell>
          <cell r="W21">
            <v>0</v>
          </cell>
          <cell r="X21">
            <v>221641.68</v>
          </cell>
          <cell r="Y21">
            <v>0</v>
          </cell>
          <cell r="Z21">
            <v>0</v>
          </cell>
          <cell r="AA21">
            <v>0</v>
          </cell>
          <cell r="AB21">
            <v>0</v>
          </cell>
          <cell r="AC21">
            <v>0</v>
          </cell>
          <cell r="AD21">
            <v>0</v>
          </cell>
          <cell r="AE21">
            <v>106621.32</v>
          </cell>
          <cell r="AG21" t="str">
            <v>TOTAL</v>
          </cell>
          <cell r="AH21" t="str">
            <v>P010559</v>
          </cell>
          <cell r="AI21" t="str">
            <v>FIC</v>
          </cell>
          <cell r="AJ21">
            <v>0</v>
          </cell>
          <cell r="AK21">
            <v>0</v>
          </cell>
          <cell r="AL21">
            <v>0</v>
          </cell>
          <cell r="AM21">
            <v>0</v>
          </cell>
          <cell r="AN21">
            <v>-93845.84</v>
          </cell>
          <cell r="AO21">
            <v>0</v>
          </cell>
          <cell r="AP21">
            <v>0</v>
          </cell>
          <cell r="AQ21">
            <v>0</v>
          </cell>
          <cell r="AR21">
            <v>0</v>
          </cell>
          <cell r="AS21">
            <v>0</v>
          </cell>
          <cell r="AT21">
            <v>0</v>
          </cell>
          <cell r="AU21">
            <v>65397.24</v>
          </cell>
          <cell r="AW21" t="str">
            <v>TOTAL</v>
          </cell>
          <cell r="AX21" t="str">
            <v>P010559</v>
          </cell>
          <cell r="AY21" t="str">
            <v>FIC</v>
          </cell>
          <cell r="AZ21">
            <v>0</v>
          </cell>
          <cell r="BA21">
            <v>0</v>
          </cell>
          <cell r="BB21">
            <v>0</v>
          </cell>
          <cell r="BC21">
            <v>0</v>
          </cell>
          <cell r="BD21">
            <v>306280.43</v>
          </cell>
          <cell r="BE21">
            <v>0</v>
          </cell>
          <cell r="BF21">
            <v>0</v>
          </cell>
          <cell r="BG21">
            <v>0</v>
          </cell>
          <cell r="BH21">
            <v>0</v>
          </cell>
          <cell r="BI21">
            <v>0</v>
          </cell>
          <cell r="BJ21">
            <v>0</v>
          </cell>
          <cell r="BK21">
            <v>-191512.05</v>
          </cell>
          <cell r="BM21" t="str">
            <v>TOTAL</v>
          </cell>
          <cell r="BN21" t="str">
            <v>P010559</v>
          </cell>
          <cell r="BO21" t="str">
            <v>FIC</v>
          </cell>
          <cell r="BP21">
            <v>0</v>
          </cell>
          <cell r="BQ21">
            <v>0</v>
          </cell>
          <cell r="BR21">
            <v>0</v>
          </cell>
          <cell r="BS21">
            <v>0</v>
          </cell>
          <cell r="BT21">
            <v>149018.16</v>
          </cell>
          <cell r="BU21">
            <v>0</v>
          </cell>
          <cell r="BV21">
            <v>0</v>
          </cell>
          <cell r="BW21">
            <v>0</v>
          </cell>
          <cell r="BX21">
            <v>0</v>
          </cell>
          <cell r="BY21">
            <v>0</v>
          </cell>
          <cell r="BZ21">
            <v>1598.98</v>
          </cell>
          <cell r="CA21">
            <v>-64159.76</v>
          </cell>
          <cell r="CC21" t="str">
            <v>TOTAL</v>
          </cell>
          <cell r="CD21" t="str">
            <v>P010559</v>
          </cell>
          <cell r="CE21" t="str">
            <v>FIC</v>
          </cell>
          <cell r="CF21">
            <v>0</v>
          </cell>
          <cell r="CG21">
            <v>0</v>
          </cell>
          <cell r="CH21">
            <v>0</v>
          </cell>
          <cell r="CI21">
            <v>0</v>
          </cell>
          <cell r="CJ21">
            <v>-180249.48</v>
          </cell>
          <cell r="CK21">
            <v>0</v>
          </cell>
          <cell r="CL21">
            <v>0</v>
          </cell>
          <cell r="CM21">
            <v>0</v>
          </cell>
          <cell r="CN21">
            <v>0</v>
          </cell>
          <cell r="CO21">
            <v>0</v>
          </cell>
          <cell r="CP21">
            <v>1243.6400000000001</v>
          </cell>
          <cell r="CQ21">
            <v>85761.29</v>
          </cell>
        </row>
        <row r="22">
          <cell r="C22" t="str">
            <v>TOTAL</v>
          </cell>
          <cell r="D22">
            <v>32629975.650000002</v>
          </cell>
          <cell r="E22">
            <v>0</v>
          </cell>
          <cell r="F22">
            <v>0</v>
          </cell>
          <cell r="G22">
            <v>10640561.27</v>
          </cell>
          <cell r="H22">
            <v>51278894.560000002</v>
          </cell>
          <cell r="I22">
            <v>0</v>
          </cell>
          <cell r="J22">
            <v>-33726250.579999998</v>
          </cell>
          <cell r="K22">
            <v>0</v>
          </cell>
          <cell r="L22">
            <v>0</v>
          </cell>
          <cell r="M22">
            <v>-11656788.889999999</v>
          </cell>
          <cell r="N22">
            <v>-46898469.299999997</v>
          </cell>
          <cell r="O22">
            <v>-2300520.88</v>
          </cell>
          <cell r="Q22">
            <v>0</v>
          </cell>
          <cell r="R22">
            <v>0</v>
          </cell>
          <cell r="S22">
            <v>0</v>
          </cell>
          <cell r="T22">
            <v>30791182.109999996</v>
          </cell>
          <cell r="U22">
            <v>0</v>
          </cell>
          <cell r="V22">
            <v>0</v>
          </cell>
          <cell r="W22">
            <v>9446832.0199999996</v>
          </cell>
          <cell r="X22">
            <v>-120154927.61</v>
          </cell>
          <cell r="Y22">
            <v>0</v>
          </cell>
          <cell r="Z22">
            <v>-33123439.120000001</v>
          </cell>
          <cell r="AA22">
            <v>0</v>
          </cell>
          <cell r="AB22">
            <v>0</v>
          </cell>
          <cell r="AC22">
            <v>-10765402.98</v>
          </cell>
          <cell r="AD22">
            <v>113068796.03999999</v>
          </cell>
          <cell r="AE22">
            <v>11473840.249999998</v>
          </cell>
          <cell r="AG22">
            <v>0</v>
          </cell>
          <cell r="AH22">
            <v>0</v>
          </cell>
          <cell r="AI22">
            <v>0</v>
          </cell>
          <cell r="AJ22">
            <v>39189501.839999996</v>
          </cell>
          <cell r="AK22">
            <v>0</v>
          </cell>
          <cell r="AL22">
            <v>0</v>
          </cell>
          <cell r="AM22">
            <v>2864912.12</v>
          </cell>
          <cell r="AN22">
            <v>-84518525.060000017</v>
          </cell>
          <cell r="AO22">
            <v>0</v>
          </cell>
          <cell r="AP22">
            <v>-34201460.159999996</v>
          </cell>
          <cell r="AQ22">
            <v>0</v>
          </cell>
          <cell r="AR22">
            <v>0</v>
          </cell>
          <cell r="AS22">
            <v>-11354722.42</v>
          </cell>
          <cell r="AT22">
            <v>74086079.729999989</v>
          </cell>
          <cell r="AU22">
            <v>7011027.5599999996</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M22">
            <v>0</v>
          </cell>
          <cell r="BN22">
            <v>0</v>
          </cell>
          <cell r="BO22">
            <v>0</v>
          </cell>
          <cell r="BP22">
            <v>13808421</v>
          </cell>
          <cell r="BQ22">
            <v>0</v>
          </cell>
          <cell r="BR22">
            <v>0</v>
          </cell>
          <cell r="BS22">
            <v>2728018.08</v>
          </cell>
          <cell r="BT22">
            <v>74770768.519999996</v>
          </cell>
          <cell r="BU22">
            <v>0</v>
          </cell>
          <cell r="BV22">
            <v>-36451672.859999999</v>
          </cell>
          <cell r="BW22">
            <v>0</v>
          </cell>
          <cell r="BX22">
            <v>0</v>
          </cell>
          <cell r="BY22">
            <v>-9761939.9100000001</v>
          </cell>
          <cell r="BZ22">
            <v>-75129199.129999995</v>
          </cell>
          <cell r="CA22">
            <v>-6349606.6800000006</v>
          </cell>
        </row>
        <row r="23">
          <cell r="Q23">
            <v>9770802.0599999763</v>
          </cell>
          <cell r="R23">
            <v>0</v>
          </cell>
          <cell r="S23">
            <v>0</v>
          </cell>
          <cell r="T23">
            <v>63421157.759999998</v>
          </cell>
          <cell r="U23">
            <v>0</v>
          </cell>
          <cell r="V23">
            <v>0</v>
          </cell>
          <cell r="W23">
            <v>20087393.289999999</v>
          </cell>
          <cell r="X23">
            <v>-68876033.049999997</v>
          </cell>
          <cell r="Y23">
            <v>0</v>
          </cell>
          <cell r="Z23">
            <v>-66849689.700000003</v>
          </cell>
          <cell r="AA23">
            <v>0</v>
          </cell>
          <cell r="AB23">
            <v>0</v>
          </cell>
          <cell r="AC23">
            <v>-22422191.869999997</v>
          </cell>
          <cell r="AD23">
            <v>66170326.739999995</v>
          </cell>
          <cell r="AE23">
            <v>9173319.3699999973</v>
          </cell>
          <cell r="AG23">
            <v>0</v>
          </cell>
          <cell r="AH23">
            <v>0</v>
          </cell>
          <cell r="AI23">
            <v>0</v>
          </cell>
          <cell r="AJ23">
            <v>102610659.59999999</v>
          </cell>
          <cell r="AK23">
            <v>0</v>
          </cell>
          <cell r="AL23">
            <v>0</v>
          </cell>
          <cell r="AM23">
            <v>22952305.41</v>
          </cell>
          <cell r="AN23">
            <v>-153394558.11000001</v>
          </cell>
          <cell r="AO23">
            <v>0</v>
          </cell>
          <cell r="AP23">
            <v>-101051149.86</v>
          </cell>
          <cell r="AQ23">
            <v>0</v>
          </cell>
          <cell r="AR23">
            <v>0</v>
          </cell>
          <cell r="AS23">
            <v>-33776914.289999999</v>
          </cell>
          <cell r="AT23">
            <v>140256406.46999997</v>
          </cell>
          <cell r="AU23">
            <v>16184346.929999996</v>
          </cell>
        </row>
        <row r="44">
          <cell r="AJ44" t="str">
            <v>DESPESAS FINANCEIRAS</v>
          </cell>
          <cell r="AK44">
            <v>0</v>
          </cell>
          <cell r="AL44">
            <v>0</v>
          </cell>
          <cell r="AM44" t="str">
            <v>V. M. CAMBIAL PASSIVA</v>
          </cell>
          <cell r="AN44">
            <v>0</v>
          </cell>
          <cell r="AO44">
            <v>0</v>
          </cell>
          <cell r="AP44" t="str">
            <v>RECEITAS FINANCEIRAS</v>
          </cell>
          <cell r="AQ44">
            <v>0</v>
          </cell>
          <cell r="AR44">
            <v>0</v>
          </cell>
          <cell r="AS44" t="str">
            <v>V. M. CAMBIAL ATIVA</v>
          </cell>
          <cell r="AT44">
            <v>0</v>
          </cell>
          <cell r="AU44">
            <v>0</v>
          </cell>
          <cell r="CC44">
            <v>0</v>
          </cell>
          <cell r="CD44">
            <v>0</v>
          </cell>
          <cell r="CE44">
            <v>0</v>
          </cell>
          <cell r="CF44" t="str">
            <v>DESPESAS FINANCEIRAS</v>
          </cell>
          <cell r="CG44">
            <v>0</v>
          </cell>
          <cell r="CH44">
            <v>0</v>
          </cell>
          <cell r="CI44" t="str">
            <v>V. M. CAMBIAL PASSIVA</v>
          </cell>
          <cell r="CJ44">
            <v>0</v>
          </cell>
          <cell r="CK44">
            <v>0</v>
          </cell>
          <cell r="CL44" t="str">
            <v>RECEITAS FINANCEIRAS</v>
          </cell>
          <cell r="CM44">
            <v>0</v>
          </cell>
          <cell r="CN44">
            <v>0</v>
          </cell>
          <cell r="CO44" t="str">
            <v>V. M. CAMBIAL ATIVA</v>
          </cell>
        </row>
        <row r="45">
          <cell r="AG45" t="str">
            <v>PERÍODO ACUMULADO</v>
          </cell>
          <cell r="AH45" t="str">
            <v>DETALHE</v>
          </cell>
          <cell r="AI45" t="str">
            <v>EMPRESA</v>
          </cell>
          <cell r="AJ45">
            <v>3540002</v>
          </cell>
          <cell r="AK45">
            <v>0</v>
          </cell>
          <cell r="AL45">
            <v>0</v>
          </cell>
          <cell r="AM45">
            <v>3541002</v>
          </cell>
          <cell r="AN45">
            <v>3541012</v>
          </cell>
          <cell r="AO45">
            <v>0</v>
          </cell>
          <cell r="AP45">
            <v>3540012</v>
          </cell>
          <cell r="AQ45">
            <v>0</v>
          </cell>
          <cell r="AR45">
            <v>0</v>
          </cell>
          <cell r="AS45">
            <v>3542002</v>
          </cell>
          <cell r="AT45">
            <v>3542012</v>
          </cell>
          <cell r="AU45">
            <v>3542015</v>
          </cell>
          <cell r="CC45" t="str">
            <v>PERÍODO ACUMULADO</v>
          </cell>
          <cell r="CD45" t="str">
            <v>DETALHE</v>
          </cell>
          <cell r="CE45" t="str">
            <v>EMPRESA</v>
          </cell>
          <cell r="CF45">
            <v>3540002</v>
          </cell>
          <cell r="CG45">
            <v>0</v>
          </cell>
          <cell r="CH45">
            <v>0</v>
          </cell>
          <cell r="CI45">
            <v>3541002</v>
          </cell>
          <cell r="CJ45">
            <v>3541012</v>
          </cell>
          <cell r="CK45">
            <v>0</v>
          </cell>
          <cell r="CL45">
            <v>3540012</v>
          </cell>
          <cell r="CM45">
            <v>0</v>
          </cell>
          <cell r="CN45">
            <v>0</v>
          </cell>
          <cell r="CO45">
            <v>3542002</v>
          </cell>
          <cell r="CP45">
            <v>3542012</v>
          </cell>
          <cell r="CQ45">
            <v>3542015</v>
          </cell>
        </row>
        <row r="47">
          <cell r="AG47" t="str">
            <v>ATÉ MARÇO</v>
          </cell>
          <cell r="AH47" t="str">
            <v>C34274233</v>
          </cell>
          <cell r="AI47" t="str">
            <v>BR</v>
          </cell>
          <cell r="AJ47">
            <v>88628.32</v>
          </cell>
          <cell r="AK47">
            <v>0</v>
          </cell>
          <cell r="AL47">
            <v>0</v>
          </cell>
          <cell r="AM47">
            <v>5055617.16</v>
          </cell>
          <cell r="AN47">
            <v>0</v>
          </cell>
          <cell r="AO47">
            <v>0</v>
          </cell>
          <cell r="AP47">
            <v>-1635.9199999999998</v>
          </cell>
          <cell r="AQ47">
            <v>0</v>
          </cell>
          <cell r="AR47">
            <v>0</v>
          </cell>
          <cell r="AS47">
            <v>-22496638.149999999</v>
          </cell>
          <cell r="AT47">
            <v>0</v>
          </cell>
          <cell r="AU47">
            <v>0</v>
          </cell>
          <cell r="CC47" t="str">
            <v>ATÉ JUNHO</v>
          </cell>
          <cell r="CD47" t="str">
            <v>C34274233</v>
          </cell>
          <cell r="CE47" t="str">
            <v>BR</v>
          </cell>
          <cell r="CF47">
            <v>95018.790000000008</v>
          </cell>
          <cell r="CG47">
            <v>0</v>
          </cell>
          <cell r="CH47">
            <v>0</v>
          </cell>
          <cell r="CI47">
            <v>13012209.85</v>
          </cell>
          <cell r="CJ47">
            <v>0</v>
          </cell>
          <cell r="CK47">
            <v>0</v>
          </cell>
          <cell r="CL47">
            <v>-11138.74</v>
          </cell>
          <cell r="CM47">
            <v>0</v>
          </cell>
          <cell r="CN47">
            <v>0</v>
          </cell>
          <cell r="CO47">
            <v>-45266903.649999999</v>
          </cell>
          <cell r="CP47">
            <v>0</v>
          </cell>
          <cell r="CQ47">
            <v>0</v>
          </cell>
        </row>
        <row r="48">
          <cell r="AH48" t="str">
            <v>C33795055</v>
          </cell>
          <cell r="AI48" t="str">
            <v>PETROQUISA</v>
          </cell>
          <cell r="AJ48">
            <v>0</v>
          </cell>
          <cell r="AK48">
            <v>0</v>
          </cell>
          <cell r="AL48">
            <v>0</v>
          </cell>
          <cell r="AM48">
            <v>0</v>
          </cell>
          <cell r="AN48">
            <v>0</v>
          </cell>
          <cell r="AO48">
            <v>0</v>
          </cell>
          <cell r="AP48">
            <v>0</v>
          </cell>
          <cell r="AQ48">
            <v>0</v>
          </cell>
          <cell r="AR48">
            <v>0</v>
          </cell>
          <cell r="AS48">
            <v>-4379662.68</v>
          </cell>
          <cell r="AT48">
            <v>0</v>
          </cell>
          <cell r="AU48">
            <v>0</v>
          </cell>
          <cell r="CC48">
            <v>0</v>
          </cell>
          <cell r="CD48" t="str">
            <v>C33795055</v>
          </cell>
          <cell r="CE48" t="str">
            <v>PETROQUISA</v>
          </cell>
          <cell r="CF48">
            <v>0</v>
          </cell>
          <cell r="CG48">
            <v>0</v>
          </cell>
          <cell r="CH48">
            <v>0</v>
          </cell>
          <cell r="CI48">
            <v>0</v>
          </cell>
          <cell r="CJ48">
            <v>0</v>
          </cell>
          <cell r="CK48">
            <v>0</v>
          </cell>
          <cell r="CL48">
            <v>-10.56</v>
          </cell>
          <cell r="CM48">
            <v>0</v>
          </cell>
          <cell r="CN48">
            <v>0</v>
          </cell>
          <cell r="CO48">
            <v>-4411018.88</v>
          </cell>
          <cell r="CP48">
            <v>0</v>
          </cell>
          <cell r="CQ48">
            <v>0</v>
          </cell>
        </row>
        <row r="49">
          <cell r="AH49" t="str">
            <v>C42520171</v>
          </cell>
          <cell r="AI49" t="str">
            <v>GASPETRO</v>
          </cell>
          <cell r="AJ49">
            <v>0</v>
          </cell>
          <cell r="AK49">
            <v>0</v>
          </cell>
          <cell r="AL49">
            <v>0</v>
          </cell>
          <cell r="AM49">
            <v>17896688.25</v>
          </cell>
          <cell r="AN49">
            <v>0</v>
          </cell>
          <cell r="AO49">
            <v>0</v>
          </cell>
          <cell r="AP49">
            <v>0</v>
          </cell>
          <cell r="AQ49">
            <v>0</v>
          </cell>
          <cell r="AR49">
            <v>0</v>
          </cell>
          <cell r="AS49">
            <v>-6712788.8900000006</v>
          </cell>
          <cell r="AT49">
            <v>0</v>
          </cell>
          <cell r="AU49">
            <v>0</v>
          </cell>
          <cell r="CC49">
            <v>0</v>
          </cell>
          <cell r="CD49" t="str">
            <v>C42520171</v>
          </cell>
          <cell r="CE49" t="str">
            <v>GASPETRO</v>
          </cell>
          <cell r="CF49">
            <v>0</v>
          </cell>
          <cell r="CG49">
            <v>0</v>
          </cell>
          <cell r="CH49">
            <v>0</v>
          </cell>
          <cell r="CI49">
            <v>21229855.810000002</v>
          </cell>
          <cell r="CJ49">
            <v>0</v>
          </cell>
          <cell r="CK49">
            <v>0</v>
          </cell>
          <cell r="CL49">
            <v>0</v>
          </cell>
          <cell r="CM49">
            <v>0</v>
          </cell>
          <cell r="CN49">
            <v>0</v>
          </cell>
          <cell r="CO49">
            <v>-11691003.930000002</v>
          </cell>
          <cell r="CP49">
            <v>0</v>
          </cell>
          <cell r="CQ49">
            <v>0</v>
          </cell>
        </row>
        <row r="50">
          <cell r="AH50" t="str">
            <v>C01891441</v>
          </cell>
          <cell r="AI50" t="str">
            <v>TBG</v>
          </cell>
          <cell r="AJ50">
            <v>0</v>
          </cell>
          <cell r="AK50">
            <v>0</v>
          </cell>
          <cell r="AL50">
            <v>0</v>
          </cell>
          <cell r="AM50">
            <v>0</v>
          </cell>
          <cell r="AN50">
            <v>0</v>
          </cell>
          <cell r="AO50">
            <v>0</v>
          </cell>
          <cell r="AP50">
            <v>0</v>
          </cell>
          <cell r="AQ50">
            <v>0</v>
          </cell>
          <cell r="AR50">
            <v>0</v>
          </cell>
          <cell r="AS50">
            <v>0</v>
          </cell>
          <cell r="AT50">
            <v>12101140.59</v>
          </cell>
          <cell r="AU50">
            <v>0</v>
          </cell>
          <cell r="CC50">
            <v>0</v>
          </cell>
          <cell r="CD50" t="str">
            <v>C01891441</v>
          </cell>
          <cell r="CE50" t="str">
            <v>TBG</v>
          </cell>
          <cell r="CF50">
            <v>0</v>
          </cell>
          <cell r="CG50">
            <v>0</v>
          </cell>
          <cell r="CH50">
            <v>0</v>
          </cell>
          <cell r="CI50">
            <v>0</v>
          </cell>
          <cell r="CJ50">
            <v>0</v>
          </cell>
          <cell r="CK50">
            <v>0</v>
          </cell>
          <cell r="CL50">
            <v>0</v>
          </cell>
          <cell r="CM50">
            <v>0</v>
          </cell>
          <cell r="CN50">
            <v>0</v>
          </cell>
          <cell r="CO50">
            <v>0</v>
          </cell>
          <cell r="CP50">
            <v>-3192147.3900000015</v>
          </cell>
          <cell r="CQ50">
            <v>0</v>
          </cell>
        </row>
        <row r="51">
          <cell r="AH51" t="str">
            <v>C42154146</v>
          </cell>
          <cell r="AI51" t="str">
            <v>BRASPETRO</v>
          </cell>
          <cell r="AJ51">
            <v>0</v>
          </cell>
          <cell r="AK51">
            <v>0</v>
          </cell>
          <cell r="AL51">
            <v>0</v>
          </cell>
          <cell r="AM51">
            <v>0</v>
          </cell>
          <cell r="AN51">
            <v>0</v>
          </cell>
          <cell r="AO51">
            <v>0</v>
          </cell>
          <cell r="AP51">
            <v>-456.96</v>
          </cell>
          <cell r="AQ51">
            <v>0</v>
          </cell>
          <cell r="AR51">
            <v>0</v>
          </cell>
          <cell r="AS51">
            <v>0</v>
          </cell>
          <cell r="AT51">
            <v>6369.5999999999995</v>
          </cell>
          <cell r="AU51">
            <v>307.33</v>
          </cell>
          <cell r="CC51">
            <v>0</v>
          </cell>
          <cell r="CD51" t="str">
            <v>C42154146</v>
          </cell>
          <cell r="CE51" t="str">
            <v>BRASPETRO</v>
          </cell>
          <cell r="CF51">
            <v>0</v>
          </cell>
          <cell r="CG51">
            <v>0</v>
          </cell>
          <cell r="CH51">
            <v>0</v>
          </cell>
          <cell r="CI51">
            <v>0</v>
          </cell>
          <cell r="CJ51">
            <v>0</v>
          </cell>
          <cell r="CK51">
            <v>0</v>
          </cell>
          <cell r="CL51">
            <v>-456.96</v>
          </cell>
          <cell r="CM51">
            <v>0</v>
          </cell>
          <cell r="CN51">
            <v>0</v>
          </cell>
          <cell r="CO51">
            <v>0</v>
          </cell>
          <cell r="CP51">
            <v>2339.6099999999997</v>
          </cell>
          <cell r="CQ51">
            <v>-81.080000000000013</v>
          </cell>
        </row>
        <row r="52">
          <cell r="AH52" t="str">
            <v>P001467</v>
          </cell>
          <cell r="AI52" t="str">
            <v>BRASOIL</v>
          </cell>
          <cell r="AJ52">
            <v>0</v>
          </cell>
          <cell r="AK52">
            <v>0</v>
          </cell>
          <cell r="AL52">
            <v>0</v>
          </cell>
          <cell r="AM52">
            <v>0</v>
          </cell>
          <cell r="AN52">
            <v>-20167330.150000002</v>
          </cell>
          <cell r="AO52">
            <v>0</v>
          </cell>
          <cell r="AP52">
            <v>-41857540.010000005</v>
          </cell>
          <cell r="AQ52">
            <v>0</v>
          </cell>
          <cell r="AR52">
            <v>0</v>
          </cell>
          <cell r="AS52">
            <v>0</v>
          </cell>
          <cell r="AT52">
            <v>54365527.919999994</v>
          </cell>
          <cell r="AU52">
            <v>16045487.59</v>
          </cell>
          <cell r="CC52">
            <v>0</v>
          </cell>
          <cell r="CD52" t="str">
            <v>P001467</v>
          </cell>
          <cell r="CE52" t="str">
            <v>BRASOIL</v>
          </cell>
          <cell r="CF52">
            <v>356.96</v>
          </cell>
          <cell r="CG52">
            <v>0</v>
          </cell>
          <cell r="CH52">
            <v>0</v>
          </cell>
          <cell r="CI52">
            <v>0</v>
          </cell>
          <cell r="CJ52">
            <v>-630466.30000000261</v>
          </cell>
          <cell r="CK52">
            <v>0</v>
          </cell>
          <cell r="CL52">
            <v>-86925365.250000015</v>
          </cell>
          <cell r="CM52">
            <v>0</v>
          </cell>
          <cell r="CN52">
            <v>0</v>
          </cell>
          <cell r="CO52">
            <v>0</v>
          </cell>
          <cell r="CP52">
            <v>-14130158.339999996</v>
          </cell>
          <cell r="CQ52">
            <v>-286776.48999999929</v>
          </cell>
        </row>
        <row r="53">
          <cell r="AH53" t="str">
            <v>P002797</v>
          </cell>
          <cell r="AI53" t="str">
            <v>PAI</v>
          </cell>
          <cell r="AJ53">
            <v>0</v>
          </cell>
          <cell r="AK53">
            <v>0</v>
          </cell>
          <cell r="AL53">
            <v>0</v>
          </cell>
          <cell r="AM53">
            <v>0</v>
          </cell>
          <cell r="AN53">
            <v>-141014.14000000001</v>
          </cell>
          <cell r="AO53">
            <v>0</v>
          </cell>
          <cell r="AP53">
            <v>0</v>
          </cell>
          <cell r="AQ53">
            <v>0</v>
          </cell>
          <cell r="AR53">
            <v>0</v>
          </cell>
          <cell r="AS53">
            <v>0</v>
          </cell>
          <cell r="AT53">
            <v>103734.52</v>
          </cell>
          <cell r="AU53">
            <v>116.7</v>
          </cell>
          <cell r="CC53">
            <v>0</v>
          </cell>
          <cell r="CD53" t="str">
            <v>P002797</v>
          </cell>
          <cell r="CE53" t="str">
            <v>PAI</v>
          </cell>
          <cell r="CF53">
            <v>0</v>
          </cell>
          <cell r="CG53">
            <v>0</v>
          </cell>
          <cell r="CH53">
            <v>0</v>
          </cell>
          <cell r="CI53">
            <v>0</v>
          </cell>
          <cell r="CJ53">
            <v>577434.05999999982</v>
          </cell>
          <cell r="CK53">
            <v>0</v>
          </cell>
          <cell r="CL53">
            <v>0</v>
          </cell>
          <cell r="CM53">
            <v>0</v>
          </cell>
          <cell r="CN53">
            <v>0</v>
          </cell>
          <cell r="CO53">
            <v>0</v>
          </cell>
          <cell r="CP53">
            <v>-33901.850000000006</v>
          </cell>
          <cell r="CQ53">
            <v>-30.779999999999987</v>
          </cell>
        </row>
        <row r="54">
          <cell r="AH54" t="str">
            <v>P007120</v>
          </cell>
          <cell r="AI54" t="str">
            <v>PAR</v>
          </cell>
          <cell r="AJ54">
            <v>0</v>
          </cell>
          <cell r="AK54">
            <v>0</v>
          </cell>
          <cell r="AL54">
            <v>0</v>
          </cell>
          <cell r="AM54">
            <v>0</v>
          </cell>
          <cell r="AN54">
            <v>-281086.66000000003</v>
          </cell>
          <cell r="AO54">
            <v>0</v>
          </cell>
          <cell r="AP54">
            <v>0</v>
          </cell>
          <cell r="AQ54">
            <v>0</v>
          </cell>
          <cell r="AR54">
            <v>0</v>
          </cell>
          <cell r="AS54">
            <v>0</v>
          </cell>
          <cell r="AT54">
            <v>0</v>
          </cell>
          <cell r="AU54">
            <v>0</v>
          </cell>
          <cell r="CC54">
            <v>0</v>
          </cell>
          <cell r="CD54" t="str">
            <v>P007120</v>
          </cell>
          <cell r="CE54" t="str">
            <v>PAR</v>
          </cell>
          <cell r="CF54">
            <v>0</v>
          </cell>
          <cell r="CG54">
            <v>0</v>
          </cell>
          <cell r="CH54">
            <v>0</v>
          </cell>
          <cell r="CI54">
            <v>0</v>
          </cell>
          <cell r="CJ54">
            <v>-2892.6100000000151</v>
          </cell>
          <cell r="CK54">
            <v>0</v>
          </cell>
          <cell r="CL54">
            <v>0</v>
          </cell>
          <cell r="CM54">
            <v>0</v>
          </cell>
          <cell r="CN54">
            <v>0</v>
          </cell>
          <cell r="CO54">
            <v>0</v>
          </cell>
          <cell r="CP54">
            <v>0</v>
          </cell>
          <cell r="CQ54">
            <v>0</v>
          </cell>
        </row>
        <row r="55">
          <cell r="AH55" t="str">
            <v>P009099</v>
          </cell>
          <cell r="AI55" t="str">
            <v>PETROGASBOL</v>
          </cell>
          <cell r="AJ55">
            <v>0</v>
          </cell>
          <cell r="AK55">
            <v>0</v>
          </cell>
          <cell r="AL55">
            <v>0</v>
          </cell>
          <cell r="AM55">
            <v>0</v>
          </cell>
          <cell r="AN55">
            <v>0</v>
          </cell>
          <cell r="AO55">
            <v>0</v>
          </cell>
          <cell r="AP55">
            <v>0</v>
          </cell>
          <cell r="AQ55">
            <v>0</v>
          </cell>
          <cell r="AR55">
            <v>0</v>
          </cell>
          <cell r="AS55">
            <v>0</v>
          </cell>
          <cell r="AT55">
            <v>306764.53999999998</v>
          </cell>
          <cell r="AU55">
            <v>0</v>
          </cell>
          <cell r="CC55">
            <v>0</v>
          </cell>
          <cell r="CD55" t="str">
            <v>P009099</v>
          </cell>
          <cell r="CE55" t="str">
            <v>PETROGASBOL</v>
          </cell>
          <cell r="CF55">
            <v>0</v>
          </cell>
          <cell r="CG55">
            <v>0</v>
          </cell>
          <cell r="CH55">
            <v>0</v>
          </cell>
          <cell r="CI55">
            <v>0</v>
          </cell>
          <cell r="CJ55">
            <v>0</v>
          </cell>
          <cell r="CK55">
            <v>0</v>
          </cell>
          <cell r="CL55">
            <v>0</v>
          </cell>
          <cell r="CM55">
            <v>0</v>
          </cell>
          <cell r="CN55">
            <v>0</v>
          </cell>
          <cell r="CO55">
            <v>0</v>
          </cell>
          <cell r="CP55">
            <v>-89648.290000000037</v>
          </cell>
          <cell r="CQ55">
            <v>0</v>
          </cell>
        </row>
        <row r="56">
          <cell r="AH56" t="str">
            <v>P009797</v>
          </cell>
          <cell r="AI56" t="str">
            <v>PIFCO</v>
          </cell>
          <cell r="AJ56">
            <v>100894408.25999999</v>
          </cell>
          <cell r="AK56">
            <v>0</v>
          </cell>
          <cell r="AL56">
            <v>0</v>
          </cell>
          <cell r="AM56">
            <v>0</v>
          </cell>
          <cell r="AN56">
            <v>-122742588.67000002</v>
          </cell>
          <cell r="AO56">
            <v>0</v>
          </cell>
          <cell r="AP56">
            <v>-58772816.279999994</v>
          </cell>
          <cell r="AQ56">
            <v>0</v>
          </cell>
          <cell r="AR56">
            <v>0</v>
          </cell>
          <cell r="AS56">
            <v>0</v>
          </cell>
          <cell r="AT56">
            <v>73372869.299999997</v>
          </cell>
          <cell r="AU56">
            <v>8560.39</v>
          </cell>
          <cell r="CC56">
            <v>0</v>
          </cell>
          <cell r="CD56" t="str">
            <v>P009797</v>
          </cell>
          <cell r="CE56" t="str">
            <v>PIFCO</v>
          </cell>
          <cell r="CF56">
            <v>193476965.66999999</v>
          </cell>
          <cell r="CG56">
            <v>0</v>
          </cell>
          <cell r="CH56">
            <v>0</v>
          </cell>
          <cell r="CI56">
            <v>0</v>
          </cell>
          <cell r="CJ56">
            <v>33156636.559999973</v>
          </cell>
          <cell r="CK56">
            <v>0</v>
          </cell>
          <cell r="CL56">
            <v>-119944151.16999999</v>
          </cell>
          <cell r="CM56">
            <v>0</v>
          </cell>
          <cell r="CN56">
            <v>0</v>
          </cell>
          <cell r="CO56">
            <v>0</v>
          </cell>
          <cell r="CP56">
            <v>-34320330.769999996</v>
          </cell>
          <cell r="CQ56">
            <v>804.84000000000015</v>
          </cell>
        </row>
        <row r="57">
          <cell r="AH57" t="str">
            <v>P010128</v>
          </cell>
          <cell r="AI57" t="str">
            <v>BRASOIL ALLIANCE</v>
          </cell>
          <cell r="AJ57">
            <v>0</v>
          </cell>
          <cell r="AK57">
            <v>0</v>
          </cell>
          <cell r="AL57">
            <v>0</v>
          </cell>
          <cell r="AM57">
            <v>0</v>
          </cell>
          <cell r="AN57">
            <v>0</v>
          </cell>
          <cell r="AO57">
            <v>0</v>
          </cell>
          <cell r="AP57">
            <v>0</v>
          </cell>
          <cell r="AQ57">
            <v>0</v>
          </cell>
          <cell r="AR57">
            <v>0</v>
          </cell>
          <cell r="AS57">
            <v>0</v>
          </cell>
          <cell r="AT57">
            <v>0</v>
          </cell>
          <cell r="AU57">
            <v>-42145.3</v>
          </cell>
          <cell r="CC57">
            <v>0</v>
          </cell>
          <cell r="CD57" t="str">
            <v>P010128</v>
          </cell>
          <cell r="CE57" t="str">
            <v>BRASOIL ALLIANCE</v>
          </cell>
          <cell r="CF57">
            <v>0</v>
          </cell>
          <cell r="CG57">
            <v>0</v>
          </cell>
          <cell r="CH57">
            <v>0</v>
          </cell>
          <cell r="CI57">
            <v>0</v>
          </cell>
          <cell r="CJ57">
            <v>0</v>
          </cell>
          <cell r="CK57">
            <v>0</v>
          </cell>
          <cell r="CL57">
            <v>0</v>
          </cell>
          <cell r="CM57">
            <v>0</v>
          </cell>
          <cell r="CN57">
            <v>0</v>
          </cell>
          <cell r="CO57">
            <v>0</v>
          </cell>
          <cell r="CP57">
            <v>0</v>
          </cell>
          <cell r="CQ57">
            <v>-42145.3</v>
          </cell>
        </row>
        <row r="58">
          <cell r="AH58" t="str">
            <v>P010224</v>
          </cell>
          <cell r="AI58" t="str">
            <v>CATLEIA</v>
          </cell>
          <cell r="AJ58">
            <v>1627623.02</v>
          </cell>
          <cell r="AK58">
            <v>0</v>
          </cell>
          <cell r="AL58">
            <v>0</v>
          </cell>
          <cell r="AM58">
            <v>0</v>
          </cell>
          <cell r="AN58">
            <v>-9951873.5300000012</v>
          </cell>
          <cell r="AO58">
            <v>0</v>
          </cell>
          <cell r="AP58">
            <v>-418700.69</v>
          </cell>
          <cell r="AQ58">
            <v>0</v>
          </cell>
          <cell r="AR58">
            <v>0</v>
          </cell>
          <cell r="AS58">
            <v>0</v>
          </cell>
          <cell r="AT58">
            <v>0</v>
          </cell>
          <cell r="AU58">
            <v>0</v>
          </cell>
          <cell r="CC58">
            <v>0</v>
          </cell>
          <cell r="CD58" t="str">
            <v>P010224</v>
          </cell>
          <cell r="CE58" t="str">
            <v>CATLEIA</v>
          </cell>
          <cell r="CF58">
            <v>3665782.43</v>
          </cell>
          <cell r="CG58">
            <v>0</v>
          </cell>
          <cell r="CH58">
            <v>0</v>
          </cell>
          <cell r="CI58">
            <v>0</v>
          </cell>
          <cell r="CJ58">
            <v>5044137.9299999988</v>
          </cell>
          <cell r="CK58">
            <v>0</v>
          </cell>
          <cell r="CL58">
            <v>-418700.69</v>
          </cell>
          <cell r="CM58">
            <v>0</v>
          </cell>
          <cell r="CN58">
            <v>0</v>
          </cell>
          <cell r="CO58">
            <v>0</v>
          </cell>
          <cell r="CP58">
            <v>0</v>
          </cell>
          <cell r="CQ58">
            <v>0</v>
          </cell>
        </row>
        <row r="61">
          <cell r="AG61" t="str">
            <v>TOTAL</v>
          </cell>
          <cell r="AH61">
            <v>0</v>
          </cell>
          <cell r="AI61">
            <v>0</v>
          </cell>
          <cell r="AJ61">
            <v>102610659.59999998</v>
          </cell>
          <cell r="AK61">
            <v>0</v>
          </cell>
          <cell r="AL61">
            <v>0</v>
          </cell>
          <cell r="AM61">
            <v>22952305.41</v>
          </cell>
          <cell r="AN61">
            <v>-153283893.15000001</v>
          </cell>
          <cell r="AO61">
            <v>0</v>
          </cell>
          <cell r="AP61">
            <v>-101051149.86</v>
          </cell>
          <cell r="AQ61">
            <v>0</v>
          </cell>
          <cell r="AR61">
            <v>0</v>
          </cell>
          <cell r="AS61">
            <v>-33589089.719999999</v>
          </cell>
          <cell r="AT61">
            <v>140256406.47</v>
          </cell>
          <cell r="AU61">
            <v>16012326.709999999</v>
          </cell>
          <cell r="CC61" t="str">
            <v>TOTAL</v>
          </cell>
          <cell r="CD61">
            <v>0</v>
          </cell>
          <cell r="CE61">
            <v>0</v>
          </cell>
          <cell r="CF61">
            <v>197238123.84999999</v>
          </cell>
          <cell r="CG61">
            <v>0</v>
          </cell>
          <cell r="CH61">
            <v>0</v>
          </cell>
          <cell r="CI61">
            <v>34242065.660000004</v>
          </cell>
          <cell r="CJ61">
            <v>38144849.639999971</v>
          </cell>
          <cell r="CK61">
            <v>0</v>
          </cell>
          <cell r="CL61">
            <v>-207299823.37</v>
          </cell>
          <cell r="CM61">
            <v>0</v>
          </cell>
          <cell r="CN61">
            <v>0</v>
          </cell>
          <cell r="CO61">
            <v>-61368926.460000001</v>
          </cell>
          <cell r="CP61">
            <v>-51763847.029999994</v>
          </cell>
          <cell r="CQ61">
            <v>-328228.8099999993</v>
          </cell>
        </row>
      </sheetData>
      <sheetData sheetId="1" refreshError="1"/>
    </sheetDataSet>
  </externalBook>
</externalLink>
</file>

<file path=xl/persons/person.xml><?xml version="1.0" encoding="utf-8"?>
<personList xmlns="http://schemas.microsoft.com/office/spreadsheetml/2018/threadedcomments" xmlns:x="http://schemas.openxmlformats.org/spreadsheetml/2006/main">
  <person displayName="Sarah Silva Carvalho" id="{887D586B-1EEA-4480-A875-A06D1BBDA8D4}" userId="S::sarahc.estagiario@vibraenergia.com.br::5e048148-9384-4252-8389-693c3fa1fd95" providerId="AD"/>
</personList>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4" dT="2023-07-27T19:07:40.63" personId="{887D586B-1EEA-4480-A875-A06D1BBDA8D4}" id="{40D4BC28-8A17-4AE7-AE67-E4F71FC11F75}">
    <text>Indicators not disclosed in 2022</text>
  </threadedComment>
  <threadedComment ref="B52" dT="2023-07-27T19:07:50.60" personId="{887D586B-1EEA-4480-A875-A06D1BBDA8D4}" id="{D9EB7F35-7824-4598-88EF-1C987485002F}">
    <text>Indicators not disclosed in 2022</text>
  </threadedComment>
  <threadedComment ref="B102" dT="2023-07-27T19:09:01.43" personId="{887D586B-1EEA-4480-A875-A06D1BBDA8D4}" id="{CDE13574-F1B6-489B-AAA3-E5174B07EC20}">
    <text>Indicator not disclosed in 2022</text>
  </threadedComment>
  <threadedComment ref="B179" dT="2023-07-27T19:14:02.90" personId="{887D586B-1EEA-4480-A875-A06D1BBDA8D4}" id="{3BA03E8C-BC6A-4934-A3AA-2748FB4BEB08}">
    <text>GRI reworded the denominator to thousand m³</text>
  </threadedComment>
  <threadedComment ref="B186" dT="2023-07-27T19:14:49.51" personId="{887D586B-1EEA-4480-A875-A06D1BBDA8D4}" id="{172024DA-50A6-4925-8A8A-D99A2D48E2BF}">
    <text>Indicators not disclosed in 2022</text>
  </threadedComment>
  <threadedComment ref="B276" dT="2023-07-27T19:29:53.95" personId="{887D586B-1EEA-4480-A875-A06D1BBDA8D4}" id="{7106E705-969B-4EB3-8083-89597D9ED7FD}">
    <text>Waste is no longer disclosed by type, only divided into hazardous and non-hazardous.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CD7C2-B1BA-4EA9-B82E-4D4E25626121}">
  <sheetPr>
    <tabColor rgb="FF05663A"/>
  </sheetPr>
  <dimension ref="A1:P29"/>
  <sheetViews>
    <sheetView showGridLines="0" tabSelected="1" zoomScale="70" zoomScaleNormal="70" workbookViewId="0"/>
  </sheetViews>
  <sheetFormatPr defaultColWidth="0" defaultRowHeight="22" customHeight="1" zeroHeight="1" x14ac:dyDescent="0.3"/>
  <cols>
    <col min="1" max="10" width="9.1796875" style="2" customWidth="1"/>
    <col min="11" max="11" width="7.26953125" style="2" customWidth="1"/>
    <col min="12" max="12" width="8" style="2" customWidth="1"/>
    <col min="13" max="13" width="31.26953125" style="2" bestFit="1" customWidth="1"/>
    <col min="14" max="14" width="3.7265625" style="2" customWidth="1"/>
    <col min="15" max="15" width="9.1796875" style="2" customWidth="1"/>
    <col min="16" max="16" width="7.81640625" style="2" customWidth="1"/>
    <col min="17" max="16384" width="9.1796875" style="2" hidden="1"/>
  </cols>
  <sheetData>
    <row r="1" spans="14:14" ht="10.5" customHeight="1" x14ac:dyDescent="0.3"/>
    <row r="2" spans="14:14" ht="18" customHeight="1" x14ac:dyDescent="0.3"/>
    <row r="3" spans="14:14" ht="22" customHeight="1" x14ac:dyDescent="0.3"/>
    <row r="4" spans="14:14" ht="20.149999999999999" customHeight="1" x14ac:dyDescent="0.3"/>
    <row r="5" spans="14:14" ht="18" customHeight="1" x14ac:dyDescent="0.3"/>
    <row r="6" spans="14:14" ht="18" customHeight="1" x14ac:dyDescent="0.3"/>
    <row r="7" spans="14:14" ht="18" customHeight="1" x14ac:dyDescent="0.3"/>
    <row r="8" spans="14:14" ht="18" customHeight="1" x14ac:dyDescent="0.3"/>
    <row r="9" spans="14:14" ht="18" customHeight="1" x14ac:dyDescent="0.3"/>
    <row r="10" spans="14:14" ht="15.75" customHeight="1" x14ac:dyDescent="0.3"/>
    <row r="11" spans="14:14" ht="18" customHeight="1" x14ac:dyDescent="0.3"/>
    <row r="12" spans="14:14" ht="13.5" customHeight="1" x14ac:dyDescent="0.3"/>
    <row r="13" spans="14:14" ht="18" customHeight="1" x14ac:dyDescent="0.3"/>
    <row r="14" spans="14:14" ht="6" customHeight="1" x14ac:dyDescent="0.3"/>
    <row r="15" spans="14:14" ht="18" customHeight="1" x14ac:dyDescent="0.3">
      <c r="N15" s="3"/>
    </row>
    <row r="16" spans="14:14" ht="6" customHeight="1" x14ac:dyDescent="0.3">
      <c r="N16" s="3"/>
    </row>
    <row r="17" spans="2:14" ht="18" customHeight="1" x14ac:dyDescent="0.3">
      <c r="N17" s="3"/>
    </row>
    <row r="18" spans="2:14" ht="6" customHeight="1" x14ac:dyDescent="0.3">
      <c r="N18" s="3"/>
    </row>
    <row r="19" spans="2:14" ht="18" customHeight="1" x14ac:dyDescent="0.3">
      <c r="N19" s="3"/>
    </row>
    <row r="20" spans="2:14" ht="6" customHeight="1" x14ac:dyDescent="0.3">
      <c r="N20" s="3"/>
    </row>
    <row r="21" spans="2:14" ht="18" customHeight="1" x14ac:dyDescent="0.3">
      <c r="N21" s="3"/>
    </row>
    <row r="22" spans="2:14" ht="22" customHeight="1" x14ac:dyDescent="0.35">
      <c r="M22" s="4"/>
      <c r="N22" s="4"/>
    </row>
    <row r="23" spans="2:14" ht="22" customHeight="1" x14ac:dyDescent="0.3"/>
    <row r="24" spans="2:14" ht="22" customHeight="1" x14ac:dyDescent="0.3"/>
    <row r="25" spans="2:14" ht="22" customHeight="1" x14ac:dyDescent="0.3">
      <c r="B25" s="341"/>
    </row>
    <row r="26" spans="2:14" ht="22" customHeight="1" x14ac:dyDescent="0.3"/>
    <row r="27" spans="2:14" ht="22" customHeight="1" x14ac:dyDescent="0.3"/>
    <row r="28" spans="2:14" ht="22" customHeight="1" x14ac:dyDescent="0.3"/>
    <row r="29" spans="2:14" ht="19.5" hidden="1" customHeight="1" x14ac:dyDescent="0.3"/>
  </sheetData>
  <pageMargins left="0.511811024" right="0.511811024" top="0.78740157499999996" bottom="0.78740157499999996" header="0.31496062000000002" footer="0.31496062000000002"/>
  <pageSetup paperSize="9" orientation="portrait" r:id="rId1"/>
  <headerFooter>
    <oddFooter>&amp;C&amp;1#&amp;"Calibri"&amp;10&amp;K000000Pública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6906B-52DA-44CE-AC3C-249E89710110}">
  <sheetPr codeName="Planilha9">
    <tabColor rgb="FFFFC000"/>
  </sheetPr>
  <dimension ref="A1:AD70"/>
  <sheetViews>
    <sheetView showGridLines="0" zoomScale="70" zoomScaleNormal="70" workbookViewId="0">
      <pane xSplit="2" ySplit="5" topLeftCell="Q6" activePane="bottomRight" state="frozen"/>
      <selection pane="topRight"/>
      <selection pane="bottomLeft"/>
      <selection pane="bottomRight" activeCell="AG32" sqref="AG32"/>
    </sheetView>
  </sheetViews>
  <sheetFormatPr defaultColWidth="9.1796875" defaultRowHeight="15.5" outlineLevelCol="1" x14ac:dyDescent="0.35"/>
  <cols>
    <col min="1" max="1" width="2" style="71" customWidth="1"/>
    <col min="2" max="2" width="69.81640625" style="56" customWidth="1"/>
    <col min="3" max="5" width="10.7265625" style="38" customWidth="1" outlineLevel="1"/>
    <col min="6" max="6" width="10.7265625" style="39" customWidth="1" outlineLevel="1"/>
    <col min="7" max="9" width="10.7265625" style="38" customWidth="1" outlineLevel="1"/>
    <col min="10" max="10" width="10.7265625" style="39" customWidth="1" outlineLevel="1"/>
    <col min="11" max="13" width="10.7265625" style="38" customWidth="1" outlineLevel="1"/>
    <col min="14" max="14" width="10.7265625" style="39" customWidth="1" outlineLevel="1"/>
    <col min="15" max="16" width="10.7265625" style="38" customWidth="1"/>
    <col min="17" max="17" width="11.1796875" style="38" bestFit="1" customWidth="1"/>
    <col min="18" max="18" width="10.7265625" style="39" customWidth="1"/>
    <col min="19" max="21" width="10.7265625" style="38" customWidth="1"/>
    <col min="22" max="22" width="11" style="71" bestFit="1" customWidth="1"/>
    <col min="23" max="23" width="0.7265625" style="71" customWidth="1"/>
    <col min="24" max="27" width="10.7265625" style="38" customWidth="1"/>
    <col min="28" max="28" width="0.453125" style="71" customWidth="1"/>
    <col min="29" max="30" width="10.7265625" style="38" customWidth="1"/>
    <col min="31" max="16384" width="9.1796875" style="71"/>
  </cols>
  <sheetData>
    <row r="1" spans="1:30" ht="41.25" customHeight="1" x14ac:dyDescent="0.35">
      <c r="A1" s="148"/>
      <c r="C1" s="34"/>
      <c r="D1" s="34"/>
      <c r="E1" s="34"/>
      <c r="F1" s="35"/>
      <c r="G1" s="34"/>
      <c r="H1" s="34"/>
      <c r="I1" s="34"/>
      <c r="J1" s="35"/>
      <c r="K1" s="34"/>
      <c r="L1" s="34"/>
      <c r="M1" s="34"/>
      <c r="N1" s="35"/>
      <c r="O1" s="34"/>
      <c r="P1" s="34"/>
      <c r="Q1" s="34"/>
      <c r="R1" s="35"/>
      <c r="S1" s="34"/>
      <c r="T1" s="34"/>
      <c r="U1" s="34"/>
      <c r="X1" s="34"/>
      <c r="Y1" s="34"/>
      <c r="Z1" s="34"/>
      <c r="AA1" s="34"/>
      <c r="AC1" s="34"/>
      <c r="AD1" s="34"/>
    </row>
    <row r="2" spans="1:30" ht="18" x14ac:dyDescent="0.3">
      <c r="B2" s="57" t="s">
        <v>408</v>
      </c>
      <c r="C2" s="36"/>
      <c r="D2" s="36"/>
      <c r="E2" s="36"/>
      <c r="F2" s="37"/>
      <c r="G2" s="36"/>
      <c r="H2" s="36"/>
      <c r="I2" s="36"/>
      <c r="J2" s="37"/>
      <c r="K2" s="36"/>
      <c r="L2" s="36"/>
      <c r="M2" s="36"/>
      <c r="N2" s="37"/>
      <c r="O2" s="36"/>
      <c r="P2" s="36"/>
      <c r="Q2" s="36"/>
      <c r="R2" s="37"/>
      <c r="S2" s="36"/>
      <c r="T2" s="36"/>
      <c r="U2" s="36"/>
      <c r="V2" s="36"/>
      <c r="X2" s="36"/>
      <c r="Y2" s="36"/>
      <c r="Z2" s="36"/>
      <c r="AA2" s="36"/>
      <c r="AC2" s="36"/>
      <c r="AD2" s="36"/>
    </row>
    <row r="3" spans="1:30" x14ac:dyDescent="0.35">
      <c r="C3" s="372" t="s">
        <v>27</v>
      </c>
      <c r="D3" s="372" t="s">
        <v>27</v>
      </c>
      <c r="E3" s="372" t="s">
        <v>27</v>
      </c>
      <c r="F3" s="371" t="s">
        <v>27</v>
      </c>
    </row>
    <row r="4" spans="1:30" x14ac:dyDescent="0.3">
      <c r="B4" s="58"/>
      <c r="C4" s="41" t="s">
        <v>196</v>
      </c>
      <c r="D4" s="41" t="s">
        <v>197</v>
      </c>
      <c r="E4" s="41" t="s">
        <v>198</v>
      </c>
      <c r="F4" s="42" t="s">
        <v>199</v>
      </c>
      <c r="G4" s="41" t="s">
        <v>200</v>
      </c>
      <c r="H4" s="41" t="s">
        <v>201</v>
      </c>
      <c r="I4" s="41" t="s">
        <v>202</v>
      </c>
      <c r="J4" s="42" t="s">
        <v>203</v>
      </c>
      <c r="K4" s="41" t="s">
        <v>204</v>
      </c>
      <c r="L4" s="41" t="s">
        <v>205</v>
      </c>
      <c r="M4" s="41" t="s">
        <v>206</v>
      </c>
      <c r="N4" s="42" t="s">
        <v>207</v>
      </c>
      <c r="O4" s="41" t="s">
        <v>208</v>
      </c>
      <c r="P4" s="41" t="s">
        <v>209</v>
      </c>
      <c r="Q4" s="41" t="s">
        <v>210</v>
      </c>
      <c r="R4" s="42" t="s">
        <v>428</v>
      </c>
      <c r="S4" s="41" t="s">
        <v>435</v>
      </c>
      <c r="T4" s="41" t="s">
        <v>440</v>
      </c>
      <c r="U4" s="41" t="s">
        <v>470</v>
      </c>
      <c r="V4" s="41" t="s">
        <v>480</v>
      </c>
      <c r="X4" s="41" t="s">
        <v>500</v>
      </c>
      <c r="Y4" s="41" t="s">
        <v>524</v>
      </c>
      <c r="Z4" s="41" t="s">
        <v>588</v>
      </c>
      <c r="AA4" s="41" t="s">
        <v>604</v>
      </c>
      <c r="AC4" s="41" t="s">
        <v>633</v>
      </c>
      <c r="AD4" s="41" t="s">
        <v>672</v>
      </c>
    </row>
    <row r="5" spans="1:30" s="328" customFormat="1" x14ac:dyDescent="0.35">
      <c r="C5" s="367"/>
      <c r="D5" s="367"/>
      <c r="E5" s="367"/>
      <c r="F5" s="367"/>
      <c r="G5" s="367"/>
      <c r="H5" s="367"/>
      <c r="I5" s="367"/>
      <c r="J5" s="367"/>
      <c r="K5" s="367"/>
      <c r="L5" s="367"/>
      <c r="M5" s="367"/>
      <c r="N5" s="367"/>
      <c r="O5" s="367"/>
      <c r="P5" s="367"/>
      <c r="Q5" s="367"/>
      <c r="R5" s="367"/>
      <c r="S5" s="43"/>
      <c r="T5" s="43"/>
      <c r="U5" s="43"/>
      <c r="X5" s="43"/>
      <c r="Y5" s="43"/>
      <c r="Z5" s="43"/>
      <c r="AA5" s="43"/>
      <c r="AC5" s="43"/>
      <c r="AD5" s="43"/>
    </row>
    <row r="6" spans="1:30" ht="8.25" customHeight="1" x14ac:dyDescent="0.35">
      <c r="C6" s="34"/>
      <c r="D6" s="34"/>
      <c r="E6" s="34"/>
      <c r="F6" s="35"/>
      <c r="G6" s="34"/>
      <c r="H6" s="34"/>
      <c r="I6" s="34"/>
      <c r="J6" s="35"/>
      <c r="K6" s="34"/>
      <c r="L6" s="34"/>
      <c r="M6" s="34"/>
      <c r="N6" s="35"/>
      <c r="O6" s="34"/>
      <c r="P6" s="34"/>
      <c r="Q6" s="34"/>
      <c r="R6" s="35"/>
      <c r="S6" s="34"/>
      <c r="T6" s="34"/>
      <c r="U6" s="34"/>
      <c r="X6" s="34"/>
      <c r="Y6" s="34"/>
      <c r="Z6" s="34"/>
      <c r="AA6" s="34"/>
      <c r="AC6" s="34"/>
      <c r="AD6" s="34"/>
    </row>
    <row r="7" spans="1:30" s="128" customFormat="1" ht="18" x14ac:dyDescent="0.4">
      <c r="B7" s="60" t="s">
        <v>166</v>
      </c>
      <c r="C7" s="45"/>
      <c r="D7" s="45"/>
      <c r="E7" s="45"/>
      <c r="F7" s="46"/>
      <c r="G7" s="45"/>
      <c r="H7" s="47"/>
      <c r="I7" s="47"/>
      <c r="J7" s="48"/>
      <c r="K7" s="47"/>
      <c r="L7" s="47"/>
      <c r="M7" s="47"/>
      <c r="N7" s="48"/>
      <c r="O7" s="47"/>
      <c r="P7" s="49"/>
      <c r="Q7" s="47"/>
      <c r="R7" s="48"/>
      <c r="S7" s="47"/>
      <c r="T7" s="47"/>
      <c r="U7" s="47"/>
      <c r="X7" s="47"/>
      <c r="Y7" s="47"/>
      <c r="Z7" s="47"/>
      <c r="AA7" s="47"/>
      <c r="AC7" s="47"/>
      <c r="AD7" s="47"/>
    </row>
    <row r="8" spans="1:30" s="129" customFormat="1" ht="7.5" customHeight="1" x14ac:dyDescent="0.4">
      <c r="B8" s="101"/>
      <c r="C8" s="94"/>
      <c r="D8" s="94"/>
      <c r="E8" s="94"/>
      <c r="F8" s="92"/>
      <c r="G8" s="94"/>
      <c r="H8" s="94"/>
      <c r="I8" s="94"/>
      <c r="J8" s="92"/>
      <c r="K8" s="94"/>
      <c r="L8" s="94"/>
      <c r="M8" s="94"/>
      <c r="N8" s="92"/>
      <c r="O8" s="94"/>
      <c r="P8" s="94"/>
      <c r="Q8" s="94"/>
      <c r="R8" s="92"/>
      <c r="S8" s="94"/>
      <c r="T8" s="94"/>
      <c r="U8" s="94"/>
      <c r="V8" s="438"/>
      <c r="X8" s="94"/>
      <c r="Y8" s="94"/>
      <c r="Z8" s="94"/>
      <c r="AA8" s="94"/>
      <c r="AC8" s="94"/>
      <c r="AD8" s="94"/>
    </row>
    <row r="9" spans="1:30" s="56" customFormat="1" x14ac:dyDescent="0.35">
      <c r="B9" s="193" t="s">
        <v>167</v>
      </c>
      <c r="C9" s="374">
        <f t="shared" ref="C9:P9" si="0">SUM(C10:C15)</f>
        <v>-20982</v>
      </c>
      <c r="D9" s="374">
        <f t="shared" si="0"/>
        <v>-22281</v>
      </c>
      <c r="E9" s="374">
        <f t="shared" si="0"/>
        <v>-24936</v>
      </c>
      <c r="F9" s="373">
        <f t="shared" si="0"/>
        <v>-23715</v>
      </c>
      <c r="G9" s="374">
        <f t="shared" si="0"/>
        <v>-20842</v>
      </c>
      <c r="H9" s="374">
        <f t="shared" si="0"/>
        <v>-22756</v>
      </c>
      <c r="I9" s="374">
        <f t="shared" si="0"/>
        <v>-22966</v>
      </c>
      <c r="J9" s="373">
        <f t="shared" si="0"/>
        <v>-22463</v>
      </c>
      <c r="K9" s="374">
        <f t="shared" si="0"/>
        <v>-20242</v>
      </c>
      <c r="L9" s="374">
        <f t="shared" si="0"/>
        <v>-14286</v>
      </c>
      <c r="M9" s="374">
        <f t="shared" si="0"/>
        <v>-19751</v>
      </c>
      <c r="N9" s="373">
        <f t="shared" si="0"/>
        <v>-22765</v>
      </c>
      <c r="O9" s="374">
        <f t="shared" si="0"/>
        <v>-24260</v>
      </c>
      <c r="P9" s="374">
        <f t="shared" si="0"/>
        <v>-27750</v>
      </c>
      <c r="Q9" s="374">
        <f>SUM(Q10:Q15)</f>
        <v>-34161</v>
      </c>
      <c r="R9" s="373">
        <v>-37099</v>
      </c>
      <c r="S9" s="374">
        <f t="shared" ref="S9:V9" si="1">SUM(S10:S15)</f>
        <v>-36168</v>
      </c>
      <c r="T9" s="374">
        <f t="shared" si="1"/>
        <v>-44495</v>
      </c>
      <c r="U9" s="374">
        <f t="shared" si="1"/>
        <v>-49782</v>
      </c>
      <c r="V9" s="374">
        <f t="shared" si="1"/>
        <v>-43512</v>
      </c>
      <c r="X9" s="374">
        <f>SUM(X10:X15)</f>
        <v>-37679</v>
      </c>
      <c r="Y9" s="374">
        <f>SUM(Y10:Y15)</f>
        <v>-35648</v>
      </c>
      <c r="Z9" s="374">
        <f>SUM(Z10:Z15)</f>
        <v>-40001</v>
      </c>
      <c r="AA9" s="374">
        <v>-41258</v>
      </c>
      <c r="AC9" s="374">
        <f>SUM(AC10:AC15)</f>
        <v>-37488</v>
      </c>
      <c r="AD9" s="374">
        <f>SUM(AD10:AD15)</f>
        <v>-40097</v>
      </c>
    </row>
    <row r="10" spans="1:30" s="56" customFormat="1" x14ac:dyDescent="0.35">
      <c r="B10" s="196" t="s">
        <v>168</v>
      </c>
      <c r="C10" s="116">
        <v>-20755</v>
      </c>
      <c r="D10" s="116">
        <v>-22304</v>
      </c>
      <c r="E10" s="116">
        <v>-25024</v>
      </c>
      <c r="F10" s="115">
        <v>-23291</v>
      </c>
      <c r="G10" s="116">
        <v>-20741</v>
      </c>
      <c r="H10" s="116">
        <v>-22863</v>
      </c>
      <c r="I10" s="116">
        <v>-22939</v>
      </c>
      <c r="J10" s="115">
        <v>-22676</v>
      </c>
      <c r="K10" s="116">
        <v>-19749</v>
      </c>
      <c r="L10" s="116">
        <v>-13563</v>
      </c>
      <c r="M10" s="116">
        <v>-20338</v>
      </c>
      <c r="N10" s="115">
        <v>-23329</v>
      </c>
      <c r="O10" s="116">
        <v>-24239</v>
      </c>
      <c r="P10" s="116">
        <v>-28762</v>
      </c>
      <c r="Q10" s="116">
        <v>-34267</v>
      </c>
      <c r="R10" s="115">
        <v>-37896</v>
      </c>
      <c r="S10" s="116">
        <v>-36606</v>
      </c>
      <c r="T10" s="116">
        <v>-44432</v>
      </c>
      <c r="U10" s="116">
        <v>-49692</v>
      </c>
      <c r="V10" s="116">
        <v>-43419</v>
      </c>
      <c r="X10" s="116">
        <v>-37620</v>
      </c>
      <c r="Y10" s="116">
        <v>-35582</v>
      </c>
      <c r="Z10" s="116">
        <v>-39933</v>
      </c>
      <c r="AA10" s="116">
        <v>-41165</v>
      </c>
      <c r="AC10" s="116">
        <v>-37433</v>
      </c>
      <c r="AD10" s="116">
        <v>-40021</v>
      </c>
    </row>
    <row r="11" spans="1:30" s="56" customFormat="1" x14ac:dyDescent="0.35">
      <c r="B11" s="322" t="s">
        <v>169</v>
      </c>
      <c r="C11" s="116">
        <v>-20</v>
      </c>
      <c r="D11" s="116">
        <v>-22</v>
      </c>
      <c r="E11" s="116">
        <v>-22</v>
      </c>
      <c r="F11" s="115">
        <v>-22</v>
      </c>
      <c r="G11" s="116">
        <v>-21</v>
      </c>
      <c r="H11" s="116">
        <v>-23</v>
      </c>
      <c r="I11" s="116">
        <v>-20</v>
      </c>
      <c r="J11" s="115">
        <v>-30</v>
      </c>
      <c r="K11" s="116">
        <v>-29</v>
      </c>
      <c r="L11" s="116">
        <v>-25</v>
      </c>
      <c r="M11" s="116">
        <v>-21</v>
      </c>
      <c r="N11" s="115">
        <v>-20</v>
      </c>
      <c r="O11" s="116">
        <v>-17</v>
      </c>
      <c r="P11" s="116">
        <v>-25</v>
      </c>
      <c r="Q11" s="116">
        <v>-16</v>
      </c>
      <c r="R11" s="115">
        <v>-19</v>
      </c>
      <c r="S11" s="116">
        <v>-17</v>
      </c>
      <c r="T11" s="116">
        <v>-19</v>
      </c>
      <c r="U11" s="116">
        <v>-24</v>
      </c>
      <c r="V11" s="116">
        <v>-28</v>
      </c>
      <c r="X11" s="116">
        <v>-24</v>
      </c>
      <c r="Y11" s="116">
        <v>-24</v>
      </c>
      <c r="Z11" s="116">
        <v>-31</v>
      </c>
      <c r="AA11" s="116">
        <v>-30</v>
      </c>
      <c r="AC11" s="116">
        <v>-24</v>
      </c>
      <c r="AD11" s="116">
        <v>-31</v>
      </c>
    </row>
    <row r="12" spans="1:30" s="56" customFormat="1" x14ac:dyDescent="0.35">
      <c r="B12" s="196" t="s">
        <v>170</v>
      </c>
      <c r="C12" s="116">
        <v>-12</v>
      </c>
      <c r="D12" s="116">
        <v>-13</v>
      </c>
      <c r="E12" s="116">
        <v>-12</v>
      </c>
      <c r="F12" s="115">
        <v>-11</v>
      </c>
      <c r="G12" s="116">
        <v>-12</v>
      </c>
      <c r="H12" s="116">
        <v>-12</v>
      </c>
      <c r="I12" s="116">
        <v>-13</v>
      </c>
      <c r="J12" s="115">
        <v>-15</v>
      </c>
      <c r="K12" s="116">
        <v>-9</v>
      </c>
      <c r="L12" s="116">
        <v>-9</v>
      </c>
      <c r="M12" s="116">
        <v>-11</v>
      </c>
      <c r="N12" s="115">
        <v>3</v>
      </c>
      <c r="O12" s="116">
        <v>-10</v>
      </c>
      <c r="P12" s="116">
        <v>-11</v>
      </c>
      <c r="Q12" s="116">
        <v>-9</v>
      </c>
      <c r="R12" s="115">
        <v>-4</v>
      </c>
      <c r="S12" s="116">
        <v>-9</v>
      </c>
      <c r="T12" s="116">
        <v>-10</v>
      </c>
      <c r="U12" s="116">
        <v>-11</v>
      </c>
      <c r="V12" s="116">
        <v>-9</v>
      </c>
      <c r="X12" s="116">
        <v>-10</v>
      </c>
      <c r="Y12" s="116">
        <v>-10</v>
      </c>
      <c r="Z12" s="116">
        <v>-10</v>
      </c>
      <c r="AA12" s="116">
        <v>-10</v>
      </c>
      <c r="AC12" s="116">
        <v>-7</v>
      </c>
      <c r="AD12" s="116">
        <v>-8</v>
      </c>
    </row>
    <row r="13" spans="1:30" s="56" customFormat="1" x14ac:dyDescent="0.35">
      <c r="B13" s="196" t="s">
        <v>89</v>
      </c>
      <c r="C13" s="116">
        <v>-3</v>
      </c>
      <c r="D13" s="116">
        <v>-3</v>
      </c>
      <c r="E13" s="116">
        <v>-3</v>
      </c>
      <c r="F13" s="115">
        <v>-3</v>
      </c>
      <c r="G13" s="116">
        <v>-3</v>
      </c>
      <c r="H13" s="116">
        <v>-3</v>
      </c>
      <c r="I13" s="116">
        <v>-4</v>
      </c>
      <c r="J13" s="115">
        <v>-2</v>
      </c>
      <c r="K13" s="116">
        <v>-3</v>
      </c>
      <c r="L13" s="116">
        <v>-3</v>
      </c>
      <c r="M13" s="116">
        <v>-3</v>
      </c>
      <c r="N13" s="115">
        <v>-4</v>
      </c>
      <c r="O13" s="116">
        <v>-3</v>
      </c>
      <c r="P13" s="116">
        <v>-3</v>
      </c>
      <c r="Q13" s="116">
        <v>-3</v>
      </c>
      <c r="R13" s="115">
        <v>-4</v>
      </c>
      <c r="S13" s="116">
        <v>-3</v>
      </c>
      <c r="T13" s="116">
        <v>-3</v>
      </c>
      <c r="U13" s="116">
        <v>-3</v>
      </c>
      <c r="V13" s="116">
        <v>-3</v>
      </c>
      <c r="X13" s="116">
        <v>-3</v>
      </c>
      <c r="Y13" s="116">
        <v>-3</v>
      </c>
      <c r="Z13" s="116">
        <v>-3</v>
      </c>
      <c r="AA13" s="116">
        <v>-4</v>
      </c>
      <c r="AC13" s="116">
        <v>-3</v>
      </c>
      <c r="AD13" s="116">
        <v>-2</v>
      </c>
    </row>
    <row r="14" spans="1:30" s="56" customFormat="1" x14ac:dyDescent="0.35">
      <c r="B14" s="196" t="s">
        <v>520</v>
      </c>
      <c r="C14" s="116">
        <v>-169</v>
      </c>
      <c r="D14" s="116">
        <v>78</v>
      </c>
      <c r="E14" s="116">
        <v>159</v>
      </c>
      <c r="F14" s="115">
        <v>-390</v>
      </c>
      <c r="G14" s="116">
        <v>-45</v>
      </c>
      <c r="H14" s="116">
        <v>152</v>
      </c>
      <c r="I14" s="116">
        <v>23</v>
      </c>
      <c r="J14" s="115">
        <v>359</v>
      </c>
      <c r="K14" s="116">
        <v>-416</v>
      </c>
      <c r="L14" s="116">
        <v>-649</v>
      </c>
      <c r="M14" s="116">
        <v>632</v>
      </c>
      <c r="N14" s="115">
        <v>588</v>
      </c>
      <c r="O14" s="116">
        <v>16</v>
      </c>
      <c r="P14" s="116">
        <v>1076</v>
      </c>
      <c r="Q14" s="116">
        <v>177</v>
      </c>
      <c r="R14" s="115">
        <v>860</v>
      </c>
      <c r="S14" s="116">
        <v>502</v>
      </c>
      <c r="T14" s="116"/>
      <c r="U14" s="116">
        <v>0</v>
      </c>
      <c r="V14" s="116">
        <v>0</v>
      </c>
      <c r="X14" s="116"/>
      <c r="Y14" s="116"/>
      <c r="Z14" s="116"/>
      <c r="AA14" s="116"/>
      <c r="AC14" s="116">
        <v>0</v>
      </c>
      <c r="AD14" s="116">
        <v>0</v>
      </c>
    </row>
    <row r="15" spans="1:30" s="56" customFormat="1" x14ac:dyDescent="0.35">
      <c r="B15" s="196" t="s">
        <v>132</v>
      </c>
      <c r="C15" s="116">
        <v>-23</v>
      </c>
      <c r="D15" s="116">
        <v>-17</v>
      </c>
      <c r="E15" s="116">
        <v>-34</v>
      </c>
      <c r="F15" s="115">
        <v>2</v>
      </c>
      <c r="G15" s="116">
        <v>-20</v>
      </c>
      <c r="H15" s="116">
        <v>-7</v>
      </c>
      <c r="I15" s="116">
        <v>-13</v>
      </c>
      <c r="J15" s="115">
        <v>-99</v>
      </c>
      <c r="K15" s="116">
        <v>-36</v>
      </c>
      <c r="L15" s="116">
        <v>-37</v>
      </c>
      <c r="M15" s="116">
        <v>-10</v>
      </c>
      <c r="N15" s="115">
        <v>-3</v>
      </c>
      <c r="O15" s="116">
        <v>-7</v>
      </c>
      <c r="P15" s="116">
        <v>-25</v>
      </c>
      <c r="Q15" s="116">
        <v>-43</v>
      </c>
      <c r="R15" s="115">
        <v>-36</v>
      </c>
      <c r="S15" s="116">
        <v>-35</v>
      </c>
      <c r="T15" s="116">
        <v>-31</v>
      </c>
      <c r="U15" s="116">
        <v>-52</v>
      </c>
      <c r="V15" s="116">
        <v>-53</v>
      </c>
      <c r="X15" s="116">
        <v>-22</v>
      </c>
      <c r="Y15" s="116">
        <v>-29</v>
      </c>
      <c r="Z15" s="116">
        <v>-24</v>
      </c>
      <c r="AA15" s="116">
        <v>-49</v>
      </c>
      <c r="AC15" s="116">
        <v>-21</v>
      </c>
      <c r="AD15" s="116">
        <v>-35</v>
      </c>
    </row>
    <row r="16" spans="1:30" s="129" customFormat="1" ht="7.5" customHeight="1" x14ac:dyDescent="0.4">
      <c r="B16" s="101"/>
      <c r="C16" s="94"/>
      <c r="D16" s="94"/>
      <c r="E16" s="94"/>
      <c r="F16" s="92"/>
      <c r="G16" s="94"/>
      <c r="H16" s="94"/>
      <c r="I16" s="94"/>
      <c r="J16" s="92"/>
      <c r="K16" s="94"/>
      <c r="L16" s="94"/>
      <c r="M16" s="94"/>
      <c r="N16" s="92"/>
      <c r="O16" s="94"/>
      <c r="P16" s="94"/>
      <c r="Q16" s="94"/>
      <c r="R16" s="92"/>
      <c r="S16" s="94"/>
      <c r="T16" s="94"/>
      <c r="U16" s="94"/>
      <c r="V16" s="94"/>
      <c r="X16" s="94"/>
      <c r="Y16" s="94"/>
      <c r="Z16" s="94"/>
      <c r="AA16" s="94"/>
      <c r="AC16" s="94"/>
      <c r="AD16" s="94"/>
    </row>
    <row r="17" spans="2:30" s="56" customFormat="1" x14ac:dyDescent="0.35">
      <c r="B17" s="193" t="s">
        <v>44</v>
      </c>
      <c r="C17" s="374">
        <f t="shared" ref="C17:Q17" si="2">SUM(C18:C23)</f>
        <v>-708</v>
      </c>
      <c r="D17" s="374">
        <f t="shared" si="2"/>
        <v>-760</v>
      </c>
      <c r="E17" s="374">
        <f t="shared" si="2"/>
        <v>-776</v>
      </c>
      <c r="F17" s="373">
        <f t="shared" si="2"/>
        <v>-683</v>
      </c>
      <c r="G17" s="374">
        <f t="shared" si="2"/>
        <v>-733</v>
      </c>
      <c r="H17" s="374">
        <f t="shared" si="2"/>
        <v>-722</v>
      </c>
      <c r="I17" s="374">
        <f t="shared" si="2"/>
        <v>-733</v>
      </c>
      <c r="J17" s="373">
        <f t="shared" si="2"/>
        <v>-829</v>
      </c>
      <c r="K17" s="374">
        <f t="shared" si="2"/>
        <v>-623</v>
      </c>
      <c r="L17" s="374">
        <f t="shared" si="2"/>
        <v>-585</v>
      </c>
      <c r="M17" s="374">
        <f t="shared" si="2"/>
        <v>-531</v>
      </c>
      <c r="N17" s="373">
        <f t="shared" si="2"/>
        <v>-553</v>
      </c>
      <c r="O17" s="374">
        <f t="shared" si="2"/>
        <v>-729</v>
      </c>
      <c r="P17" s="374">
        <f t="shared" si="2"/>
        <v>-575</v>
      </c>
      <c r="Q17" s="374">
        <f t="shared" si="2"/>
        <v>-679</v>
      </c>
      <c r="R17" s="373">
        <v>-680</v>
      </c>
      <c r="S17" s="374">
        <f t="shared" ref="S17:V17" si="3">SUM(S18:S23)</f>
        <v>-580</v>
      </c>
      <c r="T17" s="374">
        <f t="shared" si="3"/>
        <v>-628</v>
      </c>
      <c r="U17" s="374">
        <f t="shared" si="3"/>
        <v>-738</v>
      </c>
      <c r="V17" s="374">
        <f t="shared" si="3"/>
        <v>-692</v>
      </c>
      <c r="X17" s="374">
        <f t="shared" ref="X17:Z17" si="4">SUM(X18:X23)</f>
        <v>-672</v>
      </c>
      <c r="Y17" s="374">
        <f t="shared" si="4"/>
        <v>-697</v>
      </c>
      <c r="Z17" s="374">
        <f t="shared" si="4"/>
        <v>-729</v>
      </c>
      <c r="AA17" s="374">
        <v>-675</v>
      </c>
      <c r="AC17" s="374">
        <f t="shared" ref="AC17:AD17" si="5">SUM(AC18:AC23)</f>
        <v>-666</v>
      </c>
      <c r="AD17" s="374">
        <f t="shared" si="5"/>
        <v>-644</v>
      </c>
    </row>
    <row r="18" spans="2:30" s="56" customFormat="1" x14ac:dyDescent="0.35">
      <c r="B18" s="322" t="s">
        <v>169</v>
      </c>
      <c r="C18" s="116">
        <v>-399</v>
      </c>
      <c r="D18" s="116">
        <v>-410</v>
      </c>
      <c r="E18" s="116">
        <v>-430</v>
      </c>
      <c r="F18" s="115">
        <v>-431</v>
      </c>
      <c r="G18" s="116">
        <v>-386</v>
      </c>
      <c r="H18" s="116">
        <v>-392</v>
      </c>
      <c r="I18" s="116">
        <v>-398</v>
      </c>
      <c r="J18" s="115">
        <v>-398</v>
      </c>
      <c r="K18" s="116">
        <v>-347</v>
      </c>
      <c r="L18" s="116">
        <v>-294</v>
      </c>
      <c r="M18" s="116">
        <v>-304</v>
      </c>
      <c r="N18" s="115">
        <v>-376</v>
      </c>
      <c r="O18" s="116">
        <v>-314</v>
      </c>
      <c r="P18" s="116">
        <v>-331</v>
      </c>
      <c r="Q18" s="116">
        <v>-348</v>
      </c>
      <c r="R18" s="115">
        <v>-370</v>
      </c>
      <c r="S18" s="116">
        <v>-338</v>
      </c>
      <c r="T18" s="116">
        <v>-381</v>
      </c>
      <c r="U18" s="116">
        <v>-422</v>
      </c>
      <c r="V18" s="116">
        <v>-442</v>
      </c>
      <c r="X18" s="116">
        <v>-410</v>
      </c>
      <c r="Y18" s="116">
        <v>-411</v>
      </c>
      <c r="Z18" s="116">
        <v>-429</v>
      </c>
      <c r="AA18" s="116">
        <v>-422</v>
      </c>
      <c r="AC18" s="116">
        <v>-403</v>
      </c>
      <c r="AD18" s="116">
        <v>-414</v>
      </c>
    </row>
    <row r="19" spans="2:30" s="56" customFormat="1" x14ac:dyDescent="0.35">
      <c r="B19" s="196" t="s">
        <v>170</v>
      </c>
      <c r="C19" s="116">
        <v>-170</v>
      </c>
      <c r="D19" s="116">
        <v>-166</v>
      </c>
      <c r="E19" s="116">
        <v>-168</v>
      </c>
      <c r="F19" s="115">
        <v>-172</v>
      </c>
      <c r="G19" s="116">
        <v>-174</v>
      </c>
      <c r="H19" s="116">
        <v>-165</v>
      </c>
      <c r="I19" s="116">
        <v>-173</v>
      </c>
      <c r="J19" s="115">
        <v>-240</v>
      </c>
      <c r="K19" s="116">
        <v>-94</v>
      </c>
      <c r="L19" s="116">
        <v>-76</v>
      </c>
      <c r="M19" s="116">
        <v>-88</v>
      </c>
      <c r="N19" s="115">
        <v>-54</v>
      </c>
      <c r="O19" s="116">
        <v>-91</v>
      </c>
      <c r="P19" s="116">
        <v>-94</v>
      </c>
      <c r="Q19" s="116">
        <v>-97</v>
      </c>
      <c r="R19" s="115">
        <v>-79</v>
      </c>
      <c r="S19" s="116">
        <v>-88</v>
      </c>
      <c r="T19" s="116">
        <v>-88</v>
      </c>
      <c r="U19" s="116">
        <v>-102</v>
      </c>
      <c r="V19" s="116">
        <v>-85</v>
      </c>
      <c r="X19" s="116">
        <v>-94</v>
      </c>
      <c r="Y19" s="116">
        <v>-93</v>
      </c>
      <c r="Z19" s="116">
        <v>-94</v>
      </c>
      <c r="AA19" s="116">
        <v>-93</v>
      </c>
      <c r="AC19" s="116">
        <v>-94</v>
      </c>
      <c r="AD19" s="116">
        <v>-99</v>
      </c>
    </row>
    <row r="20" spans="2:30" s="56" customFormat="1" x14ac:dyDescent="0.35">
      <c r="B20" s="196" t="s">
        <v>171</v>
      </c>
      <c r="C20" s="116">
        <v>4</v>
      </c>
      <c r="D20" s="116">
        <v>-48</v>
      </c>
      <c r="E20" s="116">
        <v>-35</v>
      </c>
      <c r="F20" s="115">
        <v>60</v>
      </c>
      <c r="G20" s="116">
        <v>-15</v>
      </c>
      <c r="H20" s="116">
        <v>-6</v>
      </c>
      <c r="I20" s="116">
        <v>-7</v>
      </c>
      <c r="J20" s="115">
        <v>-24</v>
      </c>
      <c r="K20" s="116">
        <v>-33</v>
      </c>
      <c r="L20" s="116">
        <v>-65</v>
      </c>
      <c r="M20" s="116">
        <v>4</v>
      </c>
      <c r="N20" s="115">
        <v>39</v>
      </c>
      <c r="O20" s="116">
        <v>-173</v>
      </c>
      <c r="P20" s="116">
        <v>10</v>
      </c>
      <c r="Q20" s="116">
        <v>-64</v>
      </c>
      <c r="R20" s="115">
        <v>-62</v>
      </c>
      <c r="S20" s="116">
        <v>8</v>
      </c>
      <c r="T20" s="116">
        <v>14</v>
      </c>
      <c r="U20" s="116">
        <v>-38</v>
      </c>
      <c r="V20" s="116">
        <v>24</v>
      </c>
      <c r="X20" s="116">
        <v>-1</v>
      </c>
      <c r="Y20" s="116">
        <v>-26</v>
      </c>
      <c r="Z20" s="116">
        <v>-39</v>
      </c>
      <c r="AA20" s="116">
        <v>7</v>
      </c>
      <c r="AC20" s="116">
        <v>2</v>
      </c>
      <c r="AD20" s="116">
        <v>30</v>
      </c>
    </row>
    <row r="21" spans="2:30" s="56" customFormat="1" x14ac:dyDescent="0.35">
      <c r="B21" s="196" t="s">
        <v>172</v>
      </c>
      <c r="C21" s="116">
        <v>-5</v>
      </c>
      <c r="D21" s="116">
        <v>-3</v>
      </c>
      <c r="E21" s="116">
        <v>-9</v>
      </c>
      <c r="F21" s="115">
        <v>-6</v>
      </c>
      <c r="G21" s="116">
        <v>-8</v>
      </c>
      <c r="H21" s="116">
        <v>-7</v>
      </c>
      <c r="I21" s="116">
        <v>-4</v>
      </c>
      <c r="J21" s="115">
        <v>-8</v>
      </c>
      <c r="K21" s="116">
        <v>-6</v>
      </c>
      <c r="L21" s="116">
        <v>-2</v>
      </c>
      <c r="M21" s="116">
        <v>-6</v>
      </c>
      <c r="N21" s="115">
        <v>-10</v>
      </c>
      <c r="O21" s="116">
        <v>-5</v>
      </c>
      <c r="P21" s="116">
        <v>-7</v>
      </c>
      <c r="Q21" s="116">
        <v>-5</v>
      </c>
      <c r="R21" s="115">
        <v>-6</v>
      </c>
      <c r="S21" s="116">
        <v>-7</v>
      </c>
      <c r="T21" s="116">
        <v>-13</v>
      </c>
      <c r="U21" s="116">
        <v>-11</v>
      </c>
      <c r="V21" s="116">
        <v>-29</v>
      </c>
      <c r="X21" s="116">
        <v>-13</v>
      </c>
      <c r="Y21" s="116">
        <v>-12</v>
      </c>
      <c r="Z21" s="116">
        <v>-11</v>
      </c>
      <c r="AA21" s="116">
        <v>-7</v>
      </c>
      <c r="AC21" s="116">
        <v>-18</v>
      </c>
      <c r="AD21" s="116">
        <v>-4</v>
      </c>
    </row>
    <row r="22" spans="2:30" s="56" customFormat="1" x14ac:dyDescent="0.35">
      <c r="B22" s="196" t="s">
        <v>89</v>
      </c>
      <c r="C22" s="116">
        <v>-91</v>
      </c>
      <c r="D22" s="116">
        <v>-93</v>
      </c>
      <c r="E22" s="116">
        <v>-90</v>
      </c>
      <c r="F22" s="115">
        <v>-91</v>
      </c>
      <c r="G22" s="116">
        <v>-111</v>
      </c>
      <c r="H22" s="116">
        <v>-107</v>
      </c>
      <c r="I22" s="116">
        <v>-110</v>
      </c>
      <c r="J22" s="115">
        <v>-126</v>
      </c>
      <c r="K22" s="116">
        <v>-114</v>
      </c>
      <c r="L22" s="116">
        <v>-116</v>
      </c>
      <c r="M22" s="116">
        <v>-112</v>
      </c>
      <c r="N22" s="115">
        <v>-113</v>
      </c>
      <c r="O22" s="116">
        <v>-119</v>
      </c>
      <c r="P22" s="116">
        <v>-120</v>
      </c>
      <c r="Q22" s="116">
        <v>-118</v>
      </c>
      <c r="R22" s="115">
        <v>-119</v>
      </c>
      <c r="S22" s="116">
        <v>-119</v>
      </c>
      <c r="T22" s="116">
        <v>-115</v>
      </c>
      <c r="U22" s="116">
        <v>-118</v>
      </c>
      <c r="V22" s="116">
        <v>-111</v>
      </c>
      <c r="X22" s="116">
        <v>-114</v>
      </c>
      <c r="Y22" s="116">
        <v>-112</v>
      </c>
      <c r="Z22" s="116">
        <v>-114</v>
      </c>
      <c r="AA22" s="116">
        <v>-111</v>
      </c>
      <c r="AC22" s="116">
        <v>-112</v>
      </c>
      <c r="AD22" s="116">
        <v>-109</v>
      </c>
    </row>
    <row r="23" spans="2:30" s="56" customFormat="1" x14ac:dyDescent="0.35">
      <c r="B23" s="196" t="s">
        <v>132</v>
      </c>
      <c r="C23" s="116">
        <v>-47</v>
      </c>
      <c r="D23" s="116">
        <v>-40</v>
      </c>
      <c r="E23" s="116">
        <v>-44</v>
      </c>
      <c r="F23" s="115">
        <v>-43</v>
      </c>
      <c r="G23" s="116">
        <v>-39</v>
      </c>
      <c r="H23" s="116">
        <v>-45</v>
      </c>
      <c r="I23" s="116">
        <v>-41</v>
      </c>
      <c r="J23" s="115">
        <v>-33</v>
      </c>
      <c r="K23" s="116">
        <v>-29</v>
      </c>
      <c r="L23" s="116">
        <v>-32</v>
      </c>
      <c r="M23" s="116">
        <v>-25</v>
      </c>
      <c r="N23" s="115">
        <v>-39</v>
      </c>
      <c r="O23" s="116">
        <v>-27</v>
      </c>
      <c r="P23" s="116">
        <v>-33</v>
      </c>
      <c r="Q23" s="116">
        <v>-47</v>
      </c>
      <c r="R23" s="115">
        <v>-44</v>
      </c>
      <c r="S23" s="116">
        <v>-36</v>
      </c>
      <c r="T23" s="116">
        <v>-45</v>
      </c>
      <c r="U23" s="116">
        <v>-47</v>
      </c>
      <c r="V23" s="116">
        <v>-49</v>
      </c>
      <c r="X23" s="116">
        <v>-40</v>
      </c>
      <c r="Y23" s="116">
        <v>-43</v>
      </c>
      <c r="Z23" s="116">
        <v>-42</v>
      </c>
      <c r="AA23" s="116">
        <v>-49</v>
      </c>
      <c r="AC23" s="116">
        <v>-41</v>
      </c>
      <c r="AD23" s="116">
        <v>-48</v>
      </c>
    </row>
    <row r="24" spans="2:30" s="129" customFormat="1" ht="7.5" customHeight="1" x14ac:dyDescent="0.4">
      <c r="B24" s="101"/>
      <c r="C24" s="94"/>
      <c r="D24" s="94"/>
      <c r="E24" s="94"/>
      <c r="F24" s="92"/>
      <c r="G24" s="94"/>
      <c r="H24" s="94"/>
      <c r="I24" s="94"/>
      <c r="J24" s="92"/>
      <c r="K24" s="94"/>
      <c r="L24" s="94"/>
      <c r="M24" s="94"/>
      <c r="N24" s="92"/>
      <c r="O24" s="94"/>
      <c r="P24" s="94"/>
      <c r="Q24" s="94"/>
      <c r="R24" s="92"/>
      <c r="S24" s="94"/>
      <c r="T24" s="94"/>
      <c r="U24" s="94"/>
      <c r="V24" s="94"/>
      <c r="X24" s="94"/>
      <c r="Y24" s="94"/>
      <c r="Z24" s="94"/>
      <c r="AA24" s="94"/>
      <c r="AC24" s="94"/>
      <c r="AD24" s="94"/>
    </row>
    <row r="25" spans="2:30" s="56" customFormat="1" x14ac:dyDescent="0.35">
      <c r="B25" s="193" t="s">
        <v>174</v>
      </c>
      <c r="C25" s="374">
        <f>SUM(C26:C29)</f>
        <v>-190</v>
      </c>
      <c r="D25" s="374">
        <f t="shared" ref="D25:Q25" si="6">SUM(D26:D29)</f>
        <v>-198</v>
      </c>
      <c r="E25" s="374">
        <f t="shared" si="6"/>
        <v>-194</v>
      </c>
      <c r="F25" s="373">
        <f t="shared" si="6"/>
        <v>-204</v>
      </c>
      <c r="G25" s="374">
        <f t="shared" si="6"/>
        <v>-195</v>
      </c>
      <c r="H25" s="374">
        <f t="shared" si="6"/>
        <v>-190</v>
      </c>
      <c r="I25" s="374">
        <f t="shared" si="6"/>
        <v>-200</v>
      </c>
      <c r="J25" s="373">
        <f t="shared" si="6"/>
        <v>-283</v>
      </c>
      <c r="K25" s="374">
        <f t="shared" si="6"/>
        <v>-145</v>
      </c>
      <c r="L25" s="374">
        <f t="shared" si="6"/>
        <v>-138</v>
      </c>
      <c r="M25" s="374">
        <f t="shared" si="6"/>
        <v>-152</v>
      </c>
      <c r="N25" s="373">
        <f t="shared" si="6"/>
        <v>-22</v>
      </c>
      <c r="O25" s="374">
        <f t="shared" si="6"/>
        <v>-149</v>
      </c>
      <c r="P25" s="374">
        <f t="shared" si="6"/>
        <v>-168</v>
      </c>
      <c r="Q25" s="374">
        <f t="shared" si="6"/>
        <v>-187</v>
      </c>
      <c r="R25" s="373">
        <v>-130</v>
      </c>
      <c r="S25" s="374">
        <f t="shared" ref="S25:V25" si="7">SUM(S26:S29)</f>
        <v>-160</v>
      </c>
      <c r="T25" s="374">
        <f t="shared" si="7"/>
        <v>-183</v>
      </c>
      <c r="U25" s="374">
        <f t="shared" si="7"/>
        <v>-197</v>
      </c>
      <c r="V25" s="374">
        <f t="shared" si="7"/>
        <v>-203</v>
      </c>
      <c r="X25" s="374">
        <f t="shared" ref="X25:Z25" si="8">SUM(X26:X29)</f>
        <v>-205</v>
      </c>
      <c r="Y25" s="374">
        <f t="shared" si="8"/>
        <v>-170</v>
      </c>
      <c r="Z25" s="374">
        <f t="shared" si="8"/>
        <v>-197</v>
      </c>
      <c r="AA25" s="374">
        <v>-232</v>
      </c>
      <c r="AC25" s="374">
        <f t="shared" ref="AC25:AD25" si="9">SUM(AC26:AC29)</f>
        <v>-224</v>
      </c>
      <c r="AD25" s="374">
        <f t="shared" si="9"/>
        <v>-238</v>
      </c>
    </row>
    <row r="26" spans="2:30" s="56" customFormat="1" x14ac:dyDescent="0.35">
      <c r="B26" s="196" t="s">
        <v>169</v>
      </c>
      <c r="C26" s="116">
        <v>-47</v>
      </c>
      <c r="D26" s="116">
        <v>-53</v>
      </c>
      <c r="E26" s="116">
        <v>-54</v>
      </c>
      <c r="F26" s="115">
        <v>-62</v>
      </c>
      <c r="G26" s="116">
        <v>-41</v>
      </c>
      <c r="H26" s="116">
        <v>-42</v>
      </c>
      <c r="I26" s="116">
        <v>-43</v>
      </c>
      <c r="J26" s="115">
        <v>-62</v>
      </c>
      <c r="K26" s="116">
        <v>-42</v>
      </c>
      <c r="L26" s="116">
        <v>-46</v>
      </c>
      <c r="M26" s="116">
        <v>-38</v>
      </c>
      <c r="N26" s="115">
        <v>-38</v>
      </c>
      <c r="O26" s="116">
        <v>-33</v>
      </c>
      <c r="P26" s="116">
        <v>-43</v>
      </c>
      <c r="Q26" s="116">
        <v>-37</v>
      </c>
      <c r="R26" s="115">
        <v>-59</v>
      </c>
      <c r="S26" s="116">
        <v>-40</v>
      </c>
      <c r="T26" s="116">
        <v>-62</v>
      </c>
      <c r="U26" s="116">
        <v>-58</v>
      </c>
      <c r="V26" s="116">
        <v>-72</v>
      </c>
      <c r="X26" s="116">
        <v>-51</v>
      </c>
      <c r="Y26" s="116">
        <v>-43</v>
      </c>
      <c r="Z26" s="116">
        <v>-55</v>
      </c>
      <c r="AA26" s="116">
        <v>-66</v>
      </c>
      <c r="AC26" s="116">
        <v>-56</v>
      </c>
      <c r="AD26" s="116">
        <v>-59</v>
      </c>
    </row>
    <row r="27" spans="2:30" s="56" customFormat="1" x14ac:dyDescent="0.35">
      <c r="B27" s="196" t="s">
        <v>170</v>
      </c>
      <c r="C27" s="116">
        <v>-119</v>
      </c>
      <c r="D27" s="116">
        <v>-122</v>
      </c>
      <c r="E27" s="116">
        <v>-121</v>
      </c>
      <c r="F27" s="115">
        <v>-122</v>
      </c>
      <c r="G27" s="116">
        <v>-126</v>
      </c>
      <c r="H27" s="116">
        <v>-115</v>
      </c>
      <c r="I27" s="116">
        <v>-127</v>
      </c>
      <c r="J27" s="115">
        <v>-189</v>
      </c>
      <c r="K27" s="116">
        <v>-71</v>
      </c>
      <c r="L27" s="116">
        <v>-62</v>
      </c>
      <c r="M27" s="116">
        <v>-85</v>
      </c>
      <c r="N27" s="115">
        <v>50</v>
      </c>
      <c r="O27" s="116">
        <v>-87</v>
      </c>
      <c r="P27" s="116">
        <v>-86</v>
      </c>
      <c r="Q27" s="116">
        <v>-95</v>
      </c>
      <c r="R27" s="115">
        <v>-44</v>
      </c>
      <c r="S27" s="116">
        <v>-86</v>
      </c>
      <c r="T27" s="116">
        <v>-88</v>
      </c>
      <c r="U27" s="116">
        <v>-102</v>
      </c>
      <c r="V27" s="116">
        <v>-86</v>
      </c>
      <c r="X27" s="116">
        <v>-110</v>
      </c>
      <c r="Y27" s="116">
        <v>-93</v>
      </c>
      <c r="Z27" s="116">
        <v>-102</v>
      </c>
      <c r="AA27" s="116">
        <v>-108</v>
      </c>
      <c r="AC27" s="116">
        <v>-112</v>
      </c>
      <c r="AD27" s="116">
        <v>-122</v>
      </c>
    </row>
    <row r="28" spans="2:30" s="56" customFormat="1" x14ac:dyDescent="0.35">
      <c r="B28" s="196" t="s">
        <v>89</v>
      </c>
      <c r="C28" s="116">
        <v>-12</v>
      </c>
      <c r="D28" s="116">
        <v>-11</v>
      </c>
      <c r="E28" s="116">
        <v>-9</v>
      </c>
      <c r="F28" s="115">
        <v>-8</v>
      </c>
      <c r="G28" s="116">
        <v>-14</v>
      </c>
      <c r="H28" s="116">
        <v>-17</v>
      </c>
      <c r="I28" s="116">
        <v>-13</v>
      </c>
      <c r="J28" s="115">
        <v>-18</v>
      </c>
      <c r="K28" s="116">
        <v>-18</v>
      </c>
      <c r="L28" s="116">
        <v>-17</v>
      </c>
      <c r="M28" s="116">
        <v>-17</v>
      </c>
      <c r="N28" s="115">
        <v>-17</v>
      </c>
      <c r="O28" s="116">
        <v>-17</v>
      </c>
      <c r="P28" s="116">
        <v>-17</v>
      </c>
      <c r="Q28" s="116">
        <v>-23</v>
      </c>
      <c r="R28" s="115">
        <v>-13</v>
      </c>
      <c r="S28" s="116">
        <v>-17</v>
      </c>
      <c r="T28" s="116">
        <v>-17</v>
      </c>
      <c r="U28" s="116">
        <v>-21</v>
      </c>
      <c r="V28" s="116">
        <v>-23</v>
      </c>
      <c r="X28" s="116">
        <v>-21</v>
      </c>
      <c r="Y28" s="116">
        <v>-21</v>
      </c>
      <c r="Z28" s="116">
        <v>-22</v>
      </c>
      <c r="AA28" s="116">
        <v>-26</v>
      </c>
      <c r="AC28" s="116">
        <v>-28</v>
      </c>
      <c r="AD28" s="116">
        <v>-24</v>
      </c>
    </row>
    <row r="29" spans="2:30" s="56" customFormat="1" x14ac:dyDescent="0.35">
      <c r="B29" s="196" t="s">
        <v>132</v>
      </c>
      <c r="C29" s="116">
        <v>-12</v>
      </c>
      <c r="D29" s="116">
        <v>-12</v>
      </c>
      <c r="E29" s="116">
        <v>-10</v>
      </c>
      <c r="F29" s="115">
        <v>-12</v>
      </c>
      <c r="G29" s="116">
        <v>-14</v>
      </c>
      <c r="H29" s="116">
        <v>-16</v>
      </c>
      <c r="I29" s="116">
        <v>-17</v>
      </c>
      <c r="J29" s="115">
        <v>-14</v>
      </c>
      <c r="K29" s="116">
        <v>-14</v>
      </c>
      <c r="L29" s="116">
        <v>-13</v>
      </c>
      <c r="M29" s="116">
        <v>-12</v>
      </c>
      <c r="N29" s="115">
        <v>-17</v>
      </c>
      <c r="O29" s="116">
        <v>-12</v>
      </c>
      <c r="P29" s="116">
        <v>-22</v>
      </c>
      <c r="Q29" s="116">
        <v>-32</v>
      </c>
      <c r="R29" s="115">
        <v>-14</v>
      </c>
      <c r="S29" s="116">
        <v>-17</v>
      </c>
      <c r="T29" s="116">
        <v>-16</v>
      </c>
      <c r="U29" s="116">
        <v>-16</v>
      </c>
      <c r="V29" s="116">
        <v>-22</v>
      </c>
      <c r="X29" s="116">
        <v>-23</v>
      </c>
      <c r="Y29" s="116">
        <v>-13</v>
      </c>
      <c r="Z29" s="116">
        <v>-18</v>
      </c>
      <c r="AA29" s="116">
        <v>-32</v>
      </c>
      <c r="AC29" s="116">
        <v>-28</v>
      </c>
      <c r="AD29" s="116">
        <v>-33</v>
      </c>
    </row>
    <row r="30" spans="2:30" s="129" customFormat="1" ht="7.5" customHeight="1" x14ac:dyDescent="0.4">
      <c r="B30" s="101"/>
      <c r="C30" s="94"/>
      <c r="D30" s="94"/>
      <c r="E30" s="94"/>
      <c r="F30" s="92"/>
      <c r="G30" s="94"/>
      <c r="H30" s="94"/>
      <c r="I30" s="94"/>
      <c r="J30" s="92"/>
      <c r="K30" s="94"/>
      <c r="L30" s="94"/>
      <c r="M30" s="94"/>
      <c r="N30" s="92"/>
      <c r="O30" s="94"/>
      <c r="P30" s="94"/>
      <c r="Q30" s="94"/>
      <c r="R30" s="92"/>
      <c r="S30" s="94"/>
      <c r="T30" s="94"/>
      <c r="U30" s="94"/>
      <c r="V30" s="94"/>
      <c r="X30" s="94"/>
      <c r="Y30" s="94"/>
      <c r="Z30" s="94"/>
      <c r="AA30" s="94"/>
      <c r="AC30" s="94"/>
      <c r="AD30" s="94"/>
    </row>
    <row r="31" spans="2:30" s="56" customFormat="1" x14ac:dyDescent="0.35">
      <c r="B31" s="323" t="s">
        <v>48</v>
      </c>
      <c r="C31" s="374">
        <f>SUM(C32:C63)</f>
        <v>-135</v>
      </c>
      <c r="D31" s="374">
        <f t="shared" ref="D31:V31" si="10">SUM(D32:D63)</f>
        <v>-162</v>
      </c>
      <c r="E31" s="374">
        <f t="shared" si="10"/>
        <v>1082</v>
      </c>
      <c r="F31" s="374">
        <f t="shared" si="10"/>
        <v>-226</v>
      </c>
      <c r="G31" s="374">
        <f t="shared" si="10"/>
        <v>-137</v>
      </c>
      <c r="H31" s="374">
        <f t="shared" si="10"/>
        <v>-64</v>
      </c>
      <c r="I31" s="374">
        <f t="shared" si="10"/>
        <v>72</v>
      </c>
      <c r="J31" s="374">
        <f t="shared" si="10"/>
        <v>-525</v>
      </c>
      <c r="K31" s="374">
        <f t="shared" si="10"/>
        <v>364</v>
      </c>
      <c r="L31" s="374">
        <f t="shared" si="10"/>
        <v>400</v>
      </c>
      <c r="M31" s="374">
        <f t="shared" si="10"/>
        <v>-120</v>
      </c>
      <c r="N31" s="374">
        <f t="shared" si="10"/>
        <v>2352</v>
      </c>
      <c r="O31" s="374">
        <f t="shared" si="10"/>
        <v>-60</v>
      </c>
      <c r="P31" s="374">
        <f t="shared" si="10"/>
        <v>165</v>
      </c>
      <c r="Q31" s="374">
        <f t="shared" si="10"/>
        <v>-20</v>
      </c>
      <c r="R31" s="374">
        <f t="shared" si="10"/>
        <v>-800</v>
      </c>
      <c r="S31" s="374">
        <f t="shared" si="10"/>
        <v>-464</v>
      </c>
      <c r="T31" s="374">
        <f t="shared" si="10"/>
        <v>-167</v>
      </c>
      <c r="U31" s="374">
        <f t="shared" si="10"/>
        <v>145</v>
      </c>
      <c r="V31" s="374">
        <f t="shared" si="10"/>
        <v>443</v>
      </c>
      <c r="W31" s="374">
        <f t="shared" ref="W31" si="11">SUM(W32:W57)</f>
        <v>0</v>
      </c>
      <c r="X31" s="374">
        <f t="shared" ref="X31" si="12">SUM(X32:X63)</f>
        <v>-27</v>
      </c>
      <c r="Y31" s="374">
        <f t="shared" ref="Y31" si="13">SUM(Y32:Y63)</f>
        <v>-99</v>
      </c>
      <c r="Z31" s="374">
        <f t="shared" ref="Z31" si="14">SUM(Z32:Z63)</f>
        <v>19</v>
      </c>
      <c r="AA31" s="374">
        <f t="shared" ref="AA31" si="15">SUM(AA32:AA63)</f>
        <v>3037</v>
      </c>
      <c r="AC31" s="374">
        <f t="shared" ref="AC31:AD31" si="16">SUM(AC32:AC63)</f>
        <v>443</v>
      </c>
      <c r="AD31" s="374">
        <f t="shared" si="16"/>
        <v>37</v>
      </c>
    </row>
    <row r="32" spans="2:30" s="56" customFormat="1" x14ac:dyDescent="0.35">
      <c r="B32" s="196" t="s">
        <v>173</v>
      </c>
      <c r="C32" s="116">
        <v>0</v>
      </c>
      <c r="D32" s="116">
        <v>0</v>
      </c>
      <c r="E32" s="116">
        <v>0</v>
      </c>
      <c r="F32" s="115">
        <v>0</v>
      </c>
      <c r="G32" s="116">
        <v>0</v>
      </c>
      <c r="H32" s="116">
        <v>0</v>
      </c>
      <c r="I32" s="116">
        <v>0</v>
      </c>
      <c r="J32" s="115">
        <v>-55</v>
      </c>
      <c r="K32" s="116">
        <v>-9</v>
      </c>
      <c r="L32" s="116">
        <v>-12</v>
      </c>
      <c r="M32" s="116">
        <v>-12</v>
      </c>
      <c r="N32" s="115">
        <v>-30</v>
      </c>
      <c r="O32" s="116">
        <v>0</v>
      </c>
      <c r="P32" s="116">
        <v>0</v>
      </c>
      <c r="Q32" s="116">
        <v>8</v>
      </c>
      <c r="R32" s="115">
        <v>0</v>
      </c>
      <c r="S32" s="116">
        <v>0</v>
      </c>
      <c r="T32" s="116">
        <v>0</v>
      </c>
      <c r="U32" s="116">
        <v>0</v>
      </c>
      <c r="V32" s="116">
        <v>0</v>
      </c>
      <c r="X32" s="116">
        <v>0</v>
      </c>
      <c r="Y32" s="116">
        <v>0</v>
      </c>
      <c r="Z32" s="116">
        <v>0</v>
      </c>
      <c r="AA32" s="116">
        <v>0</v>
      </c>
      <c r="AC32" s="116">
        <v>0</v>
      </c>
      <c r="AD32" s="116">
        <v>0</v>
      </c>
    </row>
    <row r="33" spans="2:30" s="56" customFormat="1" x14ac:dyDescent="0.35">
      <c r="B33" s="196" t="s">
        <v>175</v>
      </c>
      <c r="C33" s="116">
        <v>0</v>
      </c>
      <c r="D33" s="116">
        <v>0</v>
      </c>
      <c r="E33" s="116">
        <v>0</v>
      </c>
      <c r="F33" s="115">
        <v>0</v>
      </c>
      <c r="G33" s="116">
        <v>0</v>
      </c>
      <c r="H33" s="116">
        <v>0</v>
      </c>
      <c r="I33" s="116">
        <v>0</v>
      </c>
      <c r="J33" s="115">
        <v>0</v>
      </c>
      <c r="K33" s="116">
        <v>0</v>
      </c>
      <c r="L33" s="116">
        <v>376</v>
      </c>
      <c r="M33" s="116">
        <v>16</v>
      </c>
      <c r="N33" s="115">
        <v>648</v>
      </c>
      <c r="O33" s="116">
        <v>0</v>
      </c>
      <c r="P33" s="116">
        <v>0</v>
      </c>
      <c r="Q33" s="116">
        <v>0</v>
      </c>
      <c r="R33" s="115">
        <v>0</v>
      </c>
      <c r="S33" s="116">
        <v>0</v>
      </c>
      <c r="T33" s="116">
        <v>0</v>
      </c>
      <c r="U33" s="116">
        <v>0</v>
      </c>
      <c r="V33" s="116">
        <v>0</v>
      </c>
      <c r="X33" s="116">
        <v>0</v>
      </c>
      <c r="Y33" s="116">
        <v>0</v>
      </c>
      <c r="Z33" s="116">
        <v>0</v>
      </c>
      <c r="AA33" s="116">
        <v>0</v>
      </c>
      <c r="AC33" s="116">
        <v>0</v>
      </c>
      <c r="AD33" s="116">
        <v>0</v>
      </c>
    </row>
    <row r="34" spans="2:30" s="56" customFormat="1" x14ac:dyDescent="0.35">
      <c r="B34" s="196" t="s">
        <v>176</v>
      </c>
      <c r="C34" s="116">
        <v>0</v>
      </c>
      <c r="D34" s="116">
        <v>0</v>
      </c>
      <c r="E34" s="116">
        <v>0</v>
      </c>
      <c r="F34" s="115">
        <v>0</v>
      </c>
      <c r="G34" s="116">
        <v>0</v>
      </c>
      <c r="H34" s="116">
        <v>0</v>
      </c>
      <c r="I34" s="116">
        <v>0</v>
      </c>
      <c r="J34" s="115">
        <v>0</v>
      </c>
      <c r="K34" s="116">
        <v>0</v>
      </c>
      <c r="L34" s="116">
        <v>0</v>
      </c>
      <c r="M34" s="116">
        <v>0</v>
      </c>
      <c r="N34" s="115">
        <v>52</v>
      </c>
      <c r="O34" s="116">
        <v>128</v>
      </c>
      <c r="P34" s="116">
        <v>75</v>
      </c>
      <c r="Q34" s="116">
        <v>82</v>
      </c>
      <c r="R34" s="115">
        <v>6</v>
      </c>
      <c r="S34" s="116">
        <v>1</v>
      </c>
      <c r="T34" s="116">
        <v>25</v>
      </c>
      <c r="U34" s="116">
        <v>47</v>
      </c>
      <c r="V34" s="116">
        <v>-2</v>
      </c>
      <c r="X34" s="116">
        <v>0</v>
      </c>
      <c r="Y34" s="116">
        <v>7</v>
      </c>
      <c r="Z34" s="116">
        <v>75</v>
      </c>
      <c r="AA34" s="116">
        <v>1</v>
      </c>
      <c r="AC34" s="116">
        <v>3</v>
      </c>
      <c r="AD34" s="99">
        <v>44</v>
      </c>
    </row>
    <row r="35" spans="2:30" s="56" customFormat="1" x14ac:dyDescent="0.35">
      <c r="B35" s="322" t="s">
        <v>177</v>
      </c>
      <c r="C35" s="116">
        <v>0</v>
      </c>
      <c r="D35" s="116">
        <v>0</v>
      </c>
      <c r="E35" s="116">
        <v>0</v>
      </c>
      <c r="F35" s="115">
        <v>0</v>
      </c>
      <c r="G35" s="116">
        <v>0</v>
      </c>
      <c r="H35" s="116">
        <v>0</v>
      </c>
      <c r="I35" s="116">
        <v>0</v>
      </c>
      <c r="J35" s="115">
        <v>0</v>
      </c>
      <c r="K35" s="116">
        <v>0</v>
      </c>
      <c r="L35" s="116">
        <v>0</v>
      </c>
      <c r="M35" s="116">
        <v>0</v>
      </c>
      <c r="N35" s="115">
        <v>0</v>
      </c>
      <c r="O35" s="116">
        <v>0</v>
      </c>
      <c r="P35" s="116">
        <v>79</v>
      </c>
      <c r="Q35" s="116">
        <v>0</v>
      </c>
      <c r="R35" s="115">
        <v>0</v>
      </c>
      <c r="S35" s="116">
        <v>0</v>
      </c>
      <c r="T35" s="116">
        <v>0</v>
      </c>
      <c r="U35" s="116">
        <v>0</v>
      </c>
      <c r="V35" s="116">
        <v>0</v>
      </c>
      <c r="X35" s="116">
        <v>0</v>
      </c>
      <c r="Y35" s="116">
        <v>0</v>
      </c>
      <c r="Z35" s="116">
        <v>0</v>
      </c>
      <c r="AA35" s="116">
        <v>0</v>
      </c>
      <c r="AC35" s="116">
        <v>0</v>
      </c>
      <c r="AD35" s="116">
        <v>0</v>
      </c>
    </row>
    <row r="36" spans="2:30" s="56" customFormat="1" x14ac:dyDescent="0.35">
      <c r="B36" s="196" t="s">
        <v>521</v>
      </c>
      <c r="C36" s="116">
        <v>0</v>
      </c>
      <c r="D36" s="116">
        <v>0</v>
      </c>
      <c r="E36" s="116">
        <v>0</v>
      </c>
      <c r="F36" s="115">
        <v>0</v>
      </c>
      <c r="G36" s="116">
        <v>0</v>
      </c>
      <c r="H36" s="116">
        <v>0</v>
      </c>
      <c r="I36" s="116">
        <v>0</v>
      </c>
      <c r="J36" s="115">
        <v>0</v>
      </c>
      <c r="K36" s="116">
        <v>0</v>
      </c>
      <c r="L36" s="116">
        <v>0</v>
      </c>
      <c r="M36" s="116">
        <v>0</v>
      </c>
      <c r="N36" s="115">
        <v>0</v>
      </c>
      <c r="O36" s="116">
        <v>0</v>
      </c>
      <c r="P36" s="116">
        <v>0</v>
      </c>
      <c r="Q36" s="116">
        <v>55</v>
      </c>
      <c r="R36" s="115">
        <v>0</v>
      </c>
      <c r="S36" s="116">
        <v>0</v>
      </c>
      <c r="T36" s="116">
        <v>0</v>
      </c>
      <c r="U36" s="116">
        <v>0</v>
      </c>
      <c r="V36" s="116">
        <v>53</v>
      </c>
      <c r="X36" s="116">
        <v>0</v>
      </c>
      <c r="Y36" s="116">
        <v>0</v>
      </c>
      <c r="Z36" s="116">
        <v>6</v>
      </c>
      <c r="AA36" s="116">
        <v>0</v>
      </c>
      <c r="AC36" s="453">
        <v>20</v>
      </c>
      <c r="AD36" s="99">
        <v>9</v>
      </c>
    </row>
    <row r="37" spans="2:30" s="56" customFormat="1" x14ac:dyDescent="0.35">
      <c r="B37" s="322" t="s">
        <v>178</v>
      </c>
      <c r="C37" s="116">
        <v>-31</v>
      </c>
      <c r="D37" s="116">
        <v>-34</v>
      </c>
      <c r="E37" s="116">
        <v>-28</v>
      </c>
      <c r="F37" s="115">
        <v>-28</v>
      </c>
      <c r="G37" s="116">
        <v>-13</v>
      </c>
      <c r="H37" s="116">
        <v>-13</v>
      </c>
      <c r="I37" s="116">
        <v>-11</v>
      </c>
      <c r="J37" s="115">
        <v>-7</v>
      </c>
      <c r="K37" s="116">
        <v>-9</v>
      </c>
      <c r="L37" s="116">
        <v>-14</v>
      </c>
      <c r="M37" s="116">
        <v>-12</v>
      </c>
      <c r="N37" s="115">
        <v>-11</v>
      </c>
      <c r="O37" s="116">
        <v>-11</v>
      </c>
      <c r="P37" s="116">
        <v>-12</v>
      </c>
      <c r="Q37" s="116">
        <v>-10</v>
      </c>
      <c r="R37" s="115">
        <v>-10</v>
      </c>
      <c r="S37" s="116">
        <v>-12</v>
      </c>
      <c r="T37" s="116">
        <v>-14</v>
      </c>
      <c r="U37" s="116">
        <v>-14</v>
      </c>
      <c r="V37" s="116">
        <v>-16</v>
      </c>
      <c r="X37" s="116">
        <v>-16</v>
      </c>
      <c r="Y37" s="116">
        <v>-17</v>
      </c>
      <c r="Z37" s="116">
        <v>-17</v>
      </c>
      <c r="AA37" s="116">
        <v>-17</v>
      </c>
      <c r="AC37" s="453">
        <v>-19</v>
      </c>
      <c r="AD37" s="453">
        <v>-24</v>
      </c>
    </row>
    <row r="38" spans="2:30" s="56" customFormat="1" x14ac:dyDescent="0.35">
      <c r="B38" s="322" t="s">
        <v>179</v>
      </c>
      <c r="C38" s="116">
        <v>0</v>
      </c>
      <c r="D38" s="116">
        <v>0</v>
      </c>
      <c r="E38" s="116">
        <v>0</v>
      </c>
      <c r="F38" s="115">
        <v>0</v>
      </c>
      <c r="G38" s="116">
        <v>0</v>
      </c>
      <c r="H38" s="116">
        <v>0</v>
      </c>
      <c r="I38" s="116">
        <v>0</v>
      </c>
      <c r="J38" s="115">
        <v>0</v>
      </c>
      <c r="K38" s="116">
        <v>0</v>
      </c>
      <c r="L38" s="116">
        <v>0</v>
      </c>
      <c r="M38" s="116">
        <v>117</v>
      </c>
      <c r="N38" s="115">
        <v>0</v>
      </c>
      <c r="O38" s="116">
        <v>0</v>
      </c>
      <c r="P38" s="116">
        <v>0</v>
      </c>
      <c r="Q38" s="116">
        <v>0</v>
      </c>
      <c r="R38" s="115">
        <v>0</v>
      </c>
      <c r="S38" s="116">
        <v>0</v>
      </c>
      <c r="T38" s="116">
        <v>0</v>
      </c>
      <c r="U38" s="116">
        <v>0</v>
      </c>
      <c r="V38" s="116">
        <v>0</v>
      </c>
      <c r="X38" s="116">
        <v>0</v>
      </c>
      <c r="Y38" s="116">
        <v>0</v>
      </c>
      <c r="Z38" s="116">
        <v>0</v>
      </c>
      <c r="AA38" s="116">
        <v>0</v>
      </c>
      <c r="AC38" s="453"/>
      <c r="AD38" s="116">
        <v>0</v>
      </c>
    </row>
    <row r="39" spans="2:30" s="56" customFormat="1" x14ac:dyDescent="0.35">
      <c r="B39" s="196" t="s">
        <v>180</v>
      </c>
      <c r="C39" s="116">
        <v>-78</v>
      </c>
      <c r="D39" s="116">
        <v>-89</v>
      </c>
      <c r="E39" s="116">
        <v>1210</v>
      </c>
      <c r="F39" s="115">
        <v>-52</v>
      </c>
      <c r="G39" s="116">
        <v>-55</v>
      </c>
      <c r="H39" s="116">
        <v>-31</v>
      </c>
      <c r="I39" s="116">
        <v>-9</v>
      </c>
      <c r="J39" s="115">
        <v>-14</v>
      </c>
      <c r="K39" s="116">
        <v>-26</v>
      </c>
      <c r="L39" s="116">
        <v>68</v>
      </c>
      <c r="M39" s="116">
        <v>-16</v>
      </c>
      <c r="N39" s="115">
        <v>23</v>
      </c>
      <c r="O39" s="116">
        <v>-32</v>
      </c>
      <c r="P39" s="116">
        <v>54</v>
      </c>
      <c r="Q39" s="116">
        <v>-44</v>
      </c>
      <c r="R39" s="115">
        <v>-904</v>
      </c>
      <c r="S39" s="116">
        <v>-92</v>
      </c>
      <c r="T39" s="116">
        <v>6</v>
      </c>
      <c r="U39" s="116">
        <v>-58</v>
      </c>
      <c r="V39" s="116">
        <v>-37</v>
      </c>
      <c r="X39" s="116">
        <v>-28</v>
      </c>
      <c r="Y39" s="116">
        <v>-35</v>
      </c>
      <c r="Z39" s="116">
        <v>-60</v>
      </c>
      <c r="AA39" s="116">
        <v>-160</v>
      </c>
      <c r="AC39" s="453">
        <v>28</v>
      </c>
      <c r="AD39" s="453">
        <v>-51</v>
      </c>
    </row>
    <row r="40" spans="2:30" s="56" customFormat="1" x14ac:dyDescent="0.35">
      <c r="B40" s="196" t="s">
        <v>181</v>
      </c>
      <c r="C40" s="116">
        <v>0</v>
      </c>
      <c r="D40" s="116">
        <v>0</v>
      </c>
      <c r="E40" s="116">
        <v>-67</v>
      </c>
      <c r="F40" s="115">
        <v>-15</v>
      </c>
      <c r="G40" s="116">
        <v>-13</v>
      </c>
      <c r="H40" s="116">
        <v>0</v>
      </c>
      <c r="I40" s="116">
        <v>0</v>
      </c>
      <c r="J40" s="115">
        <v>-1</v>
      </c>
      <c r="K40" s="116">
        <v>0</v>
      </c>
      <c r="L40" s="116">
        <v>0</v>
      </c>
      <c r="M40" s="116">
        <v>0</v>
      </c>
      <c r="N40" s="115">
        <v>0</v>
      </c>
      <c r="O40" s="116">
        <v>0</v>
      </c>
      <c r="P40" s="116">
        <v>0</v>
      </c>
      <c r="Q40" s="116">
        <v>0</v>
      </c>
      <c r="R40" s="115">
        <v>0</v>
      </c>
      <c r="S40" s="116">
        <v>0</v>
      </c>
      <c r="T40" s="116">
        <v>0</v>
      </c>
      <c r="U40" s="116">
        <v>0</v>
      </c>
      <c r="V40" s="116">
        <v>0</v>
      </c>
      <c r="X40" s="116">
        <v>0</v>
      </c>
      <c r="Y40" s="116">
        <v>0</v>
      </c>
      <c r="Z40" s="116">
        <v>0</v>
      </c>
      <c r="AA40" s="116">
        <v>0</v>
      </c>
      <c r="AC40" s="453"/>
      <c r="AD40" s="116">
        <v>0</v>
      </c>
    </row>
    <row r="41" spans="2:30" s="56" customFormat="1" x14ac:dyDescent="0.35">
      <c r="B41" s="196" t="s">
        <v>182</v>
      </c>
      <c r="C41" s="116">
        <v>0</v>
      </c>
      <c r="D41" s="116">
        <v>0</v>
      </c>
      <c r="E41" s="116">
        <v>0</v>
      </c>
      <c r="F41" s="115">
        <v>0</v>
      </c>
      <c r="G41" s="116">
        <v>0</v>
      </c>
      <c r="H41" s="116">
        <v>-49</v>
      </c>
      <c r="I41" s="116">
        <v>1</v>
      </c>
      <c r="J41" s="115">
        <v>0</v>
      </c>
      <c r="K41" s="116">
        <v>0</v>
      </c>
      <c r="L41" s="116">
        <v>0</v>
      </c>
      <c r="M41" s="116">
        <v>0</v>
      </c>
      <c r="N41" s="115">
        <v>0</v>
      </c>
      <c r="O41" s="116">
        <v>0</v>
      </c>
      <c r="P41" s="116">
        <v>0</v>
      </c>
      <c r="Q41" s="116">
        <v>0</v>
      </c>
      <c r="R41" s="115">
        <v>0</v>
      </c>
      <c r="S41" s="116">
        <v>0</v>
      </c>
      <c r="T41" s="116">
        <v>0</v>
      </c>
      <c r="U41" s="116">
        <v>0</v>
      </c>
      <c r="V41" s="116">
        <v>0</v>
      </c>
      <c r="X41" s="116">
        <v>0</v>
      </c>
      <c r="Y41" s="116">
        <v>0</v>
      </c>
      <c r="Z41" s="116">
        <v>0</v>
      </c>
      <c r="AA41" s="116">
        <v>0</v>
      </c>
      <c r="AC41" s="453"/>
      <c r="AD41" s="116">
        <v>0</v>
      </c>
    </row>
    <row r="42" spans="2:30" s="56" customFormat="1" x14ac:dyDescent="0.35">
      <c r="B42" s="196" t="s">
        <v>183</v>
      </c>
      <c r="C42" s="116">
        <v>-22</v>
      </c>
      <c r="D42" s="116">
        <v>6</v>
      </c>
      <c r="E42" s="116">
        <v>0</v>
      </c>
      <c r="F42" s="115">
        <v>-76</v>
      </c>
      <c r="G42" s="116">
        <v>3</v>
      </c>
      <c r="H42" s="116">
        <v>13</v>
      </c>
      <c r="I42" s="116">
        <v>3</v>
      </c>
      <c r="J42" s="115">
        <v>2</v>
      </c>
      <c r="K42" s="116">
        <v>0</v>
      </c>
      <c r="L42" s="116">
        <v>0</v>
      </c>
      <c r="M42" s="116">
        <v>0</v>
      </c>
      <c r="N42" s="115">
        <v>0</v>
      </c>
      <c r="O42" s="116">
        <v>0</v>
      </c>
      <c r="P42" s="116">
        <v>0</v>
      </c>
      <c r="Q42" s="116">
        <v>0</v>
      </c>
      <c r="R42" s="115">
        <v>0</v>
      </c>
      <c r="S42" s="116">
        <v>0</v>
      </c>
      <c r="T42" s="116">
        <v>0</v>
      </c>
      <c r="U42" s="116">
        <v>0</v>
      </c>
      <c r="V42" s="116">
        <v>0</v>
      </c>
      <c r="X42" s="116">
        <v>0</v>
      </c>
      <c r="Y42" s="116">
        <v>0</v>
      </c>
      <c r="Z42" s="116">
        <v>0</v>
      </c>
      <c r="AA42" s="116">
        <v>0</v>
      </c>
      <c r="AC42" s="453"/>
      <c r="AD42" s="116">
        <v>0</v>
      </c>
    </row>
    <row r="43" spans="2:30" s="56" customFormat="1" x14ac:dyDescent="0.35">
      <c r="B43" s="196" t="s">
        <v>184</v>
      </c>
      <c r="C43" s="116">
        <v>0</v>
      </c>
      <c r="D43" s="116">
        <v>0</v>
      </c>
      <c r="E43" s="116">
        <v>0</v>
      </c>
      <c r="F43" s="115">
        <v>0</v>
      </c>
      <c r="G43" s="116">
        <v>0</v>
      </c>
      <c r="H43" s="116">
        <v>0</v>
      </c>
      <c r="I43" s="116">
        <v>0</v>
      </c>
      <c r="J43" s="115">
        <v>-332</v>
      </c>
      <c r="K43" s="116">
        <v>3</v>
      </c>
      <c r="L43" s="116">
        <v>-1</v>
      </c>
      <c r="M43" s="116">
        <v>0</v>
      </c>
      <c r="N43" s="115">
        <v>0</v>
      </c>
      <c r="O43" s="116">
        <v>0</v>
      </c>
      <c r="P43" s="116">
        <v>0</v>
      </c>
      <c r="Q43" s="116">
        <v>0</v>
      </c>
      <c r="R43" s="115">
        <v>0</v>
      </c>
      <c r="S43" s="116">
        <v>0</v>
      </c>
      <c r="T43" s="116">
        <v>0</v>
      </c>
      <c r="U43" s="116">
        <v>0</v>
      </c>
      <c r="V43" s="116">
        <v>0</v>
      </c>
      <c r="X43" s="116">
        <v>0</v>
      </c>
      <c r="Y43" s="116">
        <v>0</v>
      </c>
      <c r="Z43" s="116">
        <v>0</v>
      </c>
      <c r="AA43" s="116">
        <v>0</v>
      </c>
      <c r="AC43" s="453"/>
      <c r="AD43" s="116">
        <v>0</v>
      </c>
    </row>
    <row r="44" spans="2:30" s="56" customFormat="1" x14ac:dyDescent="0.35">
      <c r="B44" s="322" t="s">
        <v>185</v>
      </c>
      <c r="C44" s="116">
        <v>-79</v>
      </c>
      <c r="D44" s="116">
        <v>-79</v>
      </c>
      <c r="E44" s="116">
        <v>-79</v>
      </c>
      <c r="F44" s="115">
        <v>-80</v>
      </c>
      <c r="G44" s="116">
        <v>-84</v>
      </c>
      <c r="H44" s="116">
        <v>-83</v>
      </c>
      <c r="I44" s="116">
        <v>-84</v>
      </c>
      <c r="J44" s="115">
        <v>-83</v>
      </c>
      <c r="K44" s="116">
        <v>-90</v>
      </c>
      <c r="L44" s="116">
        <v>-112</v>
      </c>
      <c r="M44" s="116">
        <v>-76</v>
      </c>
      <c r="N44" s="115">
        <v>1851</v>
      </c>
      <c r="O44" s="116">
        <v>-30</v>
      </c>
      <c r="P44" s="116">
        <v>-31</v>
      </c>
      <c r="Q44" s="116">
        <v>-30</v>
      </c>
      <c r="R44" s="115">
        <v>88</v>
      </c>
      <c r="S44" s="116">
        <v>-25</v>
      </c>
      <c r="T44" s="116">
        <v>-25</v>
      </c>
      <c r="U44" s="116">
        <v>-138</v>
      </c>
      <c r="V44" s="116">
        <v>-24</v>
      </c>
      <c r="X44" s="116">
        <v>-26</v>
      </c>
      <c r="Y44" s="116">
        <v>-27</v>
      </c>
      <c r="Z44" s="116">
        <v>-24</v>
      </c>
      <c r="AA44" s="116">
        <v>-26</v>
      </c>
      <c r="AC44" s="453">
        <v>-31</v>
      </c>
      <c r="AD44" s="453">
        <v>-30</v>
      </c>
    </row>
    <row r="45" spans="2:30" s="56" customFormat="1" x14ac:dyDescent="0.35">
      <c r="B45" s="196" t="s">
        <v>224</v>
      </c>
      <c r="C45" s="116">
        <v>0</v>
      </c>
      <c r="D45" s="116">
        <v>0</v>
      </c>
      <c r="E45" s="116">
        <v>0</v>
      </c>
      <c r="F45" s="115">
        <v>0</v>
      </c>
      <c r="G45" s="116">
        <v>0</v>
      </c>
      <c r="H45" s="116">
        <v>0</v>
      </c>
      <c r="I45" s="116">
        <v>0</v>
      </c>
      <c r="J45" s="115">
        <v>0</v>
      </c>
      <c r="K45" s="116">
        <v>0</v>
      </c>
      <c r="L45" s="116">
        <v>0</v>
      </c>
      <c r="M45" s="116">
        <v>-111</v>
      </c>
      <c r="N45" s="115">
        <v>-79</v>
      </c>
      <c r="O45" s="116">
        <v>-50</v>
      </c>
      <c r="P45" s="116">
        <v>-50</v>
      </c>
      <c r="Q45" s="116">
        <v>-59</v>
      </c>
      <c r="R45" s="115">
        <v>-81</v>
      </c>
      <c r="S45" s="116">
        <v>-206</v>
      </c>
      <c r="T45" s="116">
        <v>-321</v>
      </c>
      <c r="U45" s="116">
        <v>-311</v>
      </c>
      <c r="V45" s="116">
        <v>-212</v>
      </c>
      <c r="X45" s="116">
        <v>-269</v>
      </c>
      <c r="Y45" s="116">
        <v>-390</v>
      </c>
      <c r="Z45" s="116">
        <v>-301</v>
      </c>
      <c r="AA45" s="116">
        <v>-286</v>
      </c>
      <c r="AC45" s="453">
        <v>-255</v>
      </c>
      <c r="AD45" s="453">
        <v>-212</v>
      </c>
    </row>
    <row r="46" spans="2:30" s="56" customFormat="1" x14ac:dyDescent="0.35">
      <c r="B46" s="322" t="s">
        <v>225</v>
      </c>
      <c r="C46" s="116">
        <v>65</v>
      </c>
      <c r="D46" s="116">
        <v>64</v>
      </c>
      <c r="E46" s="116">
        <v>66</v>
      </c>
      <c r="F46" s="115">
        <v>70</v>
      </c>
      <c r="G46" s="116">
        <v>49</v>
      </c>
      <c r="H46" s="116">
        <v>74</v>
      </c>
      <c r="I46" s="116">
        <v>66</v>
      </c>
      <c r="J46" s="115">
        <v>63</v>
      </c>
      <c r="K46" s="116">
        <v>60</v>
      </c>
      <c r="L46" s="116">
        <v>32</v>
      </c>
      <c r="M46" s="116">
        <v>68</v>
      </c>
      <c r="N46" s="115">
        <v>75</v>
      </c>
      <c r="O46" s="116">
        <v>91</v>
      </c>
      <c r="P46" s="116">
        <v>99</v>
      </c>
      <c r="Q46" s="116">
        <v>93</v>
      </c>
      <c r="R46" s="115">
        <v>99</v>
      </c>
      <c r="S46" s="116">
        <v>72</v>
      </c>
      <c r="T46" s="116">
        <v>114</v>
      </c>
      <c r="U46" s="116">
        <v>113</v>
      </c>
      <c r="V46" s="116">
        <v>107</v>
      </c>
      <c r="X46" s="116">
        <v>117</v>
      </c>
      <c r="Y46" s="116">
        <v>114</v>
      </c>
      <c r="Z46" s="116">
        <v>126</v>
      </c>
      <c r="AA46" s="116">
        <v>109</v>
      </c>
      <c r="AC46" s="453">
        <v>113</v>
      </c>
      <c r="AD46" s="453">
        <v>99</v>
      </c>
    </row>
    <row r="47" spans="2:30" s="56" customFormat="1" x14ac:dyDescent="0.35">
      <c r="B47" s="322" t="s">
        <v>226</v>
      </c>
      <c r="C47" s="116">
        <v>14</v>
      </c>
      <c r="D47" s="116">
        <v>19</v>
      </c>
      <c r="E47" s="116">
        <v>30</v>
      </c>
      <c r="F47" s="115">
        <v>31</v>
      </c>
      <c r="G47" s="116">
        <v>28</v>
      </c>
      <c r="H47" s="116">
        <v>27</v>
      </c>
      <c r="I47" s="116">
        <v>79</v>
      </c>
      <c r="J47" s="115">
        <v>27</v>
      </c>
      <c r="K47" s="116">
        <v>18</v>
      </c>
      <c r="L47" s="116">
        <v>19</v>
      </c>
      <c r="M47" s="116">
        <v>22</v>
      </c>
      <c r="N47" s="115">
        <v>25</v>
      </c>
      <c r="O47" s="116">
        <v>28</v>
      </c>
      <c r="P47" s="116">
        <v>24</v>
      </c>
      <c r="Q47" s="116">
        <v>40</v>
      </c>
      <c r="R47" s="115">
        <v>47</v>
      </c>
      <c r="S47" s="116">
        <v>30</v>
      </c>
      <c r="T47" s="116">
        <v>28</v>
      </c>
      <c r="U47" s="116">
        <v>41</v>
      </c>
      <c r="V47" s="116">
        <v>40</v>
      </c>
      <c r="X47" s="116">
        <v>36</v>
      </c>
      <c r="Y47" s="116">
        <v>38</v>
      </c>
      <c r="Z47" s="116">
        <v>41</v>
      </c>
      <c r="AA47" s="116">
        <v>37</v>
      </c>
      <c r="AC47" s="453">
        <v>38</v>
      </c>
      <c r="AD47" s="453">
        <v>37</v>
      </c>
    </row>
    <row r="48" spans="2:30" s="56" customFormat="1" x14ac:dyDescent="0.35">
      <c r="B48" s="196" t="s">
        <v>227</v>
      </c>
      <c r="C48" s="116">
        <v>18</v>
      </c>
      <c r="D48" s="116">
        <v>9</v>
      </c>
      <c r="E48" s="116">
        <v>9</v>
      </c>
      <c r="F48" s="115">
        <v>15</v>
      </c>
      <c r="G48" s="116">
        <v>18</v>
      </c>
      <c r="H48" s="116">
        <v>7</v>
      </c>
      <c r="I48" s="116">
        <v>13</v>
      </c>
      <c r="J48" s="115">
        <v>4</v>
      </c>
      <c r="K48" s="116">
        <v>19</v>
      </c>
      <c r="L48" s="116">
        <v>1</v>
      </c>
      <c r="M48" s="116">
        <v>4</v>
      </c>
      <c r="N48" s="115">
        <v>6</v>
      </c>
      <c r="O48" s="116">
        <v>17</v>
      </c>
      <c r="P48" s="116">
        <v>4</v>
      </c>
      <c r="Q48" s="116">
        <v>5</v>
      </c>
      <c r="R48" s="115">
        <v>5</v>
      </c>
      <c r="S48" s="116">
        <v>19</v>
      </c>
      <c r="T48" s="116">
        <v>4</v>
      </c>
      <c r="U48" s="116">
        <v>7</v>
      </c>
      <c r="V48" s="116">
        <v>83</v>
      </c>
      <c r="X48" s="116">
        <v>30</v>
      </c>
      <c r="Y48" s="116">
        <v>22</v>
      </c>
      <c r="Z48" s="116">
        <v>33</v>
      </c>
      <c r="AA48" s="116">
        <v>30</v>
      </c>
      <c r="AC48" s="453">
        <v>37</v>
      </c>
      <c r="AD48" s="453">
        <v>28</v>
      </c>
    </row>
    <row r="49" spans="2:30" s="56" customFormat="1" x14ac:dyDescent="0.35">
      <c r="B49" s="322" t="s">
        <v>228</v>
      </c>
      <c r="C49" s="116">
        <v>-8</v>
      </c>
      <c r="D49" s="116">
        <v>-28</v>
      </c>
      <c r="E49" s="116">
        <v>-53</v>
      </c>
      <c r="F49" s="115">
        <v>-81</v>
      </c>
      <c r="G49" s="116">
        <v>-12</v>
      </c>
      <c r="H49" s="116">
        <v>-22</v>
      </c>
      <c r="I49" s="116">
        <v>-14</v>
      </c>
      <c r="J49" s="115">
        <v>-43</v>
      </c>
      <c r="K49" s="116">
        <v>-5</v>
      </c>
      <c r="L49" s="116">
        <v>-19</v>
      </c>
      <c r="M49" s="116">
        <v>-45</v>
      </c>
      <c r="N49" s="115">
        <v>-31</v>
      </c>
      <c r="O49" s="116">
        <v>-23</v>
      </c>
      <c r="P49" s="116">
        <v>-22</v>
      </c>
      <c r="Q49" s="116">
        <v>-23</v>
      </c>
      <c r="R49" s="115">
        <v>-40</v>
      </c>
      <c r="S49" s="116">
        <v>-27</v>
      </c>
      <c r="T49" s="116">
        <v>-35</v>
      </c>
      <c r="U49" s="116">
        <v>-34</v>
      </c>
      <c r="V49" s="116">
        <v>-31</v>
      </c>
      <c r="X49" s="116">
        <v>-22</v>
      </c>
      <c r="Y49" s="116">
        <v>-33</v>
      </c>
      <c r="Z49" s="116">
        <v>-26</v>
      </c>
      <c r="AA49" s="116">
        <v>-53</v>
      </c>
      <c r="AC49" s="453">
        <v>-21</v>
      </c>
      <c r="AD49" s="453">
        <v>-53</v>
      </c>
    </row>
    <row r="50" spans="2:30" s="56" customFormat="1" x14ac:dyDescent="0.35">
      <c r="B50" s="196" t="s">
        <v>439</v>
      </c>
      <c r="C50" s="116">
        <v>1</v>
      </c>
      <c r="D50" s="116">
        <v>9</v>
      </c>
      <c r="E50" s="116">
        <v>16</v>
      </c>
      <c r="F50" s="115">
        <v>-13</v>
      </c>
      <c r="G50" s="116">
        <v>6</v>
      </c>
      <c r="H50" s="116">
        <v>4</v>
      </c>
      <c r="I50" s="116">
        <v>0</v>
      </c>
      <c r="J50" s="115">
        <v>7</v>
      </c>
      <c r="K50" s="116">
        <v>3</v>
      </c>
      <c r="L50" s="116">
        <v>-8</v>
      </c>
      <c r="M50" s="116">
        <v>-160</v>
      </c>
      <c r="N50" s="115">
        <v>18</v>
      </c>
      <c r="O50" s="116">
        <v>54</v>
      </c>
      <c r="P50" s="116">
        <v>31</v>
      </c>
      <c r="Q50" s="116">
        <v>-30</v>
      </c>
      <c r="R50" s="115">
        <v>39</v>
      </c>
      <c r="S50" s="116">
        <v>530</v>
      </c>
      <c r="T50" s="116">
        <v>19</v>
      </c>
      <c r="U50" s="116">
        <v>170</v>
      </c>
      <c r="V50" s="116">
        <v>284</v>
      </c>
      <c r="X50" s="116">
        <v>42</v>
      </c>
      <c r="Y50" s="116">
        <v>58</v>
      </c>
      <c r="Z50" s="116">
        <v>639</v>
      </c>
      <c r="AA50" s="116">
        <v>99</v>
      </c>
      <c r="AC50" s="453">
        <v>56</v>
      </c>
      <c r="AD50" s="453">
        <v>107</v>
      </c>
    </row>
    <row r="51" spans="2:30" s="56" customFormat="1" x14ac:dyDescent="0.35">
      <c r="B51" s="196" t="s">
        <v>229</v>
      </c>
      <c r="C51" s="116">
        <v>0</v>
      </c>
      <c r="D51" s="116">
        <v>0</v>
      </c>
      <c r="E51" s="116">
        <v>0</v>
      </c>
      <c r="F51" s="115">
        <v>0</v>
      </c>
      <c r="G51" s="116">
        <v>-64</v>
      </c>
      <c r="H51" s="116">
        <v>59</v>
      </c>
      <c r="I51" s="116">
        <v>-26</v>
      </c>
      <c r="J51" s="115">
        <v>-36</v>
      </c>
      <c r="K51" s="116">
        <v>292</v>
      </c>
      <c r="L51" s="116">
        <v>-308</v>
      </c>
      <c r="M51" s="116">
        <v>75</v>
      </c>
      <c r="N51" s="115">
        <v>-109</v>
      </c>
      <c r="O51" s="116">
        <v>61</v>
      </c>
      <c r="P51" s="116">
        <v>5</v>
      </c>
      <c r="Q51" s="116">
        <v>-33</v>
      </c>
      <c r="R51" s="115">
        <v>23</v>
      </c>
      <c r="S51" s="116">
        <v>-258</v>
      </c>
      <c r="T51" s="116">
        <v>352</v>
      </c>
      <c r="U51" s="116">
        <v>-104</v>
      </c>
      <c r="V51" s="116">
        <v>-79</v>
      </c>
      <c r="X51" s="116">
        <v>92</v>
      </c>
      <c r="Y51" s="116">
        <v>0</v>
      </c>
      <c r="Z51" s="116">
        <v>-16</v>
      </c>
      <c r="AA51" s="116">
        <v>42</v>
      </c>
      <c r="AC51" s="453">
        <v>-17</v>
      </c>
      <c r="AD51" s="453">
        <v>-18</v>
      </c>
    </row>
    <row r="52" spans="2:30" s="56" customFormat="1" x14ac:dyDescent="0.35">
      <c r="B52" s="196" t="s">
        <v>230</v>
      </c>
      <c r="C52" s="116">
        <v>0</v>
      </c>
      <c r="D52" s="116">
        <v>0</v>
      </c>
      <c r="E52" s="116">
        <v>0</v>
      </c>
      <c r="F52" s="115">
        <v>0</v>
      </c>
      <c r="G52" s="116">
        <v>19</v>
      </c>
      <c r="H52" s="116">
        <v>-35</v>
      </c>
      <c r="I52" s="116">
        <v>48</v>
      </c>
      <c r="J52" s="115">
        <v>-5</v>
      </c>
      <c r="K52" s="116">
        <v>124</v>
      </c>
      <c r="L52" s="116">
        <v>327</v>
      </c>
      <c r="M52" s="116">
        <v>-49</v>
      </c>
      <c r="N52" s="115">
        <v>-7</v>
      </c>
      <c r="O52" s="116">
        <v>-273</v>
      </c>
      <c r="P52" s="116">
        <v>-74</v>
      </c>
      <c r="Q52" s="116">
        <v>-44</v>
      </c>
      <c r="R52" s="115">
        <v>-39</v>
      </c>
      <c r="S52" s="116">
        <v>-489</v>
      </c>
      <c r="T52" s="116">
        <v>-273</v>
      </c>
      <c r="U52" s="116">
        <v>380</v>
      </c>
      <c r="V52" s="116">
        <v>-482</v>
      </c>
      <c r="X52" s="116">
        <v>39</v>
      </c>
      <c r="Y52" s="116">
        <v>17</v>
      </c>
      <c r="Z52" s="116">
        <v>-80</v>
      </c>
      <c r="AA52" s="116">
        <v>55</v>
      </c>
      <c r="AC52" s="453">
        <v>-62</v>
      </c>
      <c r="AD52" s="453">
        <v>44</v>
      </c>
    </row>
    <row r="53" spans="2:30" s="56" customFormat="1" x14ac:dyDescent="0.35">
      <c r="B53" s="196" t="s">
        <v>231</v>
      </c>
      <c r="C53" s="116">
        <v>0</v>
      </c>
      <c r="D53" s="116">
        <v>-50</v>
      </c>
      <c r="E53" s="116">
        <v>-21</v>
      </c>
      <c r="F53" s="115">
        <v>-19</v>
      </c>
      <c r="G53" s="116">
        <v>-13</v>
      </c>
      <c r="H53" s="116">
        <v>-14</v>
      </c>
      <c r="I53" s="116">
        <v>-13</v>
      </c>
      <c r="J53" s="115">
        <v>-12</v>
      </c>
      <c r="K53" s="116">
        <v>0</v>
      </c>
      <c r="L53" s="116">
        <v>0</v>
      </c>
      <c r="M53" s="116">
        <v>3</v>
      </c>
      <c r="N53" s="115">
        <v>-30</v>
      </c>
      <c r="O53" s="116">
        <v>-13</v>
      </c>
      <c r="P53" s="116">
        <v>-15</v>
      </c>
      <c r="Q53" s="116">
        <v>-15</v>
      </c>
      <c r="R53" s="115">
        <v>-37</v>
      </c>
      <c r="S53" s="116">
        <v>-21</v>
      </c>
      <c r="T53" s="116">
        <v>-22</v>
      </c>
      <c r="U53" s="116">
        <v>-21</v>
      </c>
      <c r="V53" s="116">
        <v>-18</v>
      </c>
      <c r="X53" s="116">
        <v>-30</v>
      </c>
      <c r="Y53" s="116">
        <v>-20</v>
      </c>
      <c r="Z53" s="116">
        <v>-21</v>
      </c>
      <c r="AA53" s="116">
        <v>-81</v>
      </c>
      <c r="AC53" s="453">
        <v>-27</v>
      </c>
      <c r="AD53" s="453">
        <v>-34</v>
      </c>
    </row>
    <row r="54" spans="2:30" s="56" customFormat="1" x14ac:dyDescent="0.35">
      <c r="B54" s="196" t="s">
        <v>132</v>
      </c>
      <c r="C54" s="453">
        <v>-14</v>
      </c>
      <c r="D54" s="453">
        <v>9</v>
      </c>
      <c r="E54" s="453">
        <v>-3</v>
      </c>
      <c r="F54" s="506">
        <v>21</v>
      </c>
      <c r="G54" s="453">
        <v>-7</v>
      </c>
      <c r="H54" s="453">
        <v>-2</v>
      </c>
      <c r="I54" s="453">
        <v>19</v>
      </c>
      <c r="J54" s="506">
        <v>-40</v>
      </c>
      <c r="K54" s="453">
        <v>-13</v>
      </c>
      <c r="L54" s="453">
        <v>51</v>
      </c>
      <c r="M54" s="453">
        <v>57</v>
      </c>
      <c r="N54" s="506">
        <v>-44</v>
      </c>
      <c r="O54" s="453">
        <v>-3</v>
      </c>
      <c r="P54" s="453">
        <v>-1</v>
      </c>
      <c r="Q54" s="453">
        <v>-10</v>
      </c>
      <c r="R54" s="506">
        <v>4</v>
      </c>
      <c r="S54" s="453">
        <v>9</v>
      </c>
      <c r="T54" s="453">
        <v>-42</v>
      </c>
      <c r="U54" s="453">
        <v>20</v>
      </c>
      <c r="V54" s="453">
        <v>-17</v>
      </c>
      <c r="W54" s="444"/>
      <c r="X54" s="453">
        <v>-37</v>
      </c>
      <c r="Y54" s="453">
        <v>-9</v>
      </c>
      <c r="Z54" s="453">
        <v>1</v>
      </c>
      <c r="AA54" s="453">
        <v>-46</v>
      </c>
      <c r="AC54" s="453">
        <v>50</v>
      </c>
      <c r="AD54" s="453">
        <v>90</v>
      </c>
    </row>
    <row r="55" spans="2:30" x14ac:dyDescent="0.35">
      <c r="B55" s="56" t="s">
        <v>529</v>
      </c>
      <c r="C55" s="116">
        <v>0</v>
      </c>
      <c r="D55" s="116">
        <v>0</v>
      </c>
      <c r="E55" s="116">
        <v>0</v>
      </c>
      <c r="F55" s="116">
        <v>0</v>
      </c>
      <c r="G55" s="116">
        <v>0</v>
      </c>
      <c r="H55" s="116">
        <v>0</v>
      </c>
      <c r="I55" s="116">
        <v>0</v>
      </c>
      <c r="J55" s="116">
        <v>0</v>
      </c>
      <c r="K55" s="116">
        <v>0</v>
      </c>
      <c r="L55" s="116">
        <v>0</v>
      </c>
      <c r="M55" s="116">
        <v>0</v>
      </c>
      <c r="N55" s="115">
        <v>0</v>
      </c>
      <c r="O55" s="116">
        <v>0</v>
      </c>
      <c r="P55" s="116">
        <v>0</v>
      </c>
      <c r="Q55" s="116">
        <v>0</v>
      </c>
      <c r="R55" s="115">
        <v>0</v>
      </c>
      <c r="S55" s="116">
        <v>0</v>
      </c>
      <c r="T55" s="116">
        <v>0</v>
      </c>
      <c r="U55" s="116">
        <v>0</v>
      </c>
      <c r="V55" s="38">
        <v>672</v>
      </c>
      <c r="W55" s="56"/>
      <c r="X55" s="116">
        <v>32</v>
      </c>
      <c r="Y55" s="116">
        <v>46</v>
      </c>
      <c r="Z55" s="116">
        <v>0</v>
      </c>
      <c r="AA55" s="116">
        <v>0</v>
      </c>
      <c r="AC55" s="116">
        <v>0</v>
      </c>
      <c r="AD55" s="116">
        <v>0</v>
      </c>
    </row>
    <row r="56" spans="2:30" x14ac:dyDescent="0.35">
      <c r="B56" s="56" t="s">
        <v>519</v>
      </c>
      <c r="C56" s="116">
        <v>1</v>
      </c>
      <c r="D56" s="116">
        <v>1</v>
      </c>
      <c r="E56" s="116">
        <v>1</v>
      </c>
      <c r="F56" s="116">
        <v>1</v>
      </c>
      <c r="G56" s="116">
        <v>0</v>
      </c>
      <c r="H56" s="116">
        <v>1</v>
      </c>
      <c r="I56" s="116">
        <v>1</v>
      </c>
      <c r="J56" s="116">
        <v>1</v>
      </c>
      <c r="K56" s="116">
        <v>1</v>
      </c>
      <c r="L56" s="116">
        <v>1</v>
      </c>
      <c r="M56" s="116">
        <v>1</v>
      </c>
      <c r="N56" s="115">
        <v>1</v>
      </c>
      <c r="O56" s="116">
        <v>2</v>
      </c>
      <c r="P56" s="116">
        <v>1</v>
      </c>
      <c r="Q56" s="116">
        <v>4</v>
      </c>
      <c r="R56" s="115">
        <v>6</v>
      </c>
      <c r="S56" s="116">
        <v>6</v>
      </c>
      <c r="T56" s="116">
        <v>6</v>
      </c>
      <c r="U56" s="116">
        <v>35</v>
      </c>
      <c r="V56" s="38">
        <v>116</v>
      </c>
      <c r="W56" s="56"/>
      <c r="X56" s="116">
        <v>15</v>
      </c>
      <c r="Y56" s="116">
        <v>12</v>
      </c>
      <c r="Z56" s="116">
        <v>2</v>
      </c>
      <c r="AA56" s="116">
        <v>1</v>
      </c>
      <c r="AC56" s="116">
        <v>0</v>
      </c>
      <c r="AD56" s="116">
        <v>0</v>
      </c>
    </row>
    <row r="57" spans="2:30" x14ac:dyDescent="0.35">
      <c r="B57" s="56" t="s">
        <v>602</v>
      </c>
      <c r="C57" s="116">
        <v>0</v>
      </c>
      <c r="D57" s="116">
        <v>0</v>
      </c>
      <c r="E57" s="116">
        <v>0</v>
      </c>
      <c r="F57" s="116">
        <v>0</v>
      </c>
      <c r="G57" s="116">
        <v>0</v>
      </c>
      <c r="H57" s="116">
        <v>0</v>
      </c>
      <c r="I57" s="116">
        <v>0</v>
      </c>
      <c r="J57" s="116">
        <v>0</v>
      </c>
      <c r="K57" s="116">
        <v>0</v>
      </c>
      <c r="L57" s="116">
        <v>0</v>
      </c>
      <c r="M57" s="116">
        <v>0</v>
      </c>
      <c r="N57" s="115">
        <v>0</v>
      </c>
      <c r="O57" s="116">
        <v>0</v>
      </c>
      <c r="P57" s="116">
        <v>0</v>
      </c>
      <c r="Q57" s="116">
        <v>0</v>
      </c>
      <c r="R57" s="115">
        <v>0</v>
      </c>
      <c r="S57" s="116">
        <v>0</v>
      </c>
      <c r="T57" s="116">
        <v>0</v>
      </c>
      <c r="U57" s="116">
        <v>0</v>
      </c>
      <c r="V57" s="116">
        <v>0</v>
      </c>
      <c r="W57" s="116">
        <v>0</v>
      </c>
      <c r="X57" s="116">
        <v>0</v>
      </c>
      <c r="Y57" s="38">
        <v>120</v>
      </c>
      <c r="Z57" s="116">
        <v>0</v>
      </c>
      <c r="AA57" s="116">
        <v>0</v>
      </c>
      <c r="AC57" s="116">
        <v>0</v>
      </c>
      <c r="AD57" s="116">
        <v>0</v>
      </c>
    </row>
    <row r="58" spans="2:30" x14ac:dyDescent="0.35">
      <c r="B58" s="56" t="s">
        <v>603</v>
      </c>
      <c r="C58" s="116">
        <v>0</v>
      </c>
      <c r="D58" s="116">
        <v>0</v>
      </c>
      <c r="E58" s="116">
        <v>0</v>
      </c>
      <c r="F58" s="116">
        <v>0</v>
      </c>
      <c r="G58" s="116">
        <v>0</v>
      </c>
      <c r="H58" s="116">
        <v>0</v>
      </c>
      <c r="I58" s="116">
        <v>0</v>
      </c>
      <c r="J58" s="116">
        <v>0</v>
      </c>
      <c r="K58" s="116">
        <v>0</v>
      </c>
      <c r="L58" s="116">
        <v>0</v>
      </c>
      <c r="M58" s="116">
        <v>0</v>
      </c>
      <c r="N58" s="115">
        <v>0</v>
      </c>
      <c r="O58" s="116">
        <v>0</v>
      </c>
      <c r="P58" s="116">
        <v>0</v>
      </c>
      <c r="Q58" s="116">
        <v>0</v>
      </c>
      <c r="R58" s="115">
        <v>0</v>
      </c>
      <c r="S58" s="116">
        <v>0</v>
      </c>
      <c r="T58" s="116">
        <v>0</v>
      </c>
      <c r="U58" s="116">
        <v>0</v>
      </c>
      <c r="V58" s="116">
        <v>0</v>
      </c>
      <c r="W58" s="116">
        <v>0</v>
      </c>
      <c r="X58" s="116">
        <v>0</v>
      </c>
      <c r="Y58" s="116">
        <v>0</v>
      </c>
      <c r="Z58" s="116">
        <v>-360</v>
      </c>
      <c r="AA58" s="116">
        <v>0</v>
      </c>
      <c r="AC58" s="116">
        <v>0</v>
      </c>
      <c r="AD58" s="116">
        <v>0</v>
      </c>
    </row>
    <row r="59" spans="2:30" x14ac:dyDescent="0.35">
      <c r="B59" s="56" t="s">
        <v>622</v>
      </c>
      <c r="C59" s="116">
        <v>0</v>
      </c>
      <c r="D59" s="116">
        <v>0</v>
      </c>
      <c r="E59" s="116">
        <v>0</v>
      </c>
      <c r="F59" s="116">
        <v>0</v>
      </c>
      <c r="G59" s="116">
        <v>0</v>
      </c>
      <c r="H59" s="116">
        <v>0</v>
      </c>
      <c r="I59" s="116">
        <v>0</v>
      </c>
      <c r="J59" s="116">
        <v>0</v>
      </c>
      <c r="K59" s="116">
        <v>0</v>
      </c>
      <c r="L59" s="116">
        <v>0</v>
      </c>
      <c r="M59" s="116">
        <v>0</v>
      </c>
      <c r="N59" s="115">
        <v>0</v>
      </c>
      <c r="O59" s="116">
        <v>0</v>
      </c>
      <c r="P59" s="116">
        <v>0</v>
      </c>
      <c r="Q59" s="116">
        <v>0</v>
      </c>
      <c r="R59" s="115">
        <v>0</v>
      </c>
      <c r="S59" s="116">
        <v>0</v>
      </c>
      <c r="T59" s="116">
        <v>0</v>
      </c>
      <c r="U59" s="116">
        <v>0</v>
      </c>
      <c r="V59" s="116">
        <v>0</v>
      </c>
      <c r="W59" s="116">
        <v>0</v>
      </c>
      <c r="X59" s="116">
        <v>0</v>
      </c>
      <c r="Y59" s="116">
        <v>0</v>
      </c>
      <c r="Z59" s="116">
        <v>0</v>
      </c>
      <c r="AA59" s="453">
        <v>828</v>
      </c>
      <c r="AC59" s="116">
        <v>0</v>
      </c>
      <c r="AD59" s="116">
        <v>0</v>
      </c>
    </row>
    <row r="60" spans="2:30" x14ac:dyDescent="0.35">
      <c r="B60" s="505" t="s">
        <v>623</v>
      </c>
      <c r="C60" s="116">
        <v>0</v>
      </c>
      <c r="D60" s="116">
        <v>0</v>
      </c>
      <c r="E60" s="116">
        <v>0</v>
      </c>
      <c r="F60" s="116">
        <v>0</v>
      </c>
      <c r="G60" s="116">
        <v>0</v>
      </c>
      <c r="H60" s="116">
        <v>0</v>
      </c>
      <c r="I60" s="116">
        <v>0</v>
      </c>
      <c r="J60" s="116">
        <v>0</v>
      </c>
      <c r="K60" s="116">
        <v>0</v>
      </c>
      <c r="L60" s="116">
        <v>0</v>
      </c>
      <c r="M60" s="116">
        <v>0</v>
      </c>
      <c r="N60" s="115">
        <v>0</v>
      </c>
      <c r="O60" s="116">
        <v>0</v>
      </c>
      <c r="P60" s="116">
        <v>0</v>
      </c>
      <c r="Q60" s="116">
        <v>0</v>
      </c>
      <c r="R60" s="115">
        <v>0</v>
      </c>
      <c r="S60" s="116">
        <v>0</v>
      </c>
      <c r="T60" s="116">
        <v>0</v>
      </c>
      <c r="U60" s="116">
        <v>0</v>
      </c>
      <c r="V60" s="116">
        <v>0</v>
      </c>
      <c r="W60" s="116">
        <v>0</v>
      </c>
      <c r="X60" s="116">
        <v>0</v>
      </c>
      <c r="Y60" s="116">
        <v>0</v>
      </c>
      <c r="Z60" s="116">
        <v>0</v>
      </c>
      <c r="AA60" s="453">
        <v>2591</v>
      </c>
      <c r="AC60" s="116">
        <v>535</v>
      </c>
      <c r="AD60" s="116">
        <v>0</v>
      </c>
    </row>
    <row r="61" spans="2:30" x14ac:dyDescent="0.35">
      <c r="B61" s="56" t="s">
        <v>625</v>
      </c>
      <c r="C61" s="116">
        <v>0</v>
      </c>
      <c r="D61" s="116">
        <v>0</v>
      </c>
      <c r="E61" s="116">
        <v>0</v>
      </c>
      <c r="F61" s="116">
        <v>0</v>
      </c>
      <c r="G61" s="116">
        <v>0</v>
      </c>
      <c r="H61" s="116">
        <v>0</v>
      </c>
      <c r="I61" s="116">
        <v>0</v>
      </c>
      <c r="J61" s="116">
        <v>0</v>
      </c>
      <c r="K61" s="116">
        <v>0</v>
      </c>
      <c r="L61" s="116">
        <v>0</v>
      </c>
      <c r="M61" s="116">
        <v>0</v>
      </c>
      <c r="N61" s="115">
        <v>0</v>
      </c>
      <c r="O61" s="116">
        <v>0</v>
      </c>
      <c r="P61" s="116">
        <v>0</v>
      </c>
      <c r="Q61" s="116">
        <v>0</v>
      </c>
      <c r="R61" s="115">
        <v>0</v>
      </c>
      <c r="S61" s="116">
        <v>0</v>
      </c>
      <c r="T61" s="116">
        <v>0</v>
      </c>
      <c r="U61" s="116">
        <v>0</v>
      </c>
      <c r="V61" s="116">
        <v>0</v>
      </c>
      <c r="W61" s="116">
        <v>0</v>
      </c>
      <c r="X61" s="116">
        <v>0</v>
      </c>
      <c r="Y61" s="116">
        <v>0</v>
      </c>
      <c r="Z61" s="116">
        <v>0</v>
      </c>
      <c r="AA61" s="453">
        <v>-19</v>
      </c>
      <c r="AC61" s="116">
        <v>0</v>
      </c>
      <c r="AD61" s="116">
        <v>0</v>
      </c>
    </row>
    <row r="62" spans="2:30" x14ac:dyDescent="0.35">
      <c r="B62" s="56" t="s">
        <v>624</v>
      </c>
      <c r="C62" s="116">
        <v>0</v>
      </c>
      <c r="D62" s="116">
        <v>0</v>
      </c>
      <c r="E62" s="116">
        <v>0</v>
      </c>
      <c r="F62" s="116">
        <v>0</v>
      </c>
      <c r="G62" s="116">
        <v>0</v>
      </c>
      <c r="H62" s="116">
        <v>0</v>
      </c>
      <c r="I62" s="116">
        <v>0</v>
      </c>
      <c r="J62" s="116">
        <v>0</v>
      </c>
      <c r="K62" s="116">
        <v>0</v>
      </c>
      <c r="L62" s="116">
        <v>0</v>
      </c>
      <c r="M62" s="116">
        <v>0</v>
      </c>
      <c r="N62" s="115">
        <v>0</v>
      </c>
      <c r="O62" s="116">
        <v>0</v>
      </c>
      <c r="P62" s="116">
        <v>0</v>
      </c>
      <c r="Q62" s="116">
        <v>0</v>
      </c>
      <c r="R62" s="115">
        <v>0</v>
      </c>
      <c r="S62" s="116">
        <v>0</v>
      </c>
      <c r="T62" s="116">
        <v>0</v>
      </c>
      <c r="U62" s="116">
        <v>0</v>
      </c>
      <c r="V62" s="116">
        <v>0</v>
      </c>
      <c r="W62" s="116">
        <v>0</v>
      </c>
      <c r="X62" s="116">
        <v>0</v>
      </c>
      <c r="Y62" s="116">
        <v>0</v>
      </c>
      <c r="Z62" s="116">
        <v>0</v>
      </c>
      <c r="AA62" s="453">
        <v>31</v>
      </c>
      <c r="AC62" s="116">
        <v>0</v>
      </c>
      <c r="AD62" s="116">
        <v>0</v>
      </c>
    </row>
    <row r="63" spans="2:30" x14ac:dyDescent="0.35">
      <c r="B63" s="56" t="s">
        <v>626</v>
      </c>
      <c r="C63" s="453">
        <v>-2</v>
      </c>
      <c r="D63" s="453">
        <v>1</v>
      </c>
      <c r="E63" s="453">
        <v>1</v>
      </c>
      <c r="F63" s="453">
        <v>0</v>
      </c>
      <c r="G63" s="453">
        <v>1</v>
      </c>
      <c r="H63" s="453">
        <v>0</v>
      </c>
      <c r="I63" s="453">
        <v>-1</v>
      </c>
      <c r="J63" s="453">
        <v>-1</v>
      </c>
      <c r="K63" s="453">
        <v>-4</v>
      </c>
      <c r="L63" s="453">
        <v>-1</v>
      </c>
      <c r="M63" s="453">
        <v>-2</v>
      </c>
      <c r="N63" s="506">
        <v>-6</v>
      </c>
      <c r="O63" s="453">
        <v>-6</v>
      </c>
      <c r="P63" s="453">
        <v>-2</v>
      </c>
      <c r="Q63" s="453">
        <v>-9</v>
      </c>
      <c r="R63" s="506">
        <v>-6</v>
      </c>
      <c r="S63" s="453">
        <v>-1</v>
      </c>
      <c r="T63" s="453">
        <v>11</v>
      </c>
      <c r="U63" s="453">
        <v>12</v>
      </c>
      <c r="V63" s="453">
        <v>6</v>
      </c>
      <c r="W63" s="453"/>
      <c r="X63" s="453">
        <v>-2</v>
      </c>
      <c r="Y63" s="453">
        <v>-2</v>
      </c>
      <c r="Z63" s="453">
        <v>1</v>
      </c>
      <c r="AA63" s="453">
        <v>-99</v>
      </c>
      <c r="AC63" s="453">
        <v>-5</v>
      </c>
      <c r="AD63" s="453">
        <v>1</v>
      </c>
    </row>
    <row r="64" spans="2:30" x14ac:dyDescent="0.35">
      <c r="C64" s="116"/>
      <c r="D64" s="116"/>
      <c r="E64" s="116"/>
      <c r="F64" s="116"/>
      <c r="G64" s="116"/>
      <c r="H64" s="116"/>
      <c r="I64" s="116"/>
      <c r="J64" s="116"/>
      <c r="K64" s="116"/>
      <c r="L64" s="116"/>
      <c r="M64" s="116"/>
      <c r="N64" s="115"/>
      <c r="O64" s="116"/>
      <c r="P64" s="116"/>
      <c r="Q64" s="116"/>
      <c r="R64" s="115"/>
      <c r="S64" s="116"/>
      <c r="T64" s="116"/>
      <c r="U64" s="116"/>
      <c r="V64" s="38"/>
      <c r="X64" s="116"/>
      <c r="Y64" s="116"/>
      <c r="Z64" s="116"/>
      <c r="AA64" s="116"/>
      <c r="AC64" s="116"/>
      <c r="AD64" s="116"/>
    </row>
    <row r="65" spans="2:2" ht="14" x14ac:dyDescent="0.3">
      <c r="B65" s="197" t="s">
        <v>232</v>
      </c>
    </row>
    <row r="66" spans="2:2" ht="14" x14ac:dyDescent="0.3">
      <c r="B66" s="197" t="s">
        <v>233</v>
      </c>
    </row>
    <row r="67" spans="2:2" ht="14" x14ac:dyDescent="0.3">
      <c r="B67" s="197" t="s">
        <v>592</v>
      </c>
    </row>
    <row r="68" spans="2:2" ht="14" x14ac:dyDescent="0.3">
      <c r="B68" s="197" t="s">
        <v>522</v>
      </c>
    </row>
    <row r="69" spans="2:2" ht="14" x14ac:dyDescent="0.3">
      <c r="B69" s="197" t="s">
        <v>593</v>
      </c>
    </row>
    <row r="70" spans="2:2" ht="14" x14ac:dyDescent="0.3">
      <c r="B70" s="197" t="s">
        <v>527</v>
      </c>
    </row>
  </sheetData>
  <phoneticPr fontId="96"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5721D-8E7C-4548-B051-41B4D1358C00}">
  <sheetPr codeName="Planilha10">
    <tabColor rgb="FFFFC000"/>
  </sheetPr>
  <dimension ref="A1:Z37"/>
  <sheetViews>
    <sheetView showGridLines="0" zoomScale="70" zoomScaleNormal="70" workbookViewId="0">
      <pane xSplit="2" ySplit="5" topLeftCell="L6" activePane="bottomRight" state="frozen"/>
      <selection pane="topRight"/>
      <selection pane="bottomLeft"/>
      <selection pane="bottomRight" activeCell="Z18" sqref="Z18"/>
    </sheetView>
  </sheetViews>
  <sheetFormatPr defaultColWidth="9.1796875" defaultRowHeight="15.5" outlineLevelCol="1" x14ac:dyDescent="0.35"/>
  <cols>
    <col min="1" max="1" width="1.453125" style="71" customWidth="1"/>
    <col min="2" max="2" width="70.26953125" style="56" customWidth="1"/>
    <col min="3" max="4" width="10.7265625" style="38" customWidth="1" outlineLevel="1"/>
    <col min="5" max="5" width="10.7265625" style="39" customWidth="1" outlineLevel="1"/>
    <col min="6" max="8" width="10.7265625" style="38" customWidth="1" outlineLevel="1"/>
    <col min="9" max="9" width="10.7265625" style="39" customWidth="1" outlineLevel="1"/>
    <col min="10" max="12" width="10.7265625" style="38" customWidth="1"/>
    <col min="13" max="13" width="10.7265625" style="39" customWidth="1"/>
    <col min="14" max="16" width="10.7265625" style="38" customWidth="1"/>
    <col min="17" max="17" width="9.1796875" style="71"/>
    <col min="18" max="18" width="0.90625" style="71" customWidth="1"/>
    <col min="19" max="22" width="9.81640625" style="38" customWidth="1"/>
    <col min="23" max="23" width="0.6328125" style="71" customWidth="1"/>
    <col min="24" max="25" width="9.81640625" style="38" customWidth="1"/>
    <col min="26" max="16384" width="9.1796875" style="71"/>
  </cols>
  <sheetData>
    <row r="1" spans="1:25" ht="41.25" customHeight="1" x14ac:dyDescent="0.35">
      <c r="A1" s="166"/>
      <c r="C1" s="34"/>
      <c r="D1" s="34"/>
      <c r="E1" s="35"/>
      <c r="F1" s="34"/>
      <c r="G1" s="34"/>
      <c r="H1" s="34"/>
      <c r="I1" s="35"/>
      <c r="J1" s="34"/>
      <c r="K1" s="34"/>
      <c r="L1" s="34"/>
      <c r="M1" s="35"/>
      <c r="N1" s="34"/>
      <c r="O1" s="34"/>
      <c r="P1" s="34"/>
      <c r="S1" s="34"/>
      <c r="T1" s="34"/>
      <c r="U1" s="34"/>
      <c r="V1" s="34"/>
      <c r="X1" s="34"/>
      <c r="Y1" s="34"/>
    </row>
    <row r="2" spans="1:25" ht="18" x14ac:dyDescent="0.3">
      <c r="B2" s="57" t="s">
        <v>409</v>
      </c>
      <c r="C2" s="36"/>
      <c r="D2" s="36"/>
      <c r="E2" s="37"/>
      <c r="F2" s="36"/>
      <c r="G2" s="36"/>
      <c r="H2" s="36"/>
      <c r="I2" s="37"/>
      <c r="J2" s="36"/>
      <c r="K2" s="36"/>
      <c r="L2" s="36"/>
      <c r="M2" s="37"/>
      <c r="N2" s="36"/>
      <c r="O2" s="36"/>
      <c r="P2" s="36"/>
      <c r="Q2" s="36"/>
      <c r="S2" s="36"/>
      <c r="T2" s="36"/>
      <c r="U2" s="36"/>
      <c r="V2" s="36"/>
      <c r="X2" s="36"/>
      <c r="Y2" s="36"/>
    </row>
    <row r="3" spans="1:25" ht="7.5" customHeight="1" x14ac:dyDescent="0.35"/>
    <row r="4" spans="1:25" x14ac:dyDescent="0.3">
      <c r="B4" s="58"/>
      <c r="C4" s="41" t="s">
        <v>201</v>
      </c>
      <c r="D4" s="41" t="s">
        <v>202</v>
      </c>
      <c r="E4" s="42" t="s">
        <v>203</v>
      </c>
      <c r="F4" s="41" t="s">
        <v>204</v>
      </c>
      <c r="G4" s="41" t="s">
        <v>205</v>
      </c>
      <c r="H4" s="41" t="s">
        <v>206</v>
      </c>
      <c r="I4" s="42" t="s">
        <v>207</v>
      </c>
      <c r="J4" s="41" t="s">
        <v>208</v>
      </c>
      <c r="K4" s="41" t="s">
        <v>209</v>
      </c>
      <c r="L4" s="41" t="s">
        <v>210</v>
      </c>
      <c r="M4" s="42" t="s">
        <v>428</v>
      </c>
      <c r="N4" s="41" t="s">
        <v>435</v>
      </c>
      <c r="O4" s="41" t="s">
        <v>440</v>
      </c>
      <c r="P4" s="41" t="s">
        <v>470</v>
      </c>
      <c r="Q4" s="41" t="s">
        <v>480</v>
      </c>
      <c r="S4" s="41" t="s">
        <v>500</v>
      </c>
      <c r="T4" s="41" t="s">
        <v>524</v>
      </c>
      <c r="U4" s="41" t="s">
        <v>588</v>
      </c>
      <c r="V4" s="41" t="s">
        <v>604</v>
      </c>
      <c r="X4" s="41" t="s">
        <v>633</v>
      </c>
      <c r="Y4" s="41" t="s">
        <v>672</v>
      </c>
    </row>
    <row r="5" spans="1:25" s="328" customFormat="1" x14ac:dyDescent="0.35">
      <c r="C5" s="367">
        <v>42155</v>
      </c>
      <c r="D5" s="367">
        <v>42247</v>
      </c>
      <c r="E5" s="367">
        <v>42338</v>
      </c>
      <c r="F5" s="367">
        <v>42794</v>
      </c>
      <c r="G5" s="367">
        <v>42886</v>
      </c>
      <c r="H5" s="367">
        <v>42978</v>
      </c>
      <c r="I5" s="367">
        <v>43069</v>
      </c>
      <c r="J5" s="367">
        <v>42794</v>
      </c>
      <c r="K5" s="367">
        <v>42886</v>
      </c>
      <c r="L5" s="367">
        <v>42978</v>
      </c>
      <c r="M5" s="367">
        <v>43099</v>
      </c>
      <c r="N5" s="368">
        <v>43189</v>
      </c>
      <c r="O5" s="368">
        <v>43280</v>
      </c>
      <c r="P5" s="368">
        <v>43372</v>
      </c>
      <c r="Q5" s="367">
        <v>43434</v>
      </c>
      <c r="S5" s="368">
        <v>43554</v>
      </c>
      <c r="T5" s="368">
        <v>43645</v>
      </c>
      <c r="U5" s="368">
        <v>43737</v>
      </c>
      <c r="V5" s="367">
        <v>43799</v>
      </c>
      <c r="X5" s="368">
        <v>43920</v>
      </c>
      <c r="Y5" s="368">
        <v>44011</v>
      </c>
    </row>
    <row r="6" spans="1:25" ht="7.5" customHeight="1" x14ac:dyDescent="0.35">
      <c r="C6" s="34"/>
      <c r="D6" s="34"/>
      <c r="E6" s="35"/>
      <c r="F6" s="34"/>
      <c r="G6" s="34"/>
      <c r="H6" s="34"/>
      <c r="I6" s="35"/>
      <c r="J6" s="34"/>
      <c r="K6" s="34"/>
      <c r="L6" s="34"/>
      <c r="M6" s="35"/>
      <c r="N6" s="34"/>
      <c r="O6" s="34"/>
      <c r="P6" s="34"/>
      <c r="S6" s="34"/>
      <c r="T6" s="34"/>
      <c r="U6" s="34"/>
      <c r="V6" s="34"/>
      <c r="X6" s="34"/>
      <c r="Y6" s="34"/>
    </row>
    <row r="7" spans="1:25" s="128" customFormat="1" ht="18" x14ac:dyDescent="0.4">
      <c r="B7" s="60" t="s">
        <v>234</v>
      </c>
      <c r="C7" s="47"/>
      <c r="D7" s="47"/>
      <c r="E7" s="48"/>
      <c r="F7" s="47"/>
      <c r="G7" s="47"/>
      <c r="H7" s="47"/>
      <c r="I7" s="48"/>
      <c r="J7" s="47"/>
      <c r="K7" s="49"/>
      <c r="L7" s="47"/>
      <c r="M7" s="48"/>
      <c r="N7" s="47"/>
      <c r="O7" s="47"/>
      <c r="P7" s="47"/>
      <c r="S7" s="47"/>
      <c r="T7" s="47"/>
      <c r="U7" s="47"/>
      <c r="V7" s="47"/>
      <c r="X7" s="47"/>
      <c r="Y7" s="47"/>
    </row>
    <row r="8" spans="1:25" s="128" customFormat="1" x14ac:dyDescent="0.35">
      <c r="B8" s="201" t="s">
        <v>237</v>
      </c>
      <c r="C8" s="387">
        <v>-901</v>
      </c>
      <c r="D8" s="387">
        <v>-169</v>
      </c>
      <c r="E8" s="387">
        <v>-879</v>
      </c>
      <c r="F8" s="387">
        <v>-554</v>
      </c>
      <c r="G8" s="387">
        <v>60</v>
      </c>
      <c r="H8" s="387">
        <v>-703</v>
      </c>
      <c r="I8" s="387">
        <v>-87</v>
      </c>
      <c r="J8" s="387">
        <v>-887</v>
      </c>
      <c r="K8" s="387">
        <v>-498</v>
      </c>
      <c r="L8" s="387">
        <f>-539</f>
        <v>-539</v>
      </c>
      <c r="M8" s="387">
        <v>-758</v>
      </c>
      <c r="N8" s="457">
        <f>SUM('[21]5. Resultado por Segmento'!Z26:Z28,'[21]5. Resultado por Segmento'!Z31:Z33,'[21]5. Resultado por Segmento'!Z36:Z38)</f>
        <v>-1248</v>
      </c>
      <c r="O8" s="457">
        <f>SUM('[21]5. Resultado por Segmento'!AA26:AA28,'[21]5. Resultado por Segmento'!AA31:AA33,'[21]5. Resultado por Segmento'!AA36:AA38)</f>
        <v>-1200</v>
      </c>
      <c r="P8" s="457">
        <f>SUM('[21]5. Resultado por Segmento'!AB26:AB28,'[21]5. Resultado por Segmento'!AB31:AB33,'[21]5. Resultado por Segmento'!AB36:AB38)</f>
        <v>-368</v>
      </c>
      <c r="Q8" s="502">
        <f>SUM('[21]5. Resultado por Segmento'!AC26:AC28,'[21]5. Resultado por Segmento'!AC31:AC33,'[21]5. Resultado por Segmento'!AC36:AC38)</f>
        <v>-227</v>
      </c>
      <c r="R8" s="498"/>
      <c r="S8" s="457">
        <f>SUM('[21]5. Resultado por Segmento'!AE26:AE28,'[21]5. Resultado por Segmento'!AE31:AE33,'[21]5. Resultado por Segmento'!AE36:AE38)</f>
        <v>-848</v>
      </c>
      <c r="T8" s="457">
        <f>SUM('[21]5. Resultado por Segmento'!AF26:AF28,'[21]5. Resultado por Segmento'!AF31:AF33,'[21]5. Resultado por Segmento'!AF36:AF38)</f>
        <v>-808</v>
      </c>
      <c r="U8" s="457">
        <f>SUM('[21]5. Resultado por Segmento'!AG26:AG28,'[21]5. Resultado por Segmento'!AG31:AG33,'[21]5. Resultado por Segmento'!AG36:AG38)</f>
        <v>-912</v>
      </c>
      <c r="V8" s="457">
        <f>SUM('[21]5. Resultado por Segmento'!AH26:AH28,'[21]5. Resultado por Segmento'!AH31:AH33,'[21]5. Resultado por Segmento'!AH36:AH38)</f>
        <v>2327</v>
      </c>
      <c r="X8" s="457">
        <f>SUM('[22]5. Resultado por Segmento'!AJ26:AJ28,'[22]5. Resultado por Segmento'!AJ31:AJ33,'[22]5. Resultado por Segmento'!AJ36:AJ38)</f>
        <v>-341</v>
      </c>
      <c r="Y8" s="457">
        <f>SUM('[23]5. Resultado por Segmento'!AK26:AK28,'[23]5. Resultado por Segmento'!AK31:AK33,'[23]5. Resultado por Segmento'!AK36:AK38)</f>
        <v>-652</v>
      </c>
    </row>
    <row r="9" spans="1:25" s="180" customFormat="1" ht="17.5" x14ac:dyDescent="0.35">
      <c r="B9" s="198" t="s">
        <v>235</v>
      </c>
      <c r="C9" s="388">
        <v>35</v>
      </c>
      <c r="D9" s="388">
        <v>48</v>
      </c>
      <c r="E9" s="388">
        <v>5</v>
      </c>
      <c r="F9" s="388">
        <v>-124</v>
      </c>
      <c r="G9" s="388">
        <v>-327</v>
      </c>
      <c r="H9" s="388">
        <v>49</v>
      </c>
      <c r="I9" s="388">
        <v>7</v>
      </c>
      <c r="J9" s="388">
        <v>273</v>
      </c>
      <c r="K9" s="388">
        <v>74</v>
      </c>
      <c r="L9" s="388">
        <v>44</v>
      </c>
      <c r="M9" s="388">
        <v>39</v>
      </c>
      <c r="N9" s="388">
        <v>489</v>
      </c>
      <c r="O9" s="388">
        <v>273</v>
      </c>
      <c r="P9" s="388">
        <v>-380</v>
      </c>
      <c r="Q9" s="388">
        <v>482</v>
      </c>
      <c r="R9" s="499"/>
      <c r="S9" s="388">
        <v>-39</v>
      </c>
      <c r="T9" s="388">
        <v>-17</v>
      </c>
      <c r="U9" s="388">
        <v>80</v>
      </c>
      <c r="V9" s="388">
        <v>-55</v>
      </c>
      <c r="X9" s="388">
        <v>62</v>
      </c>
      <c r="Y9" s="388">
        <v>-33</v>
      </c>
    </row>
    <row r="10" spans="1:25" x14ac:dyDescent="0.35">
      <c r="B10" s="198" t="s">
        <v>14</v>
      </c>
      <c r="C10" s="388">
        <v>0</v>
      </c>
      <c r="D10" s="388">
        <v>0</v>
      </c>
      <c r="E10" s="388">
        <v>0</v>
      </c>
      <c r="F10" s="388">
        <v>0</v>
      </c>
      <c r="G10" s="388">
        <v>0</v>
      </c>
      <c r="H10" s="388">
        <v>111</v>
      </c>
      <c r="I10" s="388">
        <v>79</v>
      </c>
      <c r="J10" s="388">
        <v>50</v>
      </c>
      <c r="K10" s="388">
        <v>50</v>
      </c>
      <c r="L10" s="388">
        <v>58</v>
      </c>
      <c r="M10" s="388">
        <v>81</v>
      </c>
      <c r="N10" s="388">
        <v>206</v>
      </c>
      <c r="O10" s="388">
        <v>321</v>
      </c>
      <c r="P10" s="388">
        <v>311</v>
      </c>
      <c r="Q10" s="388">
        <v>212</v>
      </c>
      <c r="R10" s="500"/>
      <c r="S10" s="388">
        <v>269</v>
      </c>
      <c r="T10" s="388">
        <v>390</v>
      </c>
      <c r="U10" s="388">
        <v>301</v>
      </c>
      <c r="V10" s="388">
        <v>286</v>
      </c>
      <c r="X10" s="388">
        <v>255</v>
      </c>
      <c r="Y10" s="388">
        <v>212</v>
      </c>
    </row>
    <row r="11" spans="1:25" x14ac:dyDescent="0.35">
      <c r="B11" s="198" t="s">
        <v>632</v>
      </c>
      <c r="C11" s="388">
        <v>0</v>
      </c>
      <c r="D11" s="388">
        <v>0</v>
      </c>
      <c r="E11" s="388">
        <v>0</v>
      </c>
      <c r="F11" s="388">
        <v>0</v>
      </c>
      <c r="G11" s="388">
        <v>0</v>
      </c>
      <c r="H11" s="388">
        <v>0</v>
      </c>
      <c r="I11" s="388">
        <v>0</v>
      </c>
      <c r="J11" s="388">
        <v>0</v>
      </c>
      <c r="K11" s="388">
        <v>0</v>
      </c>
      <c r="L11" s="388">
        <v>0</v>
      </c>
      <c r="M11" s="388">
        <v>0</v>
      </c>
      <c r="N11" s="388">
        <v>0</v>
      </c>
      <c r="O11" s="388">
        <v>0</v>
      </c>
      <c r="P11" s="388">
        <v>0</v>
      </c>
      <c r="Q11" s="388">
        <v>0</v>
      </c>
      <c r="R11" s="388">
        <v>0</v>
      </c>
      <c r="S11" s="388">
        <v>0</v>
      </c>
      <c r="T11" s="388">
        <v>0</v>
      </c>
      <c r="U11" s="388">
        <v>0</v>
      </c>
      <c r="V11" s="388">
        <v>-2591</v>
      </c>
      <c r="X11" s="388">
        <v>-535</v>
      </c>
      <c r="Y11" s="388">
        <v>-65</v>
      </c>
    </row>
    <row r="12" spans="1:25" x14ac:dyDescent="0.35">
      <c r="B12" s="198" t="s">
        <v>486</v>
      </c>
      <c r="C12" s="388">
        <v>0</v>
      </c>
      <c r="D12" s="388">
        <v>0</v>
      </c>
      <c r="E12" s="388">
        <v>0</v>
      </c>
      <c r="F12" s="388">
        <v>0</v>
      </c>
      <c r="G12" s="388">
        <v>-376</v>
      </c>
      <c r="H12" s="388">
        <v>-16</v>
      </c>
      <c r="I12" s="388">
        <v>-647</v>
      </c>
      <c r="J12" s="388">
        <v>0</v>
      </c>
      <c r="K12" s="388">
        <v>-79</v>
      </c>
      <c r="L12" s="388">
        <v>0</v>
      </c>
      <c r="M12" s="388">
        <v>0</v>
      </c>
      <c r="N12" s="388">
        <v>0</v>
      </c>
      <c r="O12" s="388">
        <v>0</v>
      </c>
      <c r="P12" s="388">
        <v>0</v>
      </c>
      <c r="Q12" s="388">
        <v>0</v>
      </c>
      <c r="R12" s="500"/>
      <c r="S12" s="388">
        <v>0</v>
      </c>
      <c r="T12" s="388">
        <v>0</v>
      </c>
      <c r="U12" s="388">
        <v>0</v>
      </c>
      <c r="V12" s="388">
        <v>0</v>
      </c>
      <c r="X12" s="388">
        <v>0</v>
      </c>
      <c r="Y12" s="388">
        <v>0</v>
      </c>
    </row>
    <row r="13" spans="1:25" x14ac:dyDescent="0.35">
      <c r="B13" s="198" t="s">
        <v>631</v>
      </c>
      <c r="C13" s="388">
        <v>0</v>
      </c>
      <c r="D13" s="388">
        <v>0</v>
      </c>
      <c r="E13" s="388">
        <v>0</v>
      </c>
      <c r="F13" s="388">
        <v>0</v>
      </c>
      <c r="G13" s="388">
        <v>0</v>
      </c>
      <c r="H13" s="388">
        <v>0</v>
      </c>
      <c r="I13" s="388">
        <v>0</v>
      </c>
      <c r="J13" s="388">
        <v>0</v>
      </c>
      <c r="K13" s="388">
        <v>0</v>
      </c>
      <c r="L13" s="388">
        <v>0</v>
      </c>
      <c r="M13" s="388">
        <v>0</v>
      </c>
      <c r="N13" s="388">
        <v>-7</v>
      </c>
      <c r="O13" s="388">
        <v>-25</v>
      </c>
      <c r="P13" s="388">
        <v>-47</v>
      </c>
      <c r="Q13" s="388">
        <v>-683</v>
      </c>
      <c r="R13" s="500"/>
      <c r="S13" s="388">
        <v>-33</v>
      </c>
      <c r="T13" s="388">
        <v>-166</v>
      </c>
      <c r="U13" s="388">
        <v>-102</v>
      </c>
      <c r="V13" s="388">
        <v>-748</v>
      </c>
      <c r="X13" s="388">
        <v>0</v>
      </c>
      <c r="Y13" s="388">
        <v>0</v>
      </c>
    </row>
    <row r="14" spans="1:25" x14ac:dyDescent="0.35">
      <c r="B14" s="199" t="s">
        <v>487</v>
      </c>
      <c r="C14" s="388">
        <v>0</v>
      </c>
      <c r="D14" s="388">
        <v>0</v>
      </c>
      <c r="E14" s="388">
        <v>0</v>
      </c>
      <c r="F14" s="388">
        <v>0</v>
      </c>
      <c r="G14" s="388">
        <v>0</v>
      </c>
      <c r="H14" s="388">
        <v>0</v>
      </c>
      <c r="I14" s="388">
        <v>0</v>
      </c>
      <c r="J14" s="388">
        <v>0</v>
      </c>
      <c r="K14" s="388">
        <v>0</v>
      </c>
      <c r="L14" s="388">
        <v>0</v>
      </c>
      <c r="M14" s="388">
        <v>0</v>
      </c>
      <c r="N14" s="388">
        <v>0</v>
      </c>
      <c r="O14" s="388">
        <v>-26</v>
      </c>
      <c r="P14" s="388">
        <v>-136</v>
      </c>
      <c r="Q14" s="388">
        <v>-326</v>
      </c>
      <c r="R14" s="500"/>
      <c r="S14" s="388">
        <v>-42</v>
      </c>
      <c r="T14" s="388">
        <v>-58</v>
      </c>
      <c r="U14" s="388">
        <v>-75</v>
      </c>
      <c r="V14" s="388">
        <v>-87</v>
      </c>
      <c r="X14" s="388">
        <v>-56</v>
      </c>
      <c r="Y14" s="388">
        <v>-107</v>
      </c>
    </row>
    <row r="15" spans="1:25" s="56" customFormat="1" x14ac:dyDescent="0.35">
      <c r="B15" s="193" t="s">
        <v>478</v>
      </c>
      <c r="C15" s="389">
        <f t="shared" ref="C15:Q15" si="0">SUM(C7:C14)</f>
        <v>-866</v>
      </c>
      <c r="D15" s="389">
        <f t="shared" si="0"/>
        <v>-121</v>
      </c>
      <c r="E15" s="389">
        <f t="shared" si="0"/>
        <v>-874</v>
      </c>
      <c r="F15" s="389">
        <f t="shared" si="0"/>
        <v>-678</v>
      </c>
      <c r="G15" s="389">
        <f t="shared" si="0"/>
        <v>-643</v>
      </c>
      <c r="H15" s="389">
        <f t="shared" si="0"/>
        <v>-559</v>
      </c>
      <c r="I15" s="389">
        <f t="shared" si="0"/>
        <v>-648</v>
      </c>
      <c r="J15" s="389">
        <f t="shared" si="0"/>
        <v>-564</v>
      </c>
      <c r="K15" s="389">
        <f t="shared" si="0"/>
        <v>-453</v>
      </c>
      <c r="L15" s="389">
        <f t="shared" si="0"/>
        <v>-437</v>
      </c>
      <c r="M15" s="389">
        <f t="shared" si="0"/>
        <v>-638</v>
      </c>
      <c r="N15" s="458">
        <f t="shared" si="0"/>
        <v>-560</v>
      </c>
      <c r="O15" s="458">
        <f t="shared" si="0"/>
        <v>-657</v>
      </c>
      <c r="P15" s="458">
        <f t="shared" si="0"/>
        <v>-620</v>
      </c>
      <c r="Q15" s="458">
        <f t="shared" si="0"/>
        <v>-542</v>
      </c>
      <c r="R15" s="444"/>
      <c r="S15" s="458">
        <f>SUM(S7:S14)</f>
        <v>-693</v>
      </c>
      <c r="T15" s="458">
        <f>SUM(T7:T14)</f>
        <v>-659</v>
      </c>
      <c r="U15" s="458">
        <f>SUM(U7:U14)</f>
        <v>-708</v>
      </c>
      <c r="V15" s="458">
        <f>SUM(V7:V14)</f>
        <v>-868</v>
      </c>
      <c r="X15" s="458">
        <f>SUM(X7:X14)</f>
        <v>-615</v>
      </c>
      <c r="Y15" s="458">
        <f>SUM(Y7:Y14)</f>
        <v>-645</v>
      </c>
    </row>
    <row r="16" spans="1:25" ht="13.5" customHeight="1" x14ac:dyDescent="0.35">
      <c r="B16" s="200"/>
      <c r="C16" s="379"/>
      <c r="D16" s="379"/>
      <c r="E16" s="380"/>
      <c r="F16" s="379"/>
      <c r="G16" s="379"/>
      <c r="H16" s="379"/>
      <c r="I16" s="380"/>
      <c r="J16" s="379"/>
      <c r="K16" s="385"/>
      <c r="L16" s="379"/>
      <c r="M16" s="380"/>
      <c r="N16" s="379"/>
      <c r="O16" s="379"/>
      <c r="P16" s="459"/>
      <c r="Q16" s="459"/>
      <c r="R16" s="500"/>
      <c r="S16" s="459"/>
      <c r="T16" s="459"/>
      <c r="U16" s="459"/>
      <c r="V16" s="459"/>
      <c r="X16" s="459"/>
      <c r="Y16" s="459"/>
    </row>
    <row r="17" spans="1:26" ht="18" x14ac:dyDescent="0.4">
      <c r="B17" s="60" t="s">
        <v>236</v>
      </c>
      <c r="C17" s="54"/>
      <c r="D17" s="54"/>
      <c r="E17" s="55"/>
      <c r="F17" s="54"/>
      <c r="G17" s="54"/>
      <c r="H17" s="54"/>
      <c r="I17" s="55"/>
      <c r="J17" s="54"/>
      <c r="K17" s="49"/>
      <c r="L17" s="54"/>
      <c r="M17" s="55"/>
      <c r="N17" s="54"/>
      <c r="O17" s="54"/>
      <c r="P17" s="460"/>
      <c r="Q17" s="460"/>
      <c r="R17" s="500"/>
      <c r="S17" s="460"/>
      <c r="T17" s="460"/>
      <c r="U17" s="460"/>
      <c r="V17" s="460"/>
      <c r="X17" s="460"/>
      <c r="Y17" s="460"/>
    </row>
    <row r="18" spans="1:26" x14ac:dyDescent="0.35">
      <c r="B18" s="201" t="s">
        <v>237</v>
      </c>
      <c r="C18" s="387">
        <v>-345</v>
      </c>
      <c r="D18" s="387">
        <v>-255</v>
      </c>
      <c r="E18" s="387">
        <v>-325</v>
      </c>
      <c r="F18" s="387">
        <v>-177</v>
      </c>
      <c r="G18" s="387">
        <v>-18</v>
      </c>
      <c r="H18" s="387">
        <v>-324</v>
      </c>
      <c r="I18" s="387">
        <v>-299</v>
      </c>
      <c r="J18" s="387">
        <v>-397</v>
      </c>
      <c r="K18" s="387">
        <v>-290</v>
      </c>
      <c r="L18" s="387">
        <v>-280</v>
      </c>
      <c r="M18" s="387">
        <v>-337</v>
      </c>
      <c r="N18" s="387">
        <f>'[21]5. Resultado por Segmento'!Z26+'[21]5. Resultado por Segmento'!Z31+'[21]5. Resultado por Segmento'!Z36</f>
        <v>-620</v>
      </c>
      <c r="O18" s="387">
        <f>'[21]5. Resultado por Segmento'!AA26+'[21]5. Resultado por Segmento'!AA31+'[21]5. Resultado por Segmento'!AA36</f>
        <v>-617</v>
      </c>
      <c r="P18" s="457">
        <f>'[21]5. Resultado por Segmento'!AB26+'[21]5. Resultado por Segmento'!AB31+'[21]5. Resultado por Segmento'!AB36</f>
        <v>-118</v>
      </c>
      <c r="Q18" s="457">
        <f>'[21]5. Resultado por Segmento'!AC26+'[21]5. Resultado por Segmento'!AC31+'[21]5. Resultado por Segmento'!AC36</f>
        <v>-413</v>
      </c>
      <c r="R18" s="500"/>
      <c r="S18" s="457">
        <f>'[21]5. Resultado por Segmento'!AE26+'[21]5. Resultado por Segmento'!AE31+'[21]5. Resultado por Segmento'!AE36</f>
        <v>-424</v>
      </c>
      <c r="T18" s="457">
        <f>'[21]5. Resultado por Segmento'!AF26+'[21]5. Resultado por Segmento'!AF31+'[21]5. Resultado por Segmento'!AF36</f>
        <v>-383</v>
      </c>
      <c r="U18" s="457">
        <f>'[21]5. Resultado por Segmento'!AG26+'[21]5. Resultado por Segmento'!AG31+'[21]5. Resultado por Segmento'!AG36</f>
        <v>-495</v>
      </c>
      <c r="V18" s="457">
        <f>'[21]5. Resultado por Segmento'!AH26+'[21]5. Resultado por Segmento'!AH31+'[21]5. Resultado por Segmento'!AH36</f>
        <v>1300</v>
      </c>
      <c r="X18" s="457">
        <f>'[22]5. Resultado por Segmento'!AJ26+'[22]5. Resultado por Segmento'!AJ31+'[22]5. Resultado por Segmento'!AJ36</f>
        <v>-464</v>
      </c>
      <c r="Y18" s="457">
        <f>'[23]5. Resultado por Segmento'!AK26+'[23]5. Resultado por Segmento'!AK31+'[23]5. Resultado por Segmento'!AK36</f>
        <v>-300</v>
      </c>
    </row>
    <row r="19" spans="1:26" x14ac:dyDescent="0.35">
      <c r="B19" s="198" t="s">
        <v>238</v>
      </c>
      <c r="C19" s="388">
        <v>23</v>
      </c>
      <c r="D19" s="388">
        <v>27</v>
      </c>
      <c r="E19" s="388">
        <v>3</v>
      </c>
      <c r="F19" s="388">
        <v>-75</v>
      </c>
      <c r="G19" s="388">
        <v>-221</v>
      </c>
      <c r="H19" s="388">
        <v>29</v>
      </c>
      <c r="I19" s="388">
        <v>14</v>
      </c>
      <c r="J19" s="388">
        <v>172</v>
      </c>
      <c r="K19" s="388">
        <v>51</v>
      </c>
      <c r="L19" s="388">
        <v>26</v>
      </c>
      <c r="M19" s="388">
        <v>32</v>
      </c>
      <c r="N19" s="388">
        <v>255</v>
      </c>
      <c r="O19" s="388">
        <v>164</v>
      </c>
      <c r="P19" s="388">
        <v>-238</v>
      </c>
      <c r="Q19" s="388">
        <v>239</v>
      </c>
      <c r="R19" s="500"/>
      <c r="S19" s="388">
        <v>-7</v>
      </c>
      <c r="T19" s="388">
        <v>-10</v>
      </c>
      <c r="U19" s="388">
        <v>47</v>
      </c>
      <c r="V19" s="388">
        <v>-22</v>
      </c>
      <c r="X19" s="388">
        <v>45</v>
      </c>
      <c r="Y19" s="388">
        <v>-19</v>
      </c>
    </row>
    <row r="20" spans="1:26" x14ac:dyDescent="0.35">
      <c r="B20" s="198" t="s">
        <v>14</v>
      </c>
      <c r="C20" s="388">
        <v>0</v>
      </c>
      <c r="D20" s="388">
        <v>0</v>
      </c>
      <c r="E20" s="388">
        <v>0</v>
      </c>
      <c r="F20" s="388">
        <v>0</v>
      </c>
      <c r="G20" s="388">
        <v>0</v>
      </c>
      <c r="H20" s="388">
        <v>78</v>
      </c>
      <c r="I20" s="388">
        <v>56</v>
      </c>
      <c r="J20" s="388">
        <v>36</v>
      </c>
      <c r="K20" s="388">
        <v>36</v>
      </c>
      <c r="L20" s="388">
        <v>41</v>
      </c>
      <c r="M20" s="388">
        <v>57</v>
      </c>
      <c r="N20" s="388">
        <v>149</v>
      </c>
      <c r="O20" s="388">
        <v>230</v>
      </c>
      <c r="P20" s="388">
        <v>222</v>
      </c>
      <c r="Q20" s="388">
        <v>152</v>
      </c>
      <c r="R20" s="500"/>
      <c r="S20" s="388">
        <v>200</v>
      </c>
      <c r="T20" s="388">
        <v>285</v>
      </c>
      <c r="U20" s="388">
        <v>219</v>
      </c>
      <c r="V20" s="388">
        <v>208</v>
      </c>
      <c r="X20" s="388">
        <v>190</v>
      </c>
      <c r="Y20" s="388">
        <v>155</v>
      </c>
    </row>
    <row r="21" spans="1:26" x14ac:dyDescent="0.35">
      <c r="B21" s="198" t="s">
        <v>632</v>
      </c>
      <c r="C21" s="388">
        <v>0</v>
      </c>
      <c r="D21" s="388">
        <v>0</v>
      </c>
      <c r="E21" s="388">
        <v>0</v>
      </c>
      <c r="F21" s="388">
        <v>0</v>
      </c>
      <c r="G21" s="388">
        <v>0</v>
      </c>
      <c r="H21" s="388">
        <v>0</v>
      </c>
      <c r="I21" s="388">
        <v>0</v>
      </c>
      <c r="J21" s="388">
        <v>0</v>
      </c>
      <c r="K21" s="388">
        <v>0</v>
      </c>
      <c r="L21" s="388">
        <v>0</v>
      </c>
      <c r="M21" s="388">
        <v>0</v>
      </c>
      <c r="N21" s="388">
        <v>0</v>
      </c>
      <c r="O21" s="388">
        <v>0</v>
      </c>
      <c r="P21" s="388">
        <v>0</v>
      </c>
      <c r="Q21" s="388">
        <v>0</v>
      </c>
      <c r="R21" s="388">
        <v>0</v>
      </c>
      <c r="S21" s="388">
        <v>0</v>
      </c>
      <c r="T21" s="388">
        <v>0</v>
      </c>
      <c r="U21" s="388">
        <v>0</v>
      </c>
      <c r="V21" s="388">
        <v>-1303</v>
      </c>
      <c r="X21" s="388">
        <v>0</v>
      </c>
      <c r="Y21" s="388">
        <v>0</v>
      </c>
    </row>
    <row r="22" spans="1:26" x14ac:dyDescent="0.35">
      <c r="B22" s="198" t="s">
        <v>631</v>
      </c>
      <c r="C22" s="388">
        <v>0</v>
      </c>
      <c r="D22" s="388">
        <v>0</v>
      </c>
      <c r="E22" s="388">
        <v>0</v>
      </c>
      <c r="F22" s="388">
        <v>0</v>
      </c>
      <c r="G22" s="388">
        <v>0</v>
      </c>
      <c r="H22" s="388">
        <v>0</v>
      </c>
      <c r="I22" s="388">
        <v>0</v>
      </c>
      <c r="J22" s="388">
        <v>0</v>
      </c>
      <c r="K22" s="388">
        <v>0</v>
      </c>
      <c r="L22" s="388">
        <v>0</v>
      </c>
      <c r="M22" s="388">
        <v>0</v>
      </c>
      <c r="N22" s="388">
        <v>0</v>
      </c>
      <c r="O22" s="388">
        <v>0</v>
      </c>
      <c r="P22" s="388">
        <v>0</v>
      </c>
      <c r="Q22" s="388">
        <v>0</v>
      </c>
      <c r="R22" s="388">
        <v>0</v>
      </c>
      <c r="S22" s="388">
        <v>0</v>
      </c>
      <c r="T22" s="388">
        <v>-141</v>
      </c>
      <c r="U22" s="388">
        <v>-12</v>
      </c>
      <c r="V22" s="388">
        <v>-435</v>
      </c>
      <c r="X22" s="388">
        <v>0</v>
      </c>
      <c r="Y22" s="388">
        <v>-32</v>
      </c>
    </row>
    <row r="23" spans="1:26" x14ac:dyDescent="0.35">
      <c r="B23" s="199" t="s">
        <v>487</v>
      </c>
      <c r="C23" s="388">
        <v>0</v>
      </c>
      <c r="D23" s="388">
        <v>0</v>
      </c>
      <c r="E23" s="388">
        <v>0</v>
      </c>
      <c r="F23" s="388">
        <v>0</v>
      </c>
      <c r="G23" s="388">
        <v>0</v>
      </c>
      <c r="H23" s="388">
        <v>0</v>
      </c>
      <c r="I23" s="388">
        <v>0</v>
      </c>
      <c r="J23" s="388">
        <v>0</v>
      </c>
      <c r="K23" s="388">
        <v>0</v>
      </c>
      <c r="L23" s="388">
        <v>0</v>
      </c>
      <c r="M23" s="388">
        <v>0</v>
      </c>
      <c r="N23" s="388">
        <v>-10</v>
      </c>
      <c r="O23" s="388">
        <v>-26</v>
      </c>
      <c r="P23" s="388">
        <v>-136</v>
      </c>
      <c r="Q23" s="388">
        <v>-265</v>
      </c>
      <c r="R23" s="500"/>
      <c r="S23" s="388">
        <v>-46</v>
      </c>
      <c r="T23" s="388">
        <v>-59</v>
      </c>
      <c r="U23" s="388">
        <v>-59</v>
      </c>
      <c r="V23" s="388">
        <v>-54</v>
      </c>
      <c r="X23" s="388">
        <v>-52</v>
      </c>
      <c r="Y23" s="388">
        <v>-86</v>
      </c>
    </row>
    <row r="24" spans="1:26" s="56" customFormat="1" x14ac:dyDescent="0.35">
      <c r="B24" s="193" t="s">
        <v>239</v>
      </c>
      <c r="C24" s="389">
        <f t="shared" ref="C24:Q24" si="1">SUM(C18:C23)</f>
        <v>-322</v>
      </c>
      <c r="D24" s="389">
        <f t="shared" si="1"/>
        <v>-228</v>
      </c>
      <c r="E24" s="389">
        <f t="shared" si="1"/>
        <v>-322</v>
      </c>
      <c r="F24" s="389">
        <f t="shared" si="1"/>
        <v>-252</v>
      </c>
      <c r="G24" s="389">
        <f t="shared" si="1"/>
        <v>-239</v>
      </c>
      <c r="H24" s="389">
        <f t="shared" si="1"/>
        <v>-217</v>
      </c>
      <c r="I24" s="389">
        <f t="shared" si="1"/>
        <v>-229</v>
      </c>
      <c r="J24" s="389">
        <f t="shared" si="1"/>
        <v>-189</v>
      </c>
      <c r="K24" s="389">
        <f t="shared" si="1"/>
        <v>-203</v>
      </c>
      <c r="L24" s="389">
        <f t="shared" si="1"/>
        <v>-213</v>
      </c>
      <c r="M24" s="389">
        <f t="shared" si="1"/>
        <v>-248</v>
      </c>
      <c r="N24" s="458">
        <f t="shared" si="1"/>
        <v>-226</v>
      </c>
      <c r="O24" s="458">
        <f t="shared" si="1"/>
        <v>-249</v>
      </c>
      <c r="P24" s="458">
        <f t="shared" si="1"/>
        <v>-270</v>
      </c>
      <c r="Q24" s="458">
        <f t="shared" si="1"/>
        <v>-287</v>
      </c>
      <c r="R24" s="444"/>
      <c r="S24" s="458">
        <f>SUM(S18:S23)</f>
        <v>-277</v>
      </c>
      <c r="T24" s="458">
        <f>SUM(T18:T23)</f>
        <v>-308</v>
      </c>
      <c r="U24" s="458">
        <f>SUM(U18:U23)</f>
        <v>-300</v>
      </c>
      <c r="V24" s="458">
        <f>SUM(V18:V23)</f>
        <v>-306</v>
      </c>
      <c r="X24" s="458">
        <f>SUM(X18:X23)</f>
        <v>-281</v>
      </c>
      <c r="Y24" s="458">
        <f>SUM(Y18:Y23)</f>
        <v>-282</v>
      </c>
    </row>
    <row r="25" spans="1:26" x14ac:dyDescent="0.35">
      <c r="B25" s="202"/>
      <c r="C25" s="379"/>
      <c r="D25" s="379"/>
      <c r="E25" s="380"/>
      <c r="F25" s="379"/>
      <c r="G25" s="379"/>
      <c r="H25" s="379"/>
      <c r="I25" s="380"/>
      <c r="J25" s="379"/>
      <c r="K25" s="385"/>
      <c r="L25" s="379"/>
      <c r="M25" s="380"/>
      <c r="N25" s="379"/>
      <c r="O25" s="379"/>
      <c r="P25" s="459"/>
      <c r="Q25" s="459"/>
      <c r="R25" s="500"/>
      <c r="S25" s="459"/>
      <c r="T25" s="459"/>
      <c r="U25" s="459"/>
      <c r="V25" s="459"/>
      <c r="X25" s="459"/>
      <c r="Y25" s="459"/>
    </row>
    <row r="26" spans="1:26" ht="18" x14ac:dyDescent="0.4">
      <c r="B26" s="60" t="s">
        <v>240</v>
      </c>
      <c r="C26" s="54"/>
      <c r="D26" s="54"/>
      <c r="E26" s="55"/>
      <c r="F26" s="54"/>
      <c r="G26" s="54"/>
      <c r="H26" s="54"/>
      <c r="I26" s="55"/>
      <c r="J26" s="54"/>
      <c r="K26" s="49"/>
      <c r="L26" s="54"/>
      <c r="M26" s="55"/>
      <c r="N26" s="54"/>
      <c r="O26" s="54"/>
      <c r="P26" s="460"/>
      <c r="Q26" s="460"/>
      <c r="R26" s="500"/>
      <c r="S26" s="460"/>
      <c r="T26" s="460"/>
      <c r="U26" s="460"/>
      <c r="V26" s="460"/>
      <c r="X26" s="460"/>
      <c r="Y26" s="460"/>
    </row>
    <row r="27" spans="1:26" s="22" customFormat="1" x14ac:dyDescent="0.35">
      <c r="A27" s="71"/>
      <c r="B27" s="201" t="s">
        <v>237</v>
      </c>
      <c r="C27" s="387">
        <v>-265</v>
      </c>
      <c r="D27" s="387">
        <v>-192</v>
      </c>
      <c r="E27" s="387">
        <v>-265</v>
      </c>
      <c r="F27" s="387">
        <v>-155</v>
      </c>
      <c r="G27" s="387">
        <v>-112</v>
      </c>
      <c r="H27" s="387">
        <v>-270</v>
      </c>
      <c r="I27" s="387">
        <v>-186</v>
      </c>
      <c r="J27" s="387">
        <v>-453</v>
      </c>
      <c r="K27" s="387">
        <v>-256</v>
      </c>
      <c r="L27" s="387">
        <v>-185</v>
      </c>
      <c r="M27" s="387">
        <v>-303</v>
      </c>
      <c r="N27" s="387">
        <f>'[21]5. Resultado por Segmento'!Z27+'[21]5. Resultado por Segmento'!Z32+'[21]5. Resultado por Segmento'!Z37</f>
        <v>-561</v>
      </c>
      <c r="O27" s="387">
        <f>'[21]5. Resultado por Segmento'!AA27+'[21]5. Resultado por Segmento'!AA32+'[21]5. Resultado por Segmento'!AA37</f>
        <v>-523</v>
      </c>
      <c r="P27" s="457">
        <f>'[21]5. Resultado por Segmento'!AB27+'[21]5. Resultado por Segmento'!AB32+'[21]5. Resultado por Segmento'!AB37</f>
        <v>-309</v>
      </c>
      <c r="Q27" s="457">
        <f>'[21]5. Resultado por Segmento'!AC27+'[21]5. Resultado por Segmento'!AC32+'[21]5. Resultado por Segmento'!AC37</f>
        <v>-649</v>
      </c>
      <c r="R27" s="457">
        <f>'[21]5. Resultado por Segmento'!AD27+'[21]5. Resultado por Segmento'!AD32+'[21]5. Resultado por Segmento'!AD37</f>
        <v>0</v>
      </c>
      <c r="S27" s="457">
        <f>'[21]5. Resultado por Segmento'!AE27+'[21]5. Resultado por Segmento'!AE32+'[21]5. Resultado por Segmento'!AE37</f>
        <v>-339</v>
      </c>
      <c r="T27" s="457">
        <f>'[21]5. Resultado por Segmento'!AF27+'[21]5. Resultado por Segmento'!AF32+'[21]5. Resultado por Segmento'!AF37</f>
        <v>-349</v>
      </c>
      <c r="U27" s="457">
        <f>'[21]5. Resultado por Segmento'!AG27+'[21]5. Resultado por Segmento'!AG32+'[21]5. Resultado por Segmento'!AG37</f>
        <v>-367</v>
      </c>
      <c r="V27" s="457">
        <f>'[21]5. Resultado por Segmento'!AH27+'[21]5. Resultado por Segmento'!AH32+'[21]5. Resultado por Segmento'!AH37</f>
        <v>1140</v>
      </c>
      <c r="X27" s="457">
        <f>'[22]5. Resultado por Segmento'!AJ27+'[22]5. Resultado por Segmento'!AJ32+'[22]5. Resultado por Segmento'!AJ37</f>
        <v>-337</v>
      </c>
      <c r="Y27" s="457">
        <f>'[23]5. Resultado por Segmento'!AK27+'[23]5. Resultado por Segmento'!AK32+'[23]5. Resultado por Segmento'!AK37</f>
        <v>-327</v>
      </c>
    </row>
    <row r="28" spans="1:26" x14ac:dyDescent="0.35">
      <c r="B28" s="198" t="s">
        <v>238</v>
      </c>
      <c r="C28" s="388">
        <v>-12</v>
      </c>
      <c r="D28" s="388">
        <v>-21</v>
      </c>
      <c r="E28" s="388">
        <v>2</v>
      </c>
      <c r="F28" s="388">
        <v>-49</v>
      </c>
      <c r="G28" s="388">
        <v>-106</v>
      </c>
      <c r="H28" s="388">
        <v>20</v>
      </c>
      <c r="I28" s="388">
        <v>-7</v>
      </c>
      <c r="J28" s="388">
        <v>101</v>
      </c>
      <c r="K28" s="388">
        <v>23</v>
      </c>
      <c r="L28" s="388">
        <v>18</v>
      </c>
      <c r="M28" s="388">
        <v>7</v>
      </c>
      <c r="N28" s="388">
        <v>237</v>
      </c>
      <c r="O28" s="388">
        <v>109</v>
      </c>
      <c r="P28" s="388">
        <v>-142</v>
      </c>
      <c r="Q28" s="388">
        <v>243</v>
      </c>
      <c r="R28" s="500"/>
      <c r="S28" s="388">
        <v>-32</v>
      </c>
      <c r="T28" s="388">
        <v>-7</v>
      </c>
      <c r="U28" s="388">
        <v>33</v>
      </c>
      <c r="V28" s="388">
        <v>-33</v>
      </c>
      <c r="X28" s="388">
        <v>17</v>
      </c>
      <c r="Y28" s="388">
        <v>-14</v>
      </c>
    </row>
    <row r="29" spans="1:26" x14ac:dyDescent="0.35">
      <c r="B29" s="198" t="s">
        <v>14</v>
      </c>
      <c r="C29" s="388"/>
      <c r="D29" s="388">
        <v>0</v>
      </c>
      <c r="E29" s="388">
        <v>0</v>
      </c>
      <c r="F29" s="388"/>
      <c r="G29" s="388"/>
      <c r="H29" s="388">
        <v>33</v>
      </c>
      <c r="I29" s="388">
        <v>23</v>
      </c>
      <c r="J29" s="388">
        <v>14</v>
      </c>
      <c r="K29" s="388">
        <v>14</v>
      </c>
      <c r="L29" s="388">
        <v>17</v>
      </c>
      <c r="M29" s="388">
        <v>24</v>
      </c>
      <c r="N29" s="388">
        <v>57</v>
      </c>
      <c r="O29" s="388">
        <v>91</v>
      </c>
      <c r="P29" s="388">
        <v>89</v>
      </c>
      <c r="Q29" s="388">
        <v>60</v>
      </c>
      <c r="R29" s="500"/>
      <c r="S29" s="388">
        <v>69</v>
      </c>
      <c r="T29" s="388">
        <v>105</v>
      </c>
      <c r="U29" s="388">
        <v>82</v>
      </c>
      <c r="V29" s="388">
        <v>78</v>
      </c>
      <c r="X29" s="388">
        <v>65</v>
      </c>
      <c r="Y29" s="388">
        <v>57</v>
      </c>
    </row>
    <row r="30" spans="1:26" x14ac:dyDescent="0.35">
      <c r="B30" s="198" t="s">
        <v>632</v>
      </c>
      <c r="C30" s="388">
        <v>0</v>
      </c>
      <c r="D30" s="388">
        <v>0</v>
      </c>
      <c r="E30" s="388">
        <v>0</v>
      </c>
      <c r="F30" s="388">
        <v>0</v>
      </c>
      <c r="G30" s="388">
        <v>0</v>
      </c>
      <c r="H30" s="388">
        <v>0</v>
      </c>
      <c r="I30" s="388">
        <v>0</v>
      </c>
      <c r="J30" s="388">
        <v>0</v>
      </c>
      <c r="K30" s="388">
        <v>0</v>
      </c>
      <c r="L30" s="388">
        <v>0</v>
      </c>
      <c r="M30" s="388">
        <v>0</v>
      </c>
      <c r="N30" s="388">
        <v>0</v>
      </c>
      <c r="O30" s="388">
        <v>0</v>
      </c>
      <c r="P30" s="388">
        <v>0</v>
      </c>
      <c r="Q30" s="388">
        <v>0</v>
      </c>
      <c r="R30" s="388">
        <v>0</v>
      </c>
      <c r="S30" s="388">
        <v>0</v>
      </c>
      <c r="T30" s="388">
        <v>0</v>
      </c>
      <c r="U30" s="388">
        <v>0</v>
      </c>
      <c r="V30" s="388">
        <v>-1284</v>
      </c>
      <c r="X30" s="388">
        <v>0</v>
      </c>
      <c r="Y30" s="388">
        <v>0</v>
      </c>
      <c r="Z30" s="388"/>
    </row>
    <row r="31" spans="1:26" x14ac:dyDescent="0.35">
      <c r="B31" s="198" t="s">
        <v>631</v>
      </c>
      <c r="C31" s="388">
        <v>0</v>
      </c>
      <c r="D31" s="388">
        <v>0</v>
      </c>
      <c r="E31" s="388">
        <v>0</v>
      </c>
      <c r="F31" s="388">
        <v>0</v>
      </c>
      <c r="G31" s="388">
        <v>0</v>
      </c>
      <c r="H31" s="388">
        <v>0</v>
      </c>
      <c r="I31" s="388">
        <v>0</v>
      </c>
      <c r="J31" s="388">
        <v>0</v>
      </c>
      <c r="K31" s="388">
        <v>0</v>
      </c>
      <c r="L31" s="388">
        <v>0</v>
      </c>
      <c r="M31" s="388">
        <v>0</v>
      </c>
      <c r="N31" s="388">
        <v>0</v>
      </c>
      <c r="O31" s="388">
        <v>0</v>
      </c>
      <c r="P31" s="388">
        <v>0</v>
      </c>
      <c r="Q31" s="388">
        <v>0</v>
      </c>
      <c r="R31" s="388">
        <v>0</v>
      </c>
      <c r="S31" s="388">
        <v>0</v>
      </c>
      <c r="T31" s="388">
        <v>-54</v>
      </c>
      <c r="U31" s="388">
        <v>-81</v>
      </c>
      <c r="V31" s="388">
        <v>-327</v>
      </c>
      <c r="X31" s="388">
        <v>0</v>
      </c>
      <c r="Y31" s="388">
        <v>-31</v>
      </c>
    </row>
    <row r="32" spans="1:26" x14ac:dyDescent="0.35">
      <c r="B32" s="199" t="s">
        <v>487</v>
      </c>
      <c r="C32" s="388">
        <v>0</v>
      </c>
      <c r="D32" s="388">
        <v>0</v>
      </c>
      <c r="E32" s="388">
        <v>0</v>
      </c>
      <c r="F32" s="388">
        <v>0</v>
      </c>
      <c r="G32" s="388">
        <v>0</v>
      </c>
      <c r="H32" s="388">
        <v>0</v>
      </c>
      <c r="I32" s="388">
        <v>0</v>
      </c>
      <c r="J32" s="388">
        <v>0</v>
      </c>
      <c r="K32" s="388">
        <v>0</v>
      </c>
      <c r="L32" s="388">
        <v>0</v>
      </c>
      <c r="M32" s="388">
        <v>0</v>
      </c>
      <c r="N32" s="388">
        <v>-1</v>
      </c>
      <c r="O32" s="388">
        <v>0</v>
      </c>
      <c r="P32" s="388">
        <v>0</v>
      </c>
      <c r="Q32" s="388">
        <v>-1</v>
      </c>
      <c r="R32" s="500"/>
      <c r="S32" s="388">
        <v>-5</v>
      </c>
      <c r="T32" s="388">
        <v>-1</v>
      </c>
      <c r="U32" s="388">
        <v>0</v>
      </c>
      <c r="V32" s="388">
        <v>0</v>
      </c>
      <c r="X32" s="388">
        <v>-2</v>
      </c>
      <c r="Y32" s="388">
        <v>4.2</v>
      </c>
    </row>
    <row r="33" spans="2:25" s="56" customFormat="1" x14ac:dyDescent="0.35">
      <c r="B33" s="193" t="s">
        <v>239</v>
      </c>
      <c r="C33" s="458">
        <f t="shared" ref="C33:Q33" si="2">SUM(C27:C32)</f>
        <v>-277</v>
      </c>
      <c r="D33" s="458">
        <f t="shared" si="2"/>
        <v>-213</v>
      </c>
      <c r="E33" s="458">
        <f t="shared" si="2"/>
        <v>-263</v>
      </c>
      <c r="F33" s="458">
        <f t="shared" si="2"/>
        <v>-204</v>
      </c>
      <c r="G33" s="458">
        <f t="shared" si="2"/>
        <v>-218</v>
      </c>
      <c r="H33" s="458">
        <f t="shared" si="2"/>
        <v>-217</v>
      </c>
      <c r="I33" s="458">
        <f t="shared" si="2"/>
        <v>-170</v>
      </c>
      <c r="J33" s="458">
        <f t="shared" si="2"/>
        <v>-338</v>
      </c>
      <c r="K33" s="458">
        <f t="shared" si="2"/>
        <v>-219</v>
      </c>
      <c r="L33" s="458">
        <f t="shared" si="2"/>
        <v>-150</v>
      </c>
      <c r="M33" s="458">
        <f t="shared" si="2"/>
        <v>-272</v>
      </c>
      <c r="N33" s="458">
        <f t="shared" si="2"/>
        <v>-268</v>
      </c>
      <c r="O33" s="458">
        <f t="shared" si="2"/>
        <v>-323</v>
      </c>
      <c r="P33" s="458">
        <f t="shared" si="2"/>
        <v>-362</v>
      </c>
      <c r="Q33" s="458">
        <f t="shared" si="2"/>
        <v>-347</v>
      </c>
      <c r="R33" s="444"/>
      <c r="S33" s="458">
        <f>SUM(S27:S32)</f>
        <v>-307</v>
      </c>
      <c r="T33" s="458">
        <f>SUM(T27:T32)</f>
        <v>-306</v>
      </c>
      <c r="U33" s="458">
        <f>SUM(U27:U32)</f>
        <v>-333</v>
      </c>
      <c r="V33" s="458">
        <f>SUM(V27:V32)</f>
        <v>-426</v>
      </c>
      <c r="X33" s="458">
        <f>SUM(X27:X32)</f>
        <v>-257</v>
      </c>
      <c r="Y33" s="458">
        <f>SUM(Y27:Y32)</f>
        <v>-310.8</v>
      </c>
    </row>
    <row r="34" spans="2:25" x14ac:dyDescent="0.35">
      <c r="B34" s="202"/>
    </row>
    <row r="35" spans="2:25" ht="18" x14ac:dyDescent="0.4">
      <c r="B35" s="203"/>
    </row>
    <row r="36" spans="2:25" x14ac:dyDescent="0.35">
      <c r="B36" s="202"/>
    </row>
    <row r="37" spans="2:25" x14ac:dyDescent="0.35">
      <c r="B37" s="202"/>
    </row>
  </sheetData>
  <phoneticPr fontId="96"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817B5-3917-49A0-BC38-0F90F999B18F}">
  <sheetPr codeName="Planilha11">
    <tabColor rgb="FFFFC000"/>
  </sheetPr>
  <dimension ref="A1:AE35"/>
  <sheetViews>
    <sheetView showGridLines="0" zoomScale="70" zoomScaleNormal="70" workbookViewId="0">
      <pane xSplit="2" ySplit="5" topLeftCell="Q6" activePane="bottomRight" state="frozen"/>
      <selection pane="topRight"/>
      <selection pane="bottomLeft"/>
      <selection pane="bottomRight"/>
    </sheetView>
  </sheetViews>
  <sheetFormatPr defaultColWidth="9.1796875" defaultRowHeight="15.5" outlineLevelCol="1" x14ac:dyDescent="0.35"/>
  <cols>
    <col min="1" max="1" width="1.453125" style="71" customWidth="1"/>
    <col min="2" max="2" width="55.81640625" style="56" customWidth="1"/>
    <col min="3" max="3" width="11.36328125" style="39" customWidth="1" outlineLevel="1"/>
    <col min="4" max="6" width="11.36328125" style="38" customWidth="1" outlineLevel="1"/>
    <col min="7" max="7" width="11.36328125" style="39" customWidth="1" outlineLevel="1"/>
    <col min="8" max="10" width="11.36328125" style="38" customWidth="1" outlineLevel="1"/>
    <col min="11" max="11" width="11.36328125" style="39" customWidth="1" outlineLevel="1"/>
    <col min="12" max="14" width="11.36328125" style="38" customWidth="1" outlineLevel="1"/>
    <col min="15" max="15" width="11.36328125" style="39" customWidth="1" outlineLevel="1"/>
    <col min="16" max="18" width="11.36328125" style="38" customWidth="1"/>
    <col min="19" max="19" width="11.36328125" style="39" customWidth="1"/>
    <col min="20" max="22" width="11.36328125" style="38" customWidth="1"/>
    <col min="23" max="23" width="11.36328125" style="71" customWidth="1"/>
    <col min="24" max="24" width="0.54296875" style="71" customWidth="1"/>
    <col min="25" max="28" width="11.36328125" style="38" customWidth="1"/>
    <col min="29" max="29" width="0.36328125" style="71" customWidth="1"/>
    <col min="30" max="31" width="11.36328125" style="38" customWidth="1"/>
    <col min="32" max="16384" width="9.1796875" style="71"/>
  </cols>
  <sheetData>
    <row r="1" spans="1:31" ht="41.25" customHeight="1" x14ac:dyDescent="0.35">
      <c r="A1" s="166"/>
      <c r="C1" s="35"/>
      <c r="D1" s="34"/>
      <c r="E1" s="34"/>
      <c r="F1" s="34"/>
      <c r="G1" s="35"/>
      <c r="H1" s="34"/>
      <c r="I1" s="34"/>
      <c r="J1" s="34"/>
      <c r="K1" s="35"/>
      <c r="L1" s="34"/>
      <c r="M1" s="34"/>
      <c r="N1" s="34"/>
      <c r="O1" s="35"/>
      <c r="P1" s="34"/>
      <c r="Q1" s="34"/>
      <c r="R1" s="34"/>
      <c r="S1" s="35"/>
      <c r="T1" s="34"/>
      <c r="U1" s="34"/>
      <c r="V1" s="34"/>
      <c r="Y1" s="34"/>
      <c r="Z1" s="34"/>
      <c r="AA1" s="34"/>
      <c r="AB1" s="34"/>
      <c r="AD1" s="34"/>
      <c r="AE1" s="34"/>
    </row>
    <row r="2" spans="1:31" ht="18" x14ac:dyDescent="0.3">
      <c r="B2" s="57" t="s">
        <v>410</v>
      </c>
      <c r="C2" s="37"/>
      <c r="D2" s="36"/>
      <c r="E2" s="36"/>
      <c r="F2" s="36"/>
      <c r="G2" s="37"/>
      <c r="H2" s="36"/>
      <c r="I2" s="36"/>
      <c r="J2" s="36"/>
      <c r="K2" s="37"/>
      <c r="L2" s="36"/>
      <c r="M2" s="36"/>
      <c r="N2" s="36"/>
      <c r="O2" s="37"/>
      <c r="P2" s="36"/>
      <c r="Q2" s="36"/>
      <c r="R2" s="36"/>
      <c r="S2" s="37"/>
      <c r="T2" s="36"/>
      <c r="U2" s="36"/>
      <c r="V2" s="36"/>
      <c r="W2" s="36"/>
      <c r="Y2" s="36"/>
      <c r="Z2" s="36"/>
      <c r="AA2" s="36"/>
      <c r="AB2" s="36"/>
      <c r="AD2" s="36"/>
      <c r="AE2" s="36"/>
    </row>
    <row r="3" spans="1:31" ht="14.25" customHeight="1" x14ac:dyDescent="0.35">
      <c r="D3" s="390"/>
      <c r="E3" s="390"/>
      <c r="F3" s="390"/>
      <c r="H3" s="390"/>
      <c r="I3" s="390"/>
      <c r="J3" s="390"/>
      <c r="L3" s="390"/>
      <c r="M3" s="390"/>
      <c r="N3" s="390"/>
      <c r="P3" s="390"/>
      <c r="Q3" s="390"/>
      <c r="R3" s="390"/>
      <c r="T3" s="390"/>
      <c r="U3" s="390"/>
      <c r="V3" s="390"/>
      <c r="Y3" s="390"/>
      <c r="Z3" s="390"/>
      <c r="AA3" s="390"/>
      <c r="AB3" s="390"/>
      <c r="AD3" s="390"/>
      <c r="AE3" s="390"/>
    </row>
    <row r="4" spans="1:31" x14ac:dyDescent="0.3">
      <c r="B4" s="58"/>
      <c r="C4" s="42">
        <v>2017</v>
      </c>
      <c r="D4" s="41" t="s">
        <v>196</v>
      </c>
      <c r="E4" s="41" t="s">
        <v>197</v>
      </c>
      <c r="F4" s="41" t="s">
        <v>198</v>
      </c>
      <c r="G4" s="42" t="s">
        <v>199</v>
      </c>
      <c r="H4" s="41" t="s">
        <v>200</v>
      </c>
      <c r="I4" s="41" t="s">
        <v>201</v>
      </c>
      <c r="J4" s="41" t="s">
        <v>202</v>
      </c>
      <c r="K4" s="42" t="s">
        <v>203</v>
      </c>
      <c r="L4" s="41" t="s">
        <v>204</v>
      </c>
      <c r="M4" s="41" t="s">
        <v>205</v>
      </c>
      <c r="N4" s="41" t="s">
        <v>206</v>
      </c>
      <c r="O4" s="42" t="s">
        <v>207</v>
      </c>
      <c r="P4" s="41" t="s">
        <v>208</v>
      </c>
      <c r="Q4" s="41" t="s">
        <v>209</v>
      </c>
      <c r="R4" s="41" t="s">
        <v>210</v>
      </c>
      <c r="S4" s="42" t="s">
        <v>428</v>
      </c>
      <c r="T4" s="41" t="s">
        <v>435</v>
      </c>
      <c r="U4" s="41" t="s">
        <v>440</v>
      </c>
      <c r="V4" s="41" t="s">
        <v>470</v>
      </c>
      <c r="W4" s="41" t="s">
        <v>480</v>
      </c>
      <c r="Y4" s="41" t="s">
        <v>500</v>
      </c>
      <c r="Z4" s="41" t="s">
        <v>524</v>
      </c>
      <c r="AA4" s="41" t="s">
        <v>588</v>
      </c>
      <c r="AB4" s="41" t="s">
        <v>604</v>
      </c>
      <c r="AD4" s="41" t="s">
        <v>633</v>
      </c>
      <c r="AE4" s="41" t="s">
        <v>674</v>
      </c>
    </row>
    <row r="5" spans="1:31" s="328" customFormat="1" x14ac:dyDescent="0.35">
      <c r="C5" s="367">
        <v>41637</v>
      </c>
      <c r="D5" s="367">
        <v>41728</v>
      </c>
      <c r="E5" s="367">
        <v>41819</v>
      </c>
      <c r="F5" s="367">
        <v>41910</v>
      </c>
      <c r="G5" s="367">
        <v>41973</v>
      </c>
      <c r="H5" s="367">
        <v>42063</v>
      </c>
      <c r="I5" s="367">
        <v>42155</v>
      </c>
      <c r="J5" s="367">
        <v>42249</v>
      </c>
      <c r="K5" s="367">
        <v>42338</v>
      </c>
      <c r="L5" s="367">
        <v>42429</v>
      </c>
      <c r="M5" s="367">
        <v>42521</v>
      </c>
      <c r="N5" s="367">
        <v>42613</v>
      </c>
      <c r="O5" s="367">
        <v>42704</v>
      </c>
      <c r="P5" s="367">
        <v>42794</v>
      </c>
      <c r="Q5" s="367">
        <v>42886</v>
      </c>
      <c r="R5" s="367">
        <v>42978</v>
      </c>
      <c r="S5" s="367">
        <v>43099</v>
      </c>
      <c r="T5" s="367">
        <v>43159</v>
      </c>
      <c r="U5" s="367">
        <v>43251</v>
      </c>
      <c r="V5" s="367">
        <v>43343</v>
      </c>
      <c r="W5" s="367">
        <v>43464</v>
      </c>
      <c r="Y5" s="367">
        <v>43524</v>
      </c>
      <c r="Z5" s="367">
        <v>43616</v>
      </c>
      <c r="AA5" s="367">
        <v>43708</v>
      </c>
      <c r="AB5" s="367">
        <v>43829</v>
      </c>
      <c r="AD5" s="367">
        <v>43890</v>
      </c>
      <c r="AE5" s="367">
        <v>44011</v>
      </c>
    </row>
    <row r="6" spans="1:31" ht="7.5" customHeight="1" x14ac:dyDescent="0.35">
      <c r="C6" s="35"/>
      <c r="D6" s="34"/>
      <c r="E6" s="34"/>
      <c r="F6" s="34"/>
      <c r="G6" s="35"/>
      <c r="H6" s="34"/>
      <c r="I6" s="34"/>
      <c r="J6" s="34"/>
      <c r="K6" s="35"/>
      <c r="L6" s="34"/>
      <c r="M6" s="34"/>
      <c r="N6" s="34"/>
      <c r="O6" s="35"/>
      <c r="P6" s="34"/>
      <c r="Q6" s="34"/>
      <c r="R6" s="34"/>
      <c r="S6" s="35"/>
      <c r="T6" s="34"/>
      <c r="U6" s="34"/>
      <c r="V6" s="34"/>
      <c r="Y6" s="34"/>
      <c r="Z6" s="34"/>
      <c r="AA6" s="34"/>
      <c r="AB6" s="34"/>
      <c r="AD6" s="34"/>
      <c r="AE6" s="34"/>
    </row>
    <row r="7" spans="1:31" s="56" customFormat="1" x14ac:dyDescent="0.35">
      <c r="B7" s="168" t="s">
        <v>162</v>
      </c>
      <c r="C7" s="378"/>
      <c r="D7" s="377"/>
      <c r="E7" s="377"/>
      <c r="F7" s="377"/>
      <c r="G7" s="378"/>
      <c r="H7" s="377"/>
      <c r="I7" s="377"/>
      <c r="J7" s="377"/>
      <c r="K7" s="378"/>
      <c r="L7" s="377"/>
      <c r="M7" s="377"/>
      <c r="N7" s="377"/>
      <c r="O7" s="378"/>
      <c r="P7" s="377"/>
      <c r="Q7" s="377"/>
      <c r="R7" s="377"/>
      <c r="S7" s="378"/>
      <c r="T7" s="377"/>
      <c r="U7" s="377"/>
      <c r="V7" s="377"/>
      <c r="W7" s="377"/>
      <c r="Y7" s="377"/>
      <c r="Z7" s="377"/>
      <c r="AA7" s="377"/>
      <c r="AB7" s="377"/>
      <c r="AD7" s="377"/>
      <c r="AE7" s="377"/>
    </row>
    <row r="8" spans="1:31" s="56" customFormat="1" ht="6.75" customHeight="1" x14ac:dyDescent="0.35">
      <c r="B8" s="104"/>
      <c r="C8" s="380"/>
      <c r="D8" s="379"/>
      <c r="E8" s="379"/>
      <c r="F8" s="379"/>
      <c r="G8" s="380"/>
      <c r="H8" s="379"/>
      <c r="I8" s="379"/>
      <c r="J8" s="379"/>
      <c r="K8" s="380"/>
      <c r="L8" s="379"/>
      <c r="M8" s="379"/>
      <c r="N8" s="379"/>
      <c r="O8" s="380"/>
      <c r="P8" s="379"/>
      <c r="Q8" s="379"/>
      <c r="R8" s="379"/>
      <c r="S8" s="380"/>
      <c r="T8" s="379"/>
      <c r="U8" s="379"/>
      <c r="V8" s="379"/>
      <c r="Y8" s="379"/>
      <c r="Z8" s="379"/>
      <c r="AA8" s="379"/>
      <c r="AB8" s="379"/>
      <c r="AD8" s="379"/>
      <c r="AE8" s="379"/>
    </row>
    <row r="9" spans="1:31" s="180" customFormat="1" ht="17.5" x14ac:dyDescent="0.35">
      <c r="B9" s="204" t="s">
        <v>125</v>
      </c>
      <c r="C9" s="391">
        <v>4640</v>
      </c>
      <c r="D9" s="392">
        <v>4585</v>
      </c>
      <c r="E9" s="392">
        <v>4521</v>
      </c>
      <c r="F9" s="392">
        <v>5552</v>
      </c>
      <c r="G9" s="391">
        <v>5524</v>
      </c>
      <c r="H9" s="392">
        <v>5434</v>
      </c>
      <c r="I9" s="392">
        <v>5412</v>
      </c>
      <c r="J9" s="392">
        <v>5489</v>
      </c>
      <c r="K9" s="391">
        <v>5957</v>
      </c>
      <c r="L9" s="392">
        <v>9531</v>
      </c>
      <c r="M9" s="392">
        <v>8424</v>
      </c>
      <c r="N9" s="392">
        <v>8512</v>
      </c>
      <c r="O9" s="391">
        <v>7757</v>
      </c>
      <c r="P9" s="392">
        <v>9014</v>
      </c>
      <c r="Q9" s="393">
        <v>8299</v>
      </c>
      <c r="R9" s="392">
        <v>9930</v>
      </c>
      <c r="S9" s="391">
        <v>13538</v>
      </c>
      <c r="T9" s="392">
        <v>13082</v>
      </c>
      <c r="U9" s="392">
        <v>14953</v>
      </c>
      <c r="V9" s="392">
        <v>16826</v>
      </c>
      <c r="W9" s="392">
        <f>'[25]3. Balanço Patrimonial'!Z44+'[25]3. Balanço Patrimonial'!Z65</f>
        <v>16557</v>
      </c>
      <c r="Y9" s="392">
        <v>16451</v>
      </c>
      <c r="Z9" s="392">
        <v>16106</v>
      </c>
      <c r="AA9" s="392">
        <v>15229</v>
      </c>
      <c r="AB9" s="392">
        <v>14770</v>
      </c>
      <c r="AD9" s="392">
        <f>+'[22]3. Balanço Patrimonial'!AG43+'[22]3. Balanço Patrimonial'!AG64</f>
        <v>14902</v>
      </c>
      <c r="AE9" s="392">
        <f>+'[23]3. Balanço Patrimonial'!AH43+'[23]3. Balanço Patrimonial'!AH64</f>
        <v>18333</v>
      </c>
    </row>
    <row r="10" spans="1:31" s="180" customFormat="1" ht="17.5" x14ac:dyDescent="0.35">
      <c r="B10" s="204" t="s">
        <v>525</v>
      </c>
      <c r="C10" s="391">
        <v>0</v>
      </c>
      <c r="D10" s="391">
        <v>0</v>
      </c>
      <c r="E10" s="391">
        <v>0</v>
      </c>
      <c r="F10" s="391">
        <v>0</v>
      </c>
      <c r="G10" s="391">
        <v>0</v>
      </c>
      <c r="H10" s="391">
        <v>0</v>
      </c>
      <c r="I10" s="391">
        <v>0</v>
      </c>
      <c r="J10" s="391">
        <v>0</v>
      </c>
      <c r="K10" s="391">
        <v>0</v>
      </c>
      <c r="L10" s="391">
        <v>0</v>
      </c>
      <c r="M10" s="391">
        <v>0</v>
      </c>
      <c r="N10" s="391">
        <v>0</v>
      </c>
      <c r="O10" s="391">
        <v>0</v>
      </c>
      <c r="P10" s="391">
        <v>0</v>
      </c>
      <c r="Q10" s="391">
        <v>0</v>
      </c>
      <c r="R10" s="391">
        <v>0</v>
      </c>
      <c r="S10" s="391">
        <v>0</v>
      </c>
      <c r="T10" s="391">
        <v>0</v>
      </c>
      <c r="U10" s="391">
        <v>0</v>
      </c>
      <c r="V10" s="391">
        <v>0</v>
      </c>
      <c r="W10" s="391">
        <v>0</v>
      </c>
      <c r="Y10" s="392">
        <v>588</v>
      </c>
      <c r="Z10" s="392">
        <v>0</v>
      </c>
      <c r="AA10" s="392">
        <v>0</v>
      </c>
      <c r="AB10" s="392">
        <v>0</v>
      </c>
      <c r="AD10" s="392">
        <f>'[22]3. Balanço Patrimonial'!AG42</f>
        <v>0</v>
      </c>
      <c r="AE10" s="392">
        <f>'[23]3. Balanço Patrimonial'!AH42</f>
        <v>0</v>
      </c>
    </row>
    <row r="11" spans="1:31" x14ac:dyDescent="0.35">
      <c r="B11" s="204" t="s">
        <v>241</v>
      </c>
      <c r="C11" s="391">
        <v>72</v>
      </c>
      <c r="D11" s="392">
        <v>73</v>
      </c>
      <c r="E11" s="392">
        <v>74</v>
      </c>
      <c r="F11" s="392">
        <v>73</v>
      </c>
      <c r="G11" s="391">
        <v>48</v>
      </c>
      <c r="H11" s="392">
        <v>923</v>
      </c>
      <c r="I11" s="392">
        <v>743</v>
      </c>
      <c r="J11" s="392">
        <v>731</v>
      </c>
      <c r="K11" s="391">
        <v>818</v>
      </c>
      <c r="L11" s="392">
        <v>810</v>
      </c>
      <c r="M11" s="392">
        <v>796</v>
      </c>
      <c r="N11" s="392">
        <v>779</v>
      </c>
      <c r="O11" s="391">
        <v>796</v>
      </c>
      <c r="P11" s="392">
        <v>834</v>
      </c>
      <c r="Q11" s="393">
        <v>829</v>
      </c>
      <c r="R11" s="392">
        <v>858</v>
      </c>
      <c r="S11" s="391">
        <v>824</v>
      </c>
      <c r="T11" s="392">
        <v>818</v>
      </c>
      <c r="U11" s="392">
        <v>822</v>
      </c>
      <c r="V11" s="392">
        <v>859</v>
      </c>
      <c r="W11" s="392">
        <f>'[25]3. Balanço Patrimonial'!Z47+'[25]3. Balanço Patrimonial'!Z66</f>
        <v>834</v>
      </c>
      <c r="Y11" s="392">
        <v>817</v>
      </c>
      <c r="Z11" s="392">
        <v>792</v>
      </c>
      <c r="AA11" s="392">
        <v>774</v>
      </c>
      <c r="AB11" s="392">
        <v>748</v>
      </c>
      <c r="AD11" s="392">
        <f>'[22]3. Balanço Patrimonial'!AG46+'[22]3. Balanço Patrimonial'!AG65</f>
        <v>745</v>
      </c>
      <c r="AE11" s="392">
        <f>'[23]3. Balanço Patrimonial'!AH46+'[23]3. Balanço Patrimonial'!AH65</f>
        <v>373</v>
      </c>
    </row>
    <row r="12" spans="1:31" s="56" customFormat="1" x14ac:dyDescent="0.35">
      <c r="B12" s="65" t="s">
        <v>242</v>
      </c>
      <c r="C12" s="394">
        <f t="shared" ref="C12:R12" si="0">C9+C11</f>
        <v>4712</v>
      </c>
      <c r="D12" s="394">
        <f t="shared" si="0"/>
        <v>4658</v>
      </c>
      <c r="E12" s="394">
        <f t="shared" si="0"/>
        <v>4595</v>
      </c>
      <c r="F12" s="394">
        <f t="shared" si="0"/>
        <v>5625</v>
      </c>
      <c r="G12" s="394">
        <f t="shared" si="0"/>
        <v>5572</v>
      </c>
      <c r="H12" s="394">
        <f t="shared" si="0"/>
        <v>6357</v>
      </c>
      <c r="I12" s="394">
        <f t="shared" si="0"/>
        <v>6155</v>
      </c>
      <c r="J12" s="394">
        <f t="shared" si="0"/>
        <v>6220</v>
      </c>
      <c r="K12" s="394">
        <f t="shared" si="0"/>
        <v>6775</v>
      </c>
      <c r="L12" s="394">
        <f t="shared" si="0"/>
        <v>10341</v>
      </c>
      <c r="M12" s="394">
        <f t="shared" si="0"/>
        <v>9220</v>
      </c>
      <c r="N12" s="394">
        <f t="shared" si="0"/>
        <v>9291</v>
      </c>
      <c r="O12" s="394">
        <f t="shared" si="0"/>
        <v>8553</v>
      </c>
      <c r="P12" s="394">
        <f t="shared" si="0"/>
        <v>9848</v>
      </c>
      <c r="Q12" s="394">
        <f t="shared" si="0"/>
        <v>9128</v>
      </c>
      <c r="R12" s="394">
        <f t="shared" si="0"/>
        <v>10788</v>
      </c>
      <c r="S12" s="394">
        <v>14362</v>
      </c>
      <c r="T12" s="394">
        <v>13900</v>
      </c>
      <c r="U12" s="394">
        <v>15775</v>
      </c>
      <c r="V12" s="394">
        <f>SUM(V9:V11)</f>
        <v>17685</v>
      </c>
      <c r="W12" s="394">
        <f>SUM(W9:W11)</f>
        <v>17391</v>
      </c>
      <c r="Y12" s="394">
        <v>17856</v>
      </c>
      <c r="Z12" s="394">
        <v>16898</v>
      </c>
      <c r="AA12" s="394">
        <v>16003</v>
      </c>
      <c r="AB12" s="394">
        <v>15518</v>
      </c>
      <c r="AD12" s="394">
        <f>SUM(AD9:AD11)</f>
        <v>15647</v>
      </c>
      <c r="AE12" s="394">
        <f>SUM(AE9:AE11)</f>
        <v>18706</v>
      </c>
    </row>
    <row r="13" spans="1:31" s="56" customFormat="1" ht="8.25" customHeight="1" x14ac:dyDescent="0.35">
      <c r="B13" s="63"/>
      <c r="C13" s="395"/>
      <c r="D13" s="395"/>
      <c r="E13" s="395"/>
      <c r="F13" s="395"/>
      <c r="G13" s="395"/>
      <c r="H13" s="395"/>
      <c r="I13" s="395"/>
      <c r="J13" s="395"/>
      <c r="K13" s="395"/>
      <c r="L13" s="395"/>
      <c r="M13" s="395"/>
      <c r="N13" s="395"/>
      <c r="O13" s="395"/>
      <c r="P13" s="395"/>
      <c r="Q13" s="395"/>
      <c r="R13" s="395"/>
      <c r="S13" s="395"/>
      <c r="T13" s="395"/>
      <c r="U13" s="395"/>
      <c r="V13" s="395"/>
      <c r="W13" s="395"/>
      <c r="Y13" s="395"/>
      <c r="Z13" s="395"/>
      <c r="AA13" s="395"/>
      <c r="AB13" s="395"/>
      <c r="AD13" s="395"/>
      <c r="AE13" s="395"/>
    </row>
    <row r="14" spans="1:31" x14ac:dyDescent="0.35">
      <c r="B14" s="205" t="s">
        <v>8</v>
      </c>
      <c r="C14" s="84">
        <v>0</v>
      </c>
      <c r="D14" s="84">
        <v>0</v>
      </c>
      <c r="E14" s="84">
        <v>0</v>
      </c>
      <c r="F14" s="84">
        <v>0</v>
      </c>
      <c r="G14" s="84">
        <v>0</v>
      </c>
      <c r="H14" s="84">
        <v>0</v>
      </c>
      <c r="I14" s="84">
        <v>0</v>
      </c>
      <c r="J14" s="84">
        <v>0</v>
      </c>
      <c r="K14" s="84">
        <v>0</v>
      </c>
      <c r="L14" s="84">
        <v>-421</v>
      </c>
      <c r="M14" s="84">
        <v>-631</v>
      </c>
      <c r="N14" s="84">
        <v>-733</v>
      </c>
      <c r="O14" s="84">
        <v>-504</v>
      </c>
      <c r="P14" s="84">
        <v>-821</v>
      </c>
      <c r="Q14" s="84">
        <v>-183</v>
      </c>
      <c r="R14" s="84">
        <v>-578</v>
      </c>
      <c r="S14" s="84">
        <v>-626</v>
      </c>
      <c r="T14" s="84">
        <v>624</v>
      </c>
      <c r="U14" s="84">
        <v>279</v>
      </c>
      <c r="V14" s="84">
        <v>172</v>
      </c>
      <c r="W14" s="84">
        <v>483</v>
      </c>
      <c r="Y14" s="84">
        <v>527</v>
      </c>
      <c r="Z14" s="84">
        <v>961</v>
      </c>
      <c r="AA14" s="84">
        <v>600</v>
      </c>
      <c r="AB14" s="84">
        <v>644</v>
      </c>
      <c r="AD14" s="84">
        <v>480</v>
      </c>
      <c r="AE14" s="84">
        <v>-58</v>
      </c>
    </row>
    <row r="15" spans="1:31" ht="6" customHeight="1" x14ac:dyDescent="0.35">
      <c r="B15" s="205"/>
      <c r="C15" s="82"/>
      <c r="D15" s="84"/>
      <c r="E15" s="84"/>
      <c r="F15" s="84"/>
      <c r="G15" s="82"/>
      <c r="H15" s="84"/>
      <c r="I15" s="84"/>
      <c r="J15" s="84"/>
      <c r="K15" s="82"/>
      <c r="L15" s="84"/>
      <c r="M15" s="84"/>
      <c r="N15" s="84"/>
      <c r="O15" s="82"/>
      <c r="P15" s="396"/>
      <c r="Q15" s="397"/>
      <c r="R15" s="84"/>
      <c r="S15" s="82"/>
      <c r="T15" s="396"/>
      <c r="U15" s="396"/>
      <c r="V15" s="396"/>
      <c r="W15" s="396"/>
      <c r="Y15" s="396"/>
      <c r="Z15" s="396"/>
      <c r="AA15" s="396"/>
      <c r="AB15" s="396"/>
      <c r="AD15" s="396"/>
      <c r="AE15" s="396"/>
    </row>
    <row r="16" spans="1:31" s="56" customFormat="1" x14ac:dyDescent="0.35">
      <c r="B16" s="65" t="s">
        <v>243</v>
      </c>
      <c r="C16" s="398">
        <f t="shared" ref="C16:R16" si="1">C12+C14</f>
        <v>4712</v>
      </c>
      <c r="D16" s="394">
        <f t="shared" si="1"/>
        <v>4658</v>
      </c>
      <c r="E16" s="394">
        <f t="shared" si="1"/>
        <v>4595</v>
      </c>
      <c r="F16" s="394">
        <f t="shared" si="1"/>
        <v>5625</v>
      </c>
      <c r="G16" s="398">
        <f t="shared" si="1"/>
        <v>5572</v>
      </c>
      <c r="H16" s="394">
        <f t="shared" si="1"/>
        <v>6357</v>
      </c>
      <c r="I16" s="394">
        <f t="shared" si="1"/>
        <v>6155</v>
      </c>
      <c r="J16" s="394">
        <f t="shared" si="1"/>
        <v>6220</v>
      </c>
      <c r="K16" s="398">
        <f t="shared" si="1"/>
        <v>6775</v>
      </c>
      <c r="L16" s="394">
        <f t="shared" si="1"/>
        <v>9920</v>
      </c>
      <c r="M16" s="394">
        <f t="shared" si="1"/>
        <v>8589</v>
      </c>
      <c r="N16" s="394">
        <f t="shared" si="1"/>
        <v>8558</v>
      </c>
      <c r="O16" s="398">
        <f t="shared" si="1"/>
        <v>8049</v>
      </c>
      <c r="P16" s="394">
        <f t="shared" si="1"/>
        <v>9027</v>
      </c>
      <c r="Q16" s="394">
        <f t="shared" si="1"/>
        <v>8945</v>
      </c>
      <c r="R16" s="394">
        <f t="shared" si="1"/>
        <v>10210</v>
      </c>
      <c r="S16" s="398">
        <v>13736</v>
      </c>
      <c r="T16" s="394">
        <v>14524</v>
      </c>
      <c r="U16" s="394">
        <v>16054</v>
      </c>
      <c r="V16" s="394">
        <f>V12+V14</f>
        <v>17857</v>
      </c>
      <c r="W16" s="394">
        <f>W12+W14</f>
        <v>17874</v>
      </c>
      <c r="Y16" s="394">
        <v>18383</v>
      </c>
      <c r="Z16" s="394">
        <v>17859</v>
      </c>
      <c r="AA16" s="394">
        <v>16603</v>
      </c>
      <c r="AB16" s="394">
        <v>16162</v>
      </c>
      <c r="AD16" s="394">
        <f>AD12+AD14</f>
        <v>16127</v>
      </c>
      <c r="AE16" s="394">
        <f>AE12+AE14</f>
        <v>18648</v>
      </c>
    </row>
    <row r="17" spans="2:31" ht="18" x14ac:dyDescent="0.4">
      <c r="B17" s="187"/>
      <c r="C17" s="82"/>
      <c r="D17" s="84"/>
      <c r="E17" s="84"/>
      <c r="F17" s="84"/>
      <c r="G17" s="82"/>
      <c r="H17" s="84"/>
      <c r="I17" s="84"/>
      <c r="J17" s="84"/>
      <c r="K17" s="82"/>
      <c r="L17" s="84"/>
      <c r="M17" s="84"/>
      <c r="N17" s="84"/>
      <c r="O17" s="82"/>
      <c r="P17" s="84"/>
      <c r="Q17" s="399"/>
      <c r="R17" s="84"/>
      <c r="S17" s="82"/>
      <c r="T17" s="84"/>
      <c r="U17" s="84"/>
      <c r="V17" s="84"/>
      <c r="W17" s="84"/>
      <c r="Y17" s="84"/>
      <c r="Z17" s="84"/>
      <c r="AA17" s="84"/>
      <c r="AB17" s="84"/>
      <c r="AD17" s="84"/>
      <c r="AE17" s="84"/>
    </row>
    <row r="18" spans="2:31" s="56" customFormat="1" x14ac:dyDescent="0.35">
      <c r="B18" s="63" t="s">
        <v>62</v>
      </c>
      <c r="C18" s="395">
        <v>483</v>
      </c>
      <c r="D18" s="395">
        <v>1105</v>
      </c>
      <c r="E18" s="395">
        <v>1352</v>
      </c>
      <c r="F18" s="395">
        <v>1500</v>
      </c>
      <c r="G18" s="395">
        <v>3057</v>
      </c>
      <c r="H18" s="395">
        <v>3849</v>
      </c>
      <c r="I18" s="395">
        <v>1885</v>
      </c>
      <c r="J18" s="395">
        <v>3909</v>
      </c>
      <c r="K18" s="395">
        <v>2362</v>
      </c>
      <c r="L18" s="395">
        <v>5997</v>
      </c>
      <c r="M18" s="395">
        <v>5307</v>
      </c>
      <c r="N18" s="395">
        <v>4476</v>
      </c>
      <c r="O18" s="395">
        <v>3358</v>
      </c>
      <c r="P18" s="395">
        <v>3893</v>
      </c>
      <c r="Q18" s="395">
        <v>2311</v>
      </c>
      <c r="R18" s="395">
        <v>2030</v>
      </c>
      <c r="S18" s="395">
        <v>3625</v>
      </c>
      <c r="T18" s="395">
        <v>4309</v>
      </c>
      <c r="U18" s="395">
        <v>2759</v>
      </c>
      <c r="V18" s="395">
        <v>3113</v>
      </c>
      <c r="W18" s="395">
        <f>'3. Balance Sheet'!Z11</f>
        <v>4145</v>
      </c>
      <c r="Y18" s="395">
        <v>5816</v>
      </c>
      <c r="Z18" s="395">
        <v>5662</v>
      </c>
      <c r="AA18" s="395">
        <v>6436</v>
      </c>
      <c r="AB18" s="395">
        <v>6666</v>
      </c>
      <c r="AD18" s="395">
        <f>'[22]3. Balanço Patrimonial'!AG11</f>
        <v>5476</v>
      </c>
      <c r="AE18" s="395">
        <f>'[23]3. Balanço Patrimonial'!AH11</f>
        <v>8225</v>
      </c>
    </row>
    <row r="19" spans="2:31" ht="11.25" customHeight="1" x14ac:dyDescent="0.35">
      <c r="B19" s="189"/>
      <c r="C19" s="82"/>
      <c r="D19" s="84"/>
      <c r="E19" s="84"/>
      <c r="F19" s="84"/>
      <c r="G19" s="82"/>
      <c r="H19" s="84"/>
      <c r="I19" s="84"/>
      <c r="J19" s="84"/>
      <c r="K19" s="82"/>
      <c r="L19" s="84"/>
      <c r="M19" s="84"/>
      <c r="N19" s="84"/>
      <c r="O19" s="82"/>
      <c r="P19" s="84"/>
      <c r="Q19" s="399"/>
      <c r="R19" s="84"/>
      <c r="S19" s="82"/>
      <c r="T19" s="84"/>
      <c r="U19" s="84"/>
      <c r="V19" s="84"/>
      <c r="W19" s="84"/>
      <c r="Y19" s="84"/>
      <c r="Z19" s="84"/>
      <c r="AA19" s="84"/>
      <c r="AB19" s="84"/>
      <c r="AD19" s="84"/>
      <c r="AE19" s="84"/>
    </row>
    <row r="20" spans="2:31" s="56" customFormat="1" x14ac:dyDescent="0.35">
      <c r="B20" s="65" t="s">
        <v>244</v>
      </c>
      <c r="C20" s="400">
        <v>3885</v>
      </c>
      <c r="D20" s="401">
        <f t="shared" ref="D20:R20" si="2">D16-D18</f>
        <v>3553</v>
      </c>
      <c r="E20" s="401">
        <f t="shared" si="2"/>
        <v>3243</v>
      </c>
      <c r="F20" s="401">
        <f t="shared" si="2"/>
        <v>4125</v>
      </c>
      <c r="G20" s="400">
        <f t="shared" si="2"/>
        <v>2515</v>
      </c>
      <c r="H20" s="401">
        <f t="shared" si="2"/>
        <v>2508</v>
      </c>
      <c r="I20" s="401">
        <f t="shared" si="2"/>
        <v>4270</v>
      </c>
      <c r="J20" s="401">
        <f t="shared" si="2"/>
        <v>2311</v>
      </c>
      <c r="K20" s="400">
        <f t="shared" si="2"/>
        <v>4413</v>
      </c>
      <c r="L20" s="401">
        <f t="shared" si="2"/>
        <v>3923</v>
      </c>
      <c r="M20" s="401">
        <f t="shared" si="2"/>
        <v>3282</v>
      </c>
      <c r="N20" s="401">
        <f t="shared" si="2"/>
        <v>4082</v>
      </c>
      <c r="O20" s="400">
        <f t="shared" si="2"/>
        <v>4691</v>
      </c>
      <c r="P20" s="401">
        <f t="shared" si="2"/>
        <v>5134</v>
      </c>
      <c r="Q20" s="401">
        <f t="shared" si="2"/>
        <v>6634</v>
      </c>
      <c r="R20" s="401">
        <f t="shared" si="2"/>
        <v>8180</v>
      </c>
      <c r="S20" s="400">
        <v>10111</v>
      </c>
      <c r="T20" s="401">
        <v>10215</v>
      </c>
      <c r="U20" s="401">
        <v>13295</v>
      </c>
      <c r="V20" s="401">
        <f>V16-V18</f>
        <v>14744</v>
      </c>
      <c r="W20" s="401">
        <f>W16-W18</f>
        <v>13729</v>
      </c>
      <c r="Y20" s="401">
        <v>12567</v>
      </c>
      <c r="Z20" s="401">
        <v>12197</v>
      </c>
      <c r="AA20" s="401">
        <v>10167</v>
      </c>
      <c r="AB20" s="401">
        <v>9496</v>
      </c>
      <c r="AD20" s="401">
        <f>AD16-AD18</f>
        <v>10651</v>
      </c>
      <c r="AE20" s="401">
        <f>AE16-AE18</f>
        <v>10423</v>
      </c>
    </row>
    <row r="21" spans="2:31" x14ac:dyDescent="0.35">
      <c r="C21" s="402"/>
      <c r="D21" s="84"/>
      <c r="E21" s="84"/>
      <c r="F21" s="84"/>
      <c r="G21" s="82"/>
      <c r="H21" s="84"/>
      <c r="I21" s="84"/>
      <c r="J21" s="84"/>
      <c r="K21" s="82"/>
      <c r="L21" s="84"/>
      <c r="M21" s="84"/>
      <c r="N21" s="84"/>
      <c r="O21" s="82"/>
      <c r="P21" s="84"/>
      <c r="Q21" s="399"/>
      <c r="R21" s="84"/>
      <c r="S21" s="82"/>
      <c r="T21" s="84"/>
      <c r="U21" s="84"/>
      <c r="V21" s="84"/>
      <c r="W21" s="84"/>
      <c r="Y21" s="84"/>
      <c r="Z21" s="84"/>
      <c r="AA21" s="84"/>
      <c r="AB21" s="84"/>
      <c r="AD21" s="84"/>
      <c r="AE21" s="84"/>
    </row>
    <row r="22" spans="2:31" s="56" customFormat="1" x14ac:dyDescent="0.35">
      <c r="B22" s="63" t="s">
        <v>245</v>
      </c>
      <c r="C22" s="403">
        <v>3067</v>
      </c>
      <c r="D22" s="403">
        <v>3193</v>
      </c>
      <c r="E22" s="403">
        <v>3220</v>
      </c>
      <c r="F22" s="403">
        <v>2795</v>
      </c>
      <c r="G22" s="403">
        <v>2558</v>
      </c>
      <c r="H22" s="403">
        <v>2645</v>
      </c>
      <c r="I22" s="403">
        <v>2643</v>
      </c>
      <c r="J22" s="403">
        <v>2831</v>
      </c>
      <c r="K22" s="403">
        <v>3132</v>
      </c>
      <c r="L22" s="403">
        <v>2817</v>
      </c>
      <c r="M22" s="403">
        <v>3127</v>
      </c>
      <c r="N22" s="403">
        <v>3142</v>
      </c>
      <c r="O22" s="403">
        <v>3811</v>
      </c>
      <c r="P22" s="403">
        <v>4448</v>
      </c>
      <c r="Q22" s="403">
        <v>4650</v>
      </c>
      <c r="R22" s="403">
        <v>5001</v>
      </c>
      <c r="S22" s="403">
        <v>4983</v>
      </c>
      <c r="T22" s="403">
        <v>4908</v>
      </c>
      <c r="U22" s="403">
        <v>5502</v>
      </c>
      <c r="V22" s="403">
        <v>5242</v>
      </c>
      <c r="W22" s="403">
        <v>5225</v>
      </c>
      <c r="Y22" s="403">
        <v>4709</v>
      </c>
      <c r="Z22" s="403">
        <v>4021</v>
      </c>
      <c r="AA22" s="403">
        <v>5438</v>
      </c>
      <c r="AB22" s="403">
        <v>8850</v>
      </c>
      <c r="AD22" s="403">
        <v>10107</v>
      </c>
      <c r="AE22" s="403">
        <v>10107</v>
      </c>
    </row>
    <row r="23" spans="2:31" s="56" customFormat="1" x14ac:dyDescent="0.35">
      <c r="B23" s="63" t="s">
        <v>246</v>
      </c>
      <c r="C23" s="404">
        <f t="shared" ref="C23:Z23" si="3">C20/C22</f>
        <v>1.2667101402021519</v>
      </c>
      <c r="D23" s="404">
        <f t="shared" si="3"/>
        <v>1.1127466332602569</v>
      </c>
      <c r="E23" s="404">
        <f t="shared" si="3"/>
        <v>1.0071428571428571</v>
      </c>
      <c r="F23" s="404">
        <f t="shared" si="3"/>
        <v>1.4758497316636852</v>
      </c>
      <c r="G23" s="404">
        <f t="shared" si="3"/>
        <v>0.98318999218139169</v>
      </c>
      <c r="H23" s="404">
        <f t="shared" si="3"/>
        <v>0.94820415879017017</v>
      </c>
      <c r="I23" s="404">
        <f t="shared" si="3"/>
        <v>1.6155883465758607</v>
      </c>
      <c r="J23" s="404">
        <f t="shared" si="3"/>
        <v>0.81631932179441891</v>
      </c>
      <c r="K23" s="404">
        <f t="shared" si="3"/>
        <v>1.4090038314176245</v>
      </c>
      <c r="L23" s="404">
        <f t="shared" si="3"/>
        <v>1.3926162584309549</v>
      </c>
      <c r="M23" s="404">
        <f t="shared" si="3"/>
        <v>1.049568276303166</v>
      </c>
      <c r="N23" s="404">
        <f t="shared" si="3"/>
        <v>1.2991725015913431</v>
      </c>
      <c r="O23" s="404">
        <f t="shared" si="3"/>
        <v>1.2309105221726582</v>
      </c>
      <c r="P23" s="404">
        <f t="shared" si="3"/>
        <v>1.1542266187050361</v>
      </c>
      <c r="Q23" s="404">
        <f t="shared" si="3"/>
        <v>1.4266666666666667</v>
      </c>
      <c r="R23" s="404">
        <f t="shared" si="3"/>
        <v>1.6356728654269146</v>
      </c>
      <c r="S23" s="404">
        <f t="shared" si="3"/>
        <v>2.0290989363837046</v>
      </c>
      <c r="T23" s="404">
        <f t="shared" si="3"/>
        <v>2.0812958435207825</v>
      </c>
      <c r="U23" s="404">
        <f t="shared" si="3"/>
        <v>2.4163940385314433</v>
      </c>
      <c r="V23" s="404">
        <f t="shared" si="3"/>
        <v>2.8126669210225104</v>
      </c>
      <c r="W23" s="404">
        <f t="shared" si="3"/>
        <v>2.6275598086124403</v>
      </c>
      <c r="X23" s="404" t="e">
        <f t="shared" si="3"/>
        <v>#DIV/0!</v>
      </c>
      <c r="Y23" s="404">
        <f t="shared" si="3"/>
        <v>2.6687194733489061</v>
      </c>
      <c r="Z23" s="404">
        <f t="shared" si="3"/>
        <v>3.0333250435215122</v>
      </c>
      <c r="AA23" s="404">
        <f t="shared" ref="AA23:AB23" si="4">AA20/AA22</f>
        <v>1.8696211842589188</v>
      </c>
      <c r="AB23" s="404">
        <f t="shared" si="4"/>
        <v>1.0729943502824859</v>
      </c>
      <c r="AD23" s="404">
        <f t="shared" ref="AD23:AE23" si="5">AD20/AD22</f>
        <v>1.0538240823191847</v>
      </c>
      <c r="AE23" s="404">
        <f t="shared" si="5"/>
        <v>1.0312654595824675</v>
      </c>
    </row>
    <row r="24" spans="2:31" x14ac:dyDescent="0.35">
      <c r="C24" s="405"/>
      <c r="D24" s="406"/>
      <c r="E24" s="406"/>
      <c r="F24" s="406"/>
      <c r="G24" s="406"/>
      <c r="H24" s="406"/>
      <c r="I24" s="406"/>
      <c r="J24" s="406"/>
      <c r="K24" s="406"/>
      <c r="L24" s="406"/>
      <c r="M24" s="406"/>
      <c r="N24" s="406"/>
      <c r="O24" s="406"/>
      <c r="P24" s="406"/>
      <c r="Q24" s="406"/>
      <c r="R24" s="406"/>
      <c r="S24" s="406"/>
      <c r="T24" s="406"/>
      <c r="U24" s="406"/>
      <c r="V24" s="406"/>
      <c r="W24" s="406"/>
      <c r="Y24" s="406"/>
      <c r="Z24" s="406"/>
      <c r="AA24" s="406"/>
      <c r="AB24" s="406"/>
      <c r="AD24" s="406"/>
      <c r="AE24" s="406"/>
    </row>
    <row r="25" spans="2:31" s="56" customFormat="1" x14ac:dyDescent="0.35">
      <c r="B25" s="323" t="s">
        <v>247</v>
      </c>
      <c r="C25" s="407">
        <v>7.8480922533594358E-2</v>
      </c>
      <c r="D25" s="408">
        <v>7.4208640771829232E-2</v>
      </c>
      <c r="E25" s="408">
        <v>7.4275326140367873E-2</v>
      </c>
      <c r="F25" s="408">
        <v>7.510529674304868E-2</v>
      </c>
      <c r="G25" s="407">
        <v>7.5434141419823714E-2</v>
      </c>
      <c r="H25" s="408">
        <v>7.5255551488945416E-2</v>
      </c>
      <c r="I25" s="408">
        <v>7.6240098028103345E-2</v>
      </c>
      <c r="J25" s="408">
        <v>7.4099584868521501E-2</v>
      </c>
      <c r="K25" s="407">
        <v>7.0198586248962608E-2</v>
      </c>
      <c r="L25" s="408">
        <v>5.4000574962860474E-2</v>
      </c>
      <c r="M25" s="408">
        <v>5.2134127381006132E-2</v>
      </c>
      <c r="N25" s="408">
        <v>4.8759418430272906E-2</v>
      </c>
      <c r="O25" s="407">
        <v>4.7767625563146017E-2</v>
      </c>
      <c r="P25" s="408">
        <v>4.4529642900769585E-2</v>
      </c>
      <c r="Q25" s="408">
        <v>4.9586548788206716E-2</v>
      </c>
      <c r="R25" s="408">
        <v>5.7988645891006892E-2</v>
      </c>
      <c r="S25" s="407">
        <v>9.0399999999999994E-2</v>
      </c>
      <c r="T25" s="408">
        <v>0.12</v>
      </c>
      <c r="U25" s="408">
        <v>0.13</v>
      </c>
      <c r="V25" s="408">
        <v>0.1368</v>
      </c>
      <c r="W25" s="408">
        <v>0.14099999999999999</v>
      </c>
      <c r="Y25" s="408">
        <v>0.152</v>
      </c>
      <c r="Z25" s="408">
        <v>0.152</v>
      </c>
      <c r="AA25" s="408">
        <v>0.14199999999999999</v>
      </c>
      <c r="AB25" s="408">
        <v>0.13200000000000001</v>
      </c>
      <c r="AD25" s="408">
        <v>0.12180000000000001</v>
      </c>
      <c r="AE25" s="408">
        <v>0.12180000000000001</v>
      </c>
    </row>
    <row r="26" spans="2:31" x14ac:dyDescent="0.35">
      <c r="C26" s="82"/>
      <c r="D26" s="409"/>
      <c r="E26" s="409"/>
      <c r="F26" s="409"/>
      <c r="G26" s="409"/>
      <c r="H26" s="410"/>
      <c r="I26" s="410"/>
      <c r="J26" s="410"/>
      <c r="K26" s="410"/>
      <c r="L26" s="410"/>
      <c r="M26" s="410"/>
      <c r="N26" s="410"/>
      <c r="O26" s="410"/>
      <c r="P26" s="410"/>
      <c r="Q26" s="410"/>
      <c r="R26" s="410"/>
      <c r="S26" s="410"/>
      <c r="T26" s="410"/>
      <c r="U26" s="410"/>
      <c r="V26" s="410"/>
      <c r="W26" s="410"/>
      <c r="Y26" s="410"/>
      <c r="Z26" s="410"/>
      <c r="AA26" s="410"/>
      <c r="AB26" s="410"/>
      <c r="AD26" s="410"/>
      <c r="AE26" s="410"/>
    </row>
    <row r="27" spans="2:31" s="56" customFormat="1" x14ac:dyDescent="0.35">
      <c r="B27" s="193" t="s">
        <v>248</v>
      </c>
      <c r="C27" s="411">
        <v>2.8</v>
      </c>
      <c r="D27" s="412">
        <v>2.7</v>
      </c>
      <c r="E27" s="412">
        <v>2.5</v>
      </c>
      <c r="F27" s="412">
        <v>2.7</v>
      </c>
      <c r="G27" s="411">
        <v>2.5</v>
      </c>
      <c r="H27" s="412">
        <v>2.2604041499556855</v>
      </c>
      <c r="I27" s="412">
        <v>2.0096984053552207</v>
      </c>
      <c r="J27" s="412">
        <v>1.7974923052278831</v>
      </c>
      <c r="K27" s="411">
        <v>1.493916623395946</v>
      </c>
      <c r="L27" s="412">
        <v>2.0319165129420034</v>
      </c>
      <c r="M27" s="412">
        <v>2.6603642200966742</v>
      </c>
      <c r="N27" s="412">
        <v>2.3917508025507215</v>
      </c>
      <c r="O27" s="411">
        <v>2.29</v>
      </c>
      <c r="P27" s="412">
        <v>3.65</v>
      </c>
      <c r="Q27" s="412">
        <v>3.45</v>
      </c>
      <c r="R27" s="412">
        <v>3.74</v>
      </c>
      <c r="S27" s="411">
        <v>4.43</v>
      </c>
      <c r="T27" s="412">
        <v>4.49</v>
      </c>
      <c r="U27" s="412">
        <v>4.3</v>
      </c>
      <c r="V27" s="412">
        <v>4.3</v>
      </c>
      <c r="W27" s="412">
        <v>4.2</v>
      </c>
      <c r="Y27" s="412">
        <v>4.0999999999999996</v>
      </c>
      <c r="Z27" s="412">
        <v>3.8</v>
      </c>
      <c r="AA27" s="412">
        <v>4</v>
      </c>
      <c r="AB27" s="412">
        <v>3.8</v>
      </c>
      <c r="AD27" s="412">
        <v>3.6</v>
      </c>
      <c r="AE27" s="412">
        <v>4.0999999999999996</v>
      </c>
    </row>
    <row r="28" spans="2:31" x14ac:dyDescent="0.35">
      <c r="C28" s="413"/>
      <c r="D28" s="414"/>
      <c r="E28" s="414"/>
      <c r="F28" s="414"/>
      <c r="G28" s="413"/>
      <c r="H28" s="415"/>
      <c r="I28" s="415"/>
      <c r="J28" s="415"/>
      <c r="K28" s="416"/>
      <c r="L28" s="415"/>
      <c r="M28" s="415"/>
      <c r="N28" s="415"/>
      <c r="O28" s="416"/>
      <c r="P28" s="415"/>
      <c r="Q28" s="415"/>
      <c r="R28" s="415"/>
      <c r="S28" s="416"/>
      <c r="T28" s="415"/>
      <c r="U28" s="415"/>
      <c r="V28" s="415"/>
      <c r="W28" s="415"/>
      <c r="Y28" s="415"/>
      <c r="Z28" s="415"/>
      <c r="AA28" s="415"/>
      <c r="AB28" s="415"/>
      <c r="AD28" s="415"/>
      <c r="AE28" s="415"/>
    </row>
    <row r="29" spans="2:31" x14ac:dyDescent="0.35">
      <c r="B29" s="206" t="s">
        <v>9</v>
      </c>
      <c r="C29" s="417">
        <v>6.8900000000000003E-2</v>
      </c>
      <c r="D29" s="417">
        <v>6.3899999999999998E-2</v>
      </c>
      <c r="E29" s="417">
        <v>6.3899999999999998E-2</v>
      </c>
      <c r="F29" s="417">
        <v>6.3899999999999998E-2</v>
      </c>
      <c r="G29" s="417">
        <v>6.4000000000000001E-2</v>
      </c>
      <c r="H29" s="417">
        <v>6.4000000000000001E-2</v>
      </c>
      <c r="I29" s="417">
        <v>6.4000000000000001E-2</v>
      </c>
      <c r="J29" s="417">
        <v>5.4000000000000006E-2</v>
      </c>
      <c r="K29" s="417">
        <v>4.4000000000000004E-2</v>
      </c>
      <c r="L29" s="417">
        <v>3.6499999999999998E-2</v>
      </c>
      <c r="M29" s="417">
        <v>2.1499999999999998E-2</v>
      </c>
      <c r="N29" s="417">
        <v>1.9E-2</v>
      </c>
      <c r="O29" s="417">
        <v>1.9E-2</v>
      </c>
      <c r="P29" s="417">
        <v>2.6499999999999999E-2</v>
      </c>
      <c r="Q29" s="417">
        <v>4.1500000000000002E-2</v>
      </c>
      <c r="R29" s="417">
        <v>6.1500000000000006E-2</v>
      </c>
      <c r="S29" s="417">
        <v>9.1499999999999998E-2</v>
      </c>
      <c r="T29" s="417">
        <v>0.11650000000000001</v>
      </c>
      <c r="U29" s="418">
        <v>0.13150000000000001</v>
      </c>
      <c r="V29" s="418">
        <v>0.13650000000000001</v>
      </c>
      <c r="W29" s="418">
        <v>0.13650000000000001</v>
      </c>
      <c r="Y29" s="417">
        <v>0.13700000000000001</v>
      </c>
      <c r="Z29" s="417">
        <v>0.13700000000000001</v>
      </c>
      <c r="AA29" s="417">
        <v>0.127</v>
      </c>
      <c r="AB29" s="417">
        <v>0.11700000000000001</v>
      </c>
      <c r="AD29" s="418">
        <v>0.1065</v>
      </c>
      <c r="AE29" s="418">
        <v>0.104</v>
      </c>
    </row>
    <row r="30" spans="2:31" x14ac:dyDescent="0.35">
      <c r="B30" s="207" t="s">
        <v>38</v>
      </c>
      <c r="C30" s="419">
        <v>2.7999999999999997E-2</v>
      </c>
      <c r="D30" s="419">
        <v>2.8399999999999998E-2</v>
      </c>
      <c r="E30" s="419">
        <v>2.86E-2</v>
      </c>
      <c r="F30" s="419">
        <v>4.1900000000000007E-2</v>
      </c>
      <c r="G30" s="419">
        <v>4.0500000000000001E-2</v>
      </c>
      <c r="H30" s="419">
        <v>3.8900000000000004E-2</v>
      </c>
      <c r="I30" s="419">
        <v>4.6600000000000003E-2</v>
      </c>
      <c r="J30" s="419">
        <v>3.4300000000000004E-2</v>
      </c>
      <c r="K30" s="419">
        <v>3.27E-2</v>
      </c>
      <c r="L30" s="419">
        <v>4.0099999999999997E-2</v>
      </c>
      <c r="M30" s="419">
        <v>1.8799999999999997E-2</v>
      </c>
      <c r="N30" s="419">
        <v>2.4384647595665498E-2</v>
      </c>
      <c r="O30" s="419">
        <v>4.3112233257791566E-2</v>
      </c>
      <c r="P30" s="419">
        <v>5.1953786425932069E-2</v>
      </c>
      <c r="Q30" s="419">
        <v>8.0560654410588572E-2</v>
      </c>
      <c r="R30" s="419">
        <v>9.6797736240681539E-2</v>
      </c>
      <c r="S30" s="419">
        <v>0.10738499999999999</v>
      </c>
      <c r="T30" s="420">
        <v>0.105436</v>
      </c>
      <c r="U30" s="421">
        <v>0.117311</v>
      </c>
      <c r="V30" s="421">
        <v>8.7300000000000003E-2</v>
      </c>
      <c r="W30" s="421">
        <v>5.79E-2</v>
      </c>
      <c r="Y30" s="420">
        <v>4.65E-2</v>
      </c>
      <c r="Z30" s="420">
        <v>3.1600000000000003E-2</v>
      </c>
      <c r="AA30" s="420">
        <v>5.1900000000000002E-2</v>
      </c>
      <c r="AB30" s="420">
        <v>4.6199999999999998E-2</v>
      </c>
      <c r="AD30" s="421">
        <v>3.9300000000000002E-2</v>
      </c>
      <c r="AE30" s="421">
        <v>4.2299999999999997E-2</v>
      </c>
    </row>
    <row r="31" spans="2:31" x14ac:dyDescent="0.35">
      <c r="B31" s="207" t="s">
        <v>28</v>
      </c>
      <c r="C31" s="422">
        <v>3.2480333333333333</v>
      </c>
      <c r="D31" s="422">
        <v>3.2439666666666667</v>
      </c>
      <c r="E31" s="422">
        <v>3.6088333333333331</v>
      </c>
      <c r="F31" s="422">
        <v>3.956433333333333</v>
      </c>
      <c r="G31" s="422">
        <v>3.8142333333333336</v>
      </c>
      <c r="H31" s="422">
        <v>3.7681333333333336</v>
      </c>
      <c r="I31" s="422">
        <v>3.9183999999999997</v>
      </c>
      <c r="J31" s="422">
        <v>3.9797666666666665</v>
      </c>
      <c r="K31" s="422">
        <v>4.1183000000000005</v>
      </c>
      <c r="L31" s="422">
        <v>4.4665333333333335</v>
      </c>
      <c r="M31" s="422">
        <v>5.3896333333333333</v>
      </c>
      <c r="N31" s="422">
        <v>5.3844333333333338</v>
      </c>
      <c r="O31" s="422">
        <v>5.4013</v>
      </c>
      <c r="P31" s="422">
        <v>5.4738000000000007</v>
      </c>
      <c r="Q31" s="422">
        <v>5.2923</v>
      </c>
      <c r="R31" s="422">
        <v>5.2330666666666668</v>
      </c>
      <c r="S31" s="422" t="s">
        <v>429</v>
      </c>
      <c r="T31" s="422">
        <v>4.7378</v>
      </c>
      <c r="U31" s="423">
        <v>5.2380000000000004</v>
      </c>
      <c r="V31" s="423">
        <v>5.4066000000000001</v>
      </c>
      <c r="W31" s="423">
        <v>5.2176999999999998</v>
      </c>
      <c r="Y31" s="422">
        <v>5.0804</v>
      </c>
      <c r="Z31" s="422">
        <v>4.8192000000000004</v>
      </c>
      <c r="AA31" s="422">
        <v>5.0076000000000001</v>
      </c>
      <c r="AB31" s="422">
        <v>4.8413000000000004</v>
      </c>
      <c r="AD31" s="423">
        <v>4.9962</v>
      </c>
      <c r="AE31" s="423">
        <v>5.5589000000000004</v>
      </c>
    </row>
    <row r="32" spans="2:31" x14ac:dyDescent="0.35">
      <c r="C32" s="414"/>
      <c r="D32" s="414"/>
      <c r="E32" s="414"/>
      <c r="F32" s="414"/>
      <c r="G32" s="414"/>
      <c r="H32" s="414"/>
      <c r="I32" s="414"/>
      <c r="J32" s="414"/>
      <c r="K32" s="414"/>
      <c r="L32" s="414"/>
      <c r="M32" s="414"/>
      <c r="N32" s="414"/>
      <c r="O32" s="414"/>
      <c r="P32" s="414"/>
      <c r="Q32" s="414"/>
      <c r="R32" s="414"/>
      <c r="S32" s="414"/>
      <c r="T32" s="414"/>
      <c r="U32" s="414"/>
      <c r="V32" s="414"/>
      <c r="Y32" s="414"/>
      <c r="Z32" s="414"/>
      <c r="AA32" s="414"/>
      <c r="AB32" s="414"/>
      <c r="AD32" s="414"/>
      <c r="AE32" s="414"/>
    </row>
    <row r="33" spans="2:31" s="56" customFormat="1" x14ac:dyDescent="0.35">
      <c r="B33" s="208" t="s">
        <v>249</v>
      </c>
      <c r="C33" s="424"/>
      <c r="D33" s="424"/>
      <c r="E33" s="424"/>
      <c r="F33" s="424"/>
      <c r="G33" s="424"/>
      <c r="H33" s="424"/>
      <c r="I33" s="424"/>
      <c r="J33" s="424"/>
      <c r="K33" s="424"/>
      <c r="L33" s="424"/>
      <c r="M33" s="424"/>
      <c r="N33" s="424"/>
      <c r="O33" s="424"/>
      <c r="P33" s="424"/>
      <c r="Q33" s="424"/>
      <c r="R33" s="424"/>
      <c r="S33" s="424"/>
      <c r="T33" s="424"/>
      <c r="U33" s="424"/>
      <c r="V33" s="424"/>
      <c r="Y33" s="424"/>
      <c r="Z33" s="424"/>
      <c r="AA33" s="424"/>
      <c r="AB33" s="424"/>
      <c r="AD33" s="424"/>
      <c r="AE33" s="424"/>
    </row>
    <row r="34" spans="2:31" x14ac:dyDescent="0.35">
      <c r="C34" s="414"/>
      <c r="D34" s="414"/>
      <c r="E34" s="414"/>
      <c r="F34" s="414"/>
      <c r="G34" s="414"/>
      <c r="H34" s="414"/>
      <c r="I34" s="414"/>
      <c r="J34" s="414"/>
      <c r="K34" s="414"/>
      <c r="L34" s="414"/>
      <c r="M34" s="414"/>
      <c r="N34" s="414"/>
      <c r="O34" s="414"/>
      <c r="P34" s="414"/>
      <c r="Q34" s="414"/>
      <c r="R34" s="414"/>
      <c r="S34" s="414"/>
      <c r="T34" s="414"/>
      <c r="U34" s="414"/>
      <c r="V34" s="414"/>
      <c r="Y34" s="414"/>
      <c r="Z34" s="414"/>
      <c r="AA34" s="414"/>
      <c r="AB34" s="414"/>
      <c r="AD34" s="414"/>
      <c r="AE34" s="414"/>
    </row>
    <row r="35" spans="2:31" s="56" customFormat="1" x14ac:dyDescent="0.35">
      <c r="B35" s="63"/>
      <c r="C35" s="424"/>
      <c r="D35" s="424"/>
      <c r="E35" s="424"/>
      <c r="F35" s="424"/>
      <c r="G35" s="424"/>
      <c r="H35" s="424"/>
      <c r="I35" s="424"/>
      <c r="J35" s="424"/>
      <c r="K35" s="424"/>
      <c r="L35" s="424"/>
      <c r="M35" s="424"/>
      <c r="N35" s="424"/>
      <c r="O35" s="424"/>
      <c r="P35" s="424"/>
      <c r="Q35" s="424"/>
      <c r="R35" s="424"/>
      <c r="S35" s="424"/>
      <c r="T35" s="424"/>
      <c r="U35" s="424"/>
      <c r="V35" s="424"/>
      <c r="Y35" s="424"/>
      <c r="Z35" s="424"/>
      <c r="AA35" s="424"/>
      <c r="AB35" s="424"/>
      <c r="AD35" s="424"/>
      <c r="AE35" s="424"/>
    </row>
  </sheetData>
  <phoneticPr fontId="96"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6579E-9D82-465A-A6E8-02F3133C7F55}">
  <sheetPr codeName="Planilha14">
    <tabColor rgb="FFFFC000"/>
  </sheetPr>
  <dimension ref="A1:W22"/>
  <sheetViews>
    <sheetView showGridLines="0" zoomScale="70" zoomScaleNormal="70" workbookViewId="0">
      <pane xSplit="2" ySplit="5" topLeftCell="H6" activePane="bottomRight" state="frozen"/>
      <selection pane="topRight"/>
      <selection pane="bottomLeft"/>
      <selection pane="bottomRight" activeCell="Y11" sqref="Y11"/>
    </sheetView>
  </sheetViews>
  <sheetFormatPr defaultColWidth="9.1796875" defaultRowHeight="15.5" outlineLevelCol="1" x14ac:dyDescent="0.35"/>
  <cols>
    <col min="1" max="1" width="1.453125" style="71" customWidth="1"/>
    <col min="2" max="2" width="55.81640625" style="56" bestFit="1" customWidth="1"/>
    <col min="3" max="3" width="10.7265625" style="71" customWidth="1" outlineLevel="1"/>
    <col min="4" max="5" width="10.7265625" style="22" customWidth="1" outlineLevel="1"/>
    <col min="6" max="6" width="10.7265625" style="23" customWidth="1" outlineLevel="1"/>
    <col min="7" max="9" width="10.7265625" style="22" customWidth="1" outlineLevel="1"/>
    <col min="10" max="10" width="10.7265625" style="23" customWidth="1" outlineLevel="1"/>
    <col min="11" max="13" width="10.7265625" style="22" customWidth="1" outlineLevel="1"/>
    <col min="14" max="14" width="10.7265625" style="23" customWidth="1" outlineLevel="1"/>
    <col min="15" max="15" width="11.54296875" style="22" customWidth="1" outlineLevel="1"/>
    <col min="16" max="17" width="10.7265625" style="22" customWidth="1" outlineLevel="1"/>
    <col min="18" max="18" width="11.54296875" style="23" customWidth="1" outlineLevel="1"/>
    <col min="19" max="19" width="10.7265625" style="22" customWidth="1"/>
    <col min="20" max="21" width="10" style="22" bestFit="1" customWidth="1"/>
    <col min="22" max="22" width="11.54296875" style="23" customWidth="1"/>
    <col min="23" max="23" width="11" style="22" hidden="1" customWidth="1"/>
    <col min="24" max="16384" width="9.1796875" style="71"/>
  </cols>
  <sheetData>
    <row r="1" spans="1:23" ht="41.25" customHeight="1" x14ac:dyDescent="0.35">
      <c r="A1" s="166"/>
      <c r="C1" s="70"/>
      <c r="D1" s="18"/>
      <c r="E1" s="18"/>
      <c r="F1" s="19"/>
      <c r="G1" s="18"/>
      <c r="H1" s="18"/>
      <c r="I1" s="18"/>
      <c r="J1" s="19"/>
      <c r="K1" s="18"/>
      <c r="L1" s="18"/>
      <c r="M1" s="18"/>
      <c r="N1" s="19"/>
      <c r="O1" s="18"/>
      <c r="P1" s="18"/>
      <c r="Q1" s="18"/>
      <c r="R1" s="19"/>
      <c r="S1" s="18"/>
      <c r="T1" s="18"/>
      <c r="U1" s="18"/>
      <c r="V1" s="19"/>
      <c r="W1" s="18"/>
    </row>
    <row r="2" spans="1:23" ht="18" x14ac:dyDescent="0.3">
      <c r="B2" s="57" t="s">
        <v>411</v>
      </c>
      <c r="C2" s="150"/>
      <c r="D2" s="20"/>
      <c r="E2" s="20"/>
      <c r="F2" s="21"/>
      <c r="G2" s="20"/>
      <c r="H2" s="20"/>
      <c r="I2" s="20"/>
      <c r="J2" s="21"/>
      <c r="K2" s="20"/>
      <c r="L2" s="20"/>
      <c r="M2" s="20"/>
      <c r="N2" s="21"/>
      <c r="O2" s="20"/>
      <c r="P2" s="20"/>
      <c r="Q2" s="20"/>
      <c r="R2" s="21"/>
      <c r="S2" s="20"/>
      <c r="T2" s="20"/>
      <c r="U2" s="20"/>
      <c r="V2" s="21"/>
      <c r="W2" s="20"/>
    </row>
    <row r="3" spans="1:23" ht="14.25" customHeight="1" x14ac:dyDescent="0.35">
      <c r="C3" s="22"/>
    </row>
    <row r="4" spans="1:23" x14ac:dyDescent="0.35">
      <c r="B4" s="167"/>
      <c r="C4" s="24" t="s">
        <v>211</v>
      </c>
      <c r="D4" s="24" t="s">
        <v>212</v>
      </c>
      <c r="E4" s="24" t="s">
        <v>213</v>
      </c>
      <c r="F4" s="25" t="s">
        <v>195</v>
      </c>
      <c r="G4" s="24" t="s">
        <v>196</v>
      </c>
      <c r="H4" s="24" t="s">
        <v>197</v>
      </c>
      <c r="I4" s="24" t="s">
        <v>198</v>
      </c>
      <c r="J4" s="25" t="s">
        <v>199</v>
      </c>
      <c r="K4" s="24" t="s">
        <v>200</v>
      </c>
      <c r="L4" s="24" t="s">
        <v>201</v>
      </c>
      <c r="M4" s="24" t="s">
        <v>202</v>
      </c>
      <c r="N4" s="25" t="s">
        <v>203</v>
      </c>
      <c r="O4" s="24" t="s">
        <v>204</v>
      </c>
      <c r="P4" s="24" t="s">
        <v>205</v>
      </c>
      <c r="Q4" s="24" t="s">
        <v>206</v>
      </c>
      <c r="R4" s="25" t="s">
        <v>207</v>
      </c>
      <c r="S4" s="24" t="s">
        <v>208</v>
      </c>
      <c r="T4" s="24" t="s">
        <v>209</v>
      </c>
      <c r="U4" s="24" t="s">
        <v>210</v>
      </c>
      <c r="V4" s="25" t="s">
        <v>428</v>
      </c>
      <c r="W4" s="24" t="s">
        <v>435</v>
      </c>
    </row>
    <row r="5" spans="1:23" s="328" customFormat="1" x14ac:dyDescent="0.35"/>
    <row r="6" spans="1:23" ht="7.5" customHeight="1" x14ac:dyDescent="0.35">
      <c r="C6" s="18"/>
      <c r="D6" s="18"/>
      <c r="E6" s="18"/>
      <c r="F6" s="19"/>
      <c r="G6" s="18"/>
      <c r="H6" s="18"/>
      <c r="I6" s="18"/>
      <c r="J6" s="19"/>
      <c r="K6" s="18"/>
      <c r="L6" s="18"/>
      <c r="M6" s="18"/>
      <c r="N6" s="19"/>
      <c r="O6" s="18"/>
      <c r="P6" s="18"/>
      <c r="Q6" s="18"/>
      <c r="R6" s="19"/>
      <c r="S6" s="18"/>
      <c r="T6" s="18"/>
      <c r="U6" s="18"/>
      <c r="V6" s="19"/>
      <c r="W6" s="18"/>
    </row>
    <row r="7" spans="1:23" s="56" customFormat="1" x14ac:dyDescent="0.35">
      <c r="B7" s="168"/>
      <c r="C7" s="169"/>
      <c r="D7" s="169"/>
      <c r="E7" s="169"/>
      <c r="F7" s="170"/>
      <c r="G7" s="169"/>
      <c r="H7" s="169"/>
      <c r="I7" s="169"/>
      <c r="J7" s="170"/>
      <c r="K7" s="169"/>
      <c r="L7" s="169"/>
      <c r="M7" s="169"/>
      <c r="N7" s="170"/>
      <c r="O7" s="169"/>
      <c r="P7" s="169"/>
      <c r="Q7" s="169"/>
      <c r="R7" s="170"/>
      <c r="S7" s="169"/>
      <c r="T7" s="169"/>
      <c r="U7" s="169"/>
      <c r="V7" s="170"/>
      <c r="W7" s="169"/>
    </row>
    <row r="8" spans="1:23" s="56" customFormat="1" ht="6.75" customHeight="1" x14ac:dyDescent="0.35">
      <c r="B8" s="104"/>
      <c r="C8" s="171"/>
      <c r="D8" s="171"/>
      <c r="E8" s="171"/>
      <c r="F8" s="172"/>
      <c r="G8" s="171"/>
      <c r="H8" s="171"/>
      <c r="I8" s="171"/>
      <c r="J8" s="172"/>
      <c r="K8" s="171"/>
      <c r="L8" s="171"/>
      <c r="M8" s="171"/>
      <c r="N8" s="172"/>
      <c r="O8" s="171"/>
      <c r="P8" s="171"/>
      <c r="Q8" s="171"/>
      <c r="R8" s="172"/>
      <c r="S8" s="171"/>
      <c r="T8" s="171"/>
      <c r="U8" s="171"/>
      <c r="V8" s="172"/>
      <c r="W8" s="171"/>
    </row>
    <row r="9" spans="1:23" x14ac:dyDescent="0.35">
      <c r="B9" s="173" t="s">
        <v>356</v>
      </c>
      <c r="C9" s="174"/>
      <c r="D9" s="175"/>
      <c r="E9" s="175"/>
      <c r="F9" s="176"/>
      <c r="G9" s="175"/>
      <c r="H9" s="175"/>
      <c r="I9" s="175"/>
      <c r="J9" s="176"/>
      <c r="K9" s="175"/>
      <c r="L9" s="175"/>
      <c r="M9" s="175"/>
      <c r="N9" s="176"/>
      <c r="O9" s="175"/>
      <c r="P9" s="175"/>
      <c r="Q9" s="175"/>
      <c r="R9" s="176"/>
      <c r="S9" s="175"/>
      <c r="T9" s="177"/>
      <c r="U9" s="175"/>
      <c r="V9" s="176"/>
      <c r="W9" s="175"/>
    </row>
    <row r="10" spans="1:23" s="56" customFormat="1" x14ac:dyDescent="0.35">
      <c r="B10" s="104"/>
      <c r="C10" s="171"/>
      <c r="D10" s="171"/>
      <c r="E10" s="171"/>
      <c r="F10" s="172"/>
      <c r="G10" s="171"/>
      <c r="H10" s="171"/>
      <c r="I10" s="171"/>
      <c r="J10" s="172"/>
      <c r="K10" s="171"/>
      <c r="L10" s="171"/>
      <c r="M10" s="171"/>
      <c r="N10" s="172"/>
      <c r="O10" s="171"/>
      <c r="P10" s="171"/>
      <c r="Q10" s="171"/>
      <c r="R10" s="172"/>
      <c r="S10" s="171"/>
      <c r="T10" s="171"/>
      <c r="U10" s="171"/>
      <c r="V10" s="172"/>
    </row>
    <row r="11" spans="1:23" s="180" customFormat="1" ht="17.5" x14ac:dyDescent="0.35">
      <c r="B11" s="209" t="s">
        <v>250</v>
      </c>
      <c r="C11" s="210">
        <v>3.0000000000000001E-3</v>
      </c>
      <c r="D11" s="211">
        <v>8.0000000000000002E-3</v>
      </c>
      <c r="E11" s="211">
        <v>1.6E-2</v>
      </c>
      <c r="F11" s="211">
        <v>2.5999999999999999E-2</v>
      </c>
      <c r="G11" s="210">
        <v>1.9E-2</v>
      </c>
      <c r="H11" s="211">
        <v>1.6E-2</v>
      </c>
      <c r="I11" s="211">
        <v>2.1000000000000001E-2</v>
      </c>
      <c r="J11" s="211">
        <v>1.6E-2</v>
      </c>
      <c r="K11" s="210">
        <v>0.01</v>
      </c>
      <c r="L11" s="211">
        <v>1.2999999999999999E-2</v>
      </c>
      <c r="M11" s="211">
        <v>1.0999999999999999E-2</v>
      </c>
      <c r="N11" s="211">
        <v>1.4E-2</v>
      </c>
      <c r="O11" s="210">
        <v>-1E-3</v>
      </c>
      <c r="P11" s="211">
        <v>-0.107</v>
      </c>
      <c r="Q11" s="212">
        <v>-3.6999999999999998E-2</v>
      </c>
      <c r="R11" s="211">
        <v>-8.9999999999999993E-3</v>
      </c>
      <c r="S11" s="213">
        <v>1.2999999999999999E-2</v>
      </c>
      <c r="T11" s="213">
        <v>0.123</v>
      </c>
      <c r="U11" s="213">
        <v>0.04</v>
      </c>
      <c r="V11" s="211">
        <v>1.6E-2</v>
      </c>
      <c r="W11" s="213"/>
    </row>
    <row r="12" spans="1:23" s="214" customFormat="1" ht="17.5" x14ac:dyDescent="0.35">
      <c r="B12" s="320" t="s">
        <v>357</v>
      </c>
      <c r="C12" s="215"/>
      <c r="D12" s="215"/>
      <c r="E12" s="215"/>
      <c r="F12" s="216"/>
      <c r="G12" s="215"/>
      <c r="H12" s="215"/>
      <c r="I12" s="215"/>
      <c r="J12" s="216"/>
      <c r="K12" s="215"/>
      <c r="L12" s="215"/>
      <c r="M12" s="215"/>
      <c r="N12" s="216"/>
      <c r="O12" s="215"/>
      <c r="P12" s="215"/>
      <c r="Q12" s="215"/>
      <c r="R12" s="216"/>
      <c r="S12" s="215"/>
      <c r="T12" s="217"/>
      <c r="U12" s="215"/>
      <c r="V12" s="216"/>
    </row>
    <row r="13" spans="1:23" s="180" customFormat="1" ht="17.5" x14ac:dyDescent="0.35">
      <c r="B13" s="209" t="s">
        <v>10</v>
      </c>
      <c r="C13" s="210">
        <v>4.5711051156818838E-2</v>
      </c>
      <c r="D13" s="211">
        <v>2.9985569924055655E-2</v>
      </c>
      <c r="E13" s="211">
        <v>2.5376909332922803E-2</v>
      </c>
      <c r="F13" s="211">
        <v>2.9474213204347066E-2</v>
      </c>
      <c r="G13" s="210">
        <v>2.6808027890635966E-2</v>
      </c>
      <c r="H13" s="211">
        <v>4.3911039739087387E-2</v>
      </c>
      <c r="I13" s="211">
        <v>4.5259760164416463E-2</v>
      </c>
      <c r="J13" s="211">
        <v>3.7455811701915476E-2</v>
      </c>
      <c r="K13" s="210">
        <v>4.5752835314434748E-2</v>
      </c>
      <c r="L13" s="211">
        <v>3.3662671524801624E-2</v>
      </c>
      <c r="M13" s="211">
        <v>2.8934248931768991E-2</v>
      </c>
      <c r="N13" s="211">
        <v>4.306151617159526E-2</v>
      </c>
      <c r="O13" s="210">
        <v>3.303157719890204E-2</v>
      </c>
      <c r="P13" s="211">
        <v>2.1324173853674466E-2</v>
      </c>
      <c r="Q13" s="212">
        <v>3.1353293138274951E-2</v>
      </c>
      <c r="R13" s="211">
        <v>4.517456886424509E-2</v>
      </c>
      <c r="S13" s="213">
        <v>6.0994785444116184E-2</v>
      </c>
      <c r="T13" s="213">
        <v>8.3470723655796775E-2</v>
      </c>
      <c r="U13" s="213">
        <v>0.10246394955255722</v>
      </c>
      <c r="V13" s="211">
        <v>0.10059999999999999</v>
      </c>
      <c r="W13" s="211"/>
    </row>
    <row r="14" spans="1:23" x14ac:dyDescent="0.35">
      <c r="B14" s="320" t="s">
        <v>358</v>
      </c>
      <c r="C14" s="56"/>
      <c r="D14" s="32"/>
      <c r="E14" s="32"/>
      <c r="F14" s="33"/>
      <c r="G14" s="32"/>
      <c r="H14" s="32"/>
      <c r="I14" s="32"/>
      <c r="J14" s="33"/>
      <c r="K14" s="32"/>
      <c r="L14" s="32"/>
      <c r="M14" s="32"/>
      <c r="N14" s="33"/>
      <c r="O14" s="32"/>
      <c r="P14" s="32"/>
      <c r="Q14" s="32"/>
      <c r="R14" s="33"/>
      <c r="S14" s="32"/>
      <c r="T14" s="188"/>
      <c r="U14" s="32"/>
      <c r="V14" s="33"/>
      <c r="W14" s="33"/>
    </row>
    <row r="15" spans="1:23" s="180" customFormat="1" ht="17.5" x14ac:dyDescent="0.35">
      <c r="B15" s="209" t="s">
        <v>39</v>
      </c>
      <c r="C15" s="210">
        <v>0.1225</v>
      </c>
      <c r="D15" s="211">
        <v>0.10249999999999999</v>
      </c>
      <c r="E15" s="211">
        <v>8.2500000000000004E-2</v>
      </c>
      <c r="F15" s="211">
        <v>7.0000000000000007E-2</v>
      </c>
      <c r="G15" s="210">
        <v>6.5000000000000002E-2</v>
      </c>
      <c r="H15" s="211">
        <v>6.5000000000000002E-2</v>
      </c>
      <c r="I15" s="211">
        <v>6.5000000000000002E-2</v>
      </c>
      <c r="J15" s="211">
        <v>6.5000000000000002E-2</v>
      </c>
      <c r="K15" s="210">
        <v>6.5000000000000002E-2</v>
      </c>
      <c r="L15" s="211">
        <v>6.5000000000000002E-2</v>
      </c>
      <c r="M15" s="211">
        <v>5.5E-2</v>
      </c>
      <c r="N15" s="211">
        <v>4.4999999999999998E-2</v>
      </c>
      <c r="O15" s="210">
        <v>3.7499999999999999E-2</v>
      </c>
      <c r="P15" s="211">
        <v>2.2499999999999999E-2</v>
      </c>
      <c r="Q15" s="212">
        <v>0.02</v>
      </c>
      <c r="R15" s="211">
        <v>0.02</v>
      </c>
      <c r="S15" s="213">
        <v>2.75E-2</v>
      </c>
      <c r="T15" s="213">
        <v>4.2500000000000003E-2</v>
      </c>
      <c r="U15" s="213">
        <v>6.25E-2</v>
      </c>
      <c r="V15" s="211">
        <v>9.1499999999999998E-2</v>
      </c>
      <c r="W15" s="211"/>
    </row>
    <row r="16" spans="1:23" x14ac:dyDescent="0.35">
      <c r="B16" s="320" t="s">
        <v>358</v>
      </c>
      <c r="C16" s="56"/>
      <c r="D16" s="32"/>
      <c r="E16" s="32"/>
      <c r="F16" s="33"/>
      <c r="G16" s="32"/>
      <c r="H16" s="32"/>
      <c r="I16" s="32"/>
      <c r="J16" s="33"/>
      <c r="K16" s="32"/>
      <c r="L16" s="32"/>
      <c r="M16" s="32"/>
      <c r="N16" s="33"/>
      <c r="O16" s="32"/>
      <c r="P16" s="32"/>
      <c r="Q16" s="32"/>
      <c r="R16" s="33"/>
      <c r="S16" s="32"/>
      <c r="T16" s="188"/>
      <c r="U16" s="32"/>
      <c r="V16" s="33"/>
      <c r="W16" s="33"/>
    </row>
    <row r="17" spans="1:23" s="180" customFormat="1" ht="17.5" x14ac:dyDescent="0.35">
      <c r="B17" s="209" t="s">
        <v>28</v>
      </c>
      <c r="C17" s="218">
        <v>3.1418999999999997</v>
      </c>
      <c r="D17" s="219">
        <v>3.2140333333333331</v>
      </c>
      <c r="E17" s="219">
        <v>3.1630666666666669</v>
      </c>
      <c r="F17" s="219">
        <v>3.2480333333333333</v>
      </c>
      <c r="G17" s="218">
        <v>3.2439666666666667</v>
      </c>
      <c r="H17" s="219">
        <v>3.6088333333333331</v>
      </c>
      <c r="I17" s="219">
        <v>3.956433333333333</v>
      </c>
      <c r="J17" s="219">
        <v>3.8142333333333336</v>
      </c>
      <c r="K17" s="218">
        <v>3.7681333333333336</v>
      </c>
      <c r="L17" s="219">
        <v>3.9183999999999997</v>
      </c>
      <c r="M17" s="219">
        <v>3.9797666666666665</v>
      </c>
      <c r="N17" s="219">
        <v>4.1183000000000005</v>
      </c>
      <c r="O17" s="218">
        <v>4.4665333333333335</v>
      </c>
      <c r="P17" s="219">
        <v>5.3896333333333333</v>
      </c>
      <c r="Q17" s="220">
        <v>5.3844333333333338</v>
      </c>
      <c r="R17" s="219">
        <v>5.4013</v>
      </c>
      <c r="S17" s="221">
        <v>5.4738000000000007</v>
      </c>
      <c r="T17" s="221">
        <v>5.2923</v>
      </c>
      <c r="U17" s="221">
        <v>5.2330666666666668</v>
      </c>
      <c r="V17" s="219" t="s">
        <v>429</v>
      </c>
      <c r="W17" s="219"/>
    </row>
    <row r="18" spans="1:23" s="22" customFormat="1" x14ac:dyDescent="0.35">
      <c r="A18" s="71"/>
      <c r="B18" s="320" t="s">
        <v>358</v>
      </c>
      <c r="C18" s="56"/>
      <c r="D18" s="32"/>
      <c r="E18" s="32"/>
      <c r="F18" s="33"/>
      <c r="G18" s="32"/>
      <c r="H18" s="32"/>
      <c r="I18" s="32"/>
      <c r="J18" s="33"/>
      <c r="K18" s="32"/>
      <c r="L18" s="32"/>
      <c r="M18" s="32"/>
      <c r="N18" s="33"/>
      <c r="O18" s="32"/>
      <c r="P18" s="32"/>
      <c r="Q18" s="32"/>
      <c r="R18" s="33"/>
      <c r="S18" s="32"/>
      <c r="T18" s="69"/>
      <c r="U18" s="32"/>
      <c r="V18" s="33"/>
      <c r="W18" s="33"/>
    </row>
    <row r="19" spans="1:23" s="180" customFormat="1" ht="17.5" x14ac:dyDescent="0.35">
      <c r="B19" s="209" t="s">
        <v>354</v>
      </c>
      <c r="C19" s="210">
        <v>7.4999999999999997E-2</v>
      </c>
      <c r="D19" s="211">
        <v>7.0000000000000007E-2</v>
      </c>
      <c r="E19" s="211">
        <v>7.0000000000000007E-2</v>
      </c>
      <c r="F19" s="211">
        <v>7.0000000000000007E-2</v>
      </c>
      <c r="G19" s="210">
        <v>6.7500000000000004E-2</v>
      </c>
      <c r="H19" s="211">
        <v>6.6000000000000003E-2</v>
      </c>
      <c r="I19" s="211">
        <v>6.5599999999999992E-2</v>
      </c>
      <c r="J19" s="211">
        <v>6.9800000000000001E-2</v>
      </c>
      <c r="K19" s="210">
        <v>7.0300000000000001E-2</v>
      </c>
      <c r="L19" s="211">
        <v>6.2600000000000003E-2</v>
      </c>
      <c r="M19" s="211">
        <v>5.9500000000000004E-2</v>
      </c>
      <c r="N19" s="211">
        <v>5.57E-2</v>
      </c>
      <c r="O19" s="210">
        <v>5.0900000000000001E-2</v>
      </c>
      <c r="P19" s="211">
        <v>4.9400000000000006E-2</v>
      </c>
      <c r="Q19" s="212">
        <v>4.9100000000000005E-2</v>
      </c>
      <c r="R19" s="211">
        <v>4.5499999999999999E-2</v>
      </c>
      <c r="S19" s="213">
        <v>4.3899999999999995E-2</v>
      </c>
      <c r="T19" s="213">
        <v>4.6100000000000002E-2</v>
      </c>
      <c r="U19" s="213">
        <v>4.8799999999999996E-2</v>
      </c>
      <c r="V19" s="211">
        <v>5.3199999999999997E-2</v>
      </c>
      <c r="W19" s="211"/>
    </row>
    <row r="20" spans="1:23" s="22" customFormat="1" x14ac:dyDescent="0.35">
      <c r="A20" s="71"/>
      <c r="B20" s="56"/>
      <c r="C20" s="56"/>
      <c r="D20" s="32"/>
      <c r="E20" s="32"/>
      <c r="F20" s="33"/>
      <c r="G20" s="32"/>
      <c r="H20" s="32"/>
      <c r="I20" s="32"/>
      <c r="J20" s="33"/>
      <c r="K20" s="32"/>
      <c r="L20" s="32"/>
      <c r="M20" s="32"/>
      <c r="N20" s="33"/>
      <c r="O20" s="32"/>
      <c r="P20" s="32"/>
      <c r="Q20" s="32"/>
      <c r="R20" s="33"/>
      <c r="S20" s="32"/>
      <c r="T20" s="69"/>
      <c r="U20" s="32"/>
      <c r="V20" s="33"/>
    </row>
    <row r="21" spans="1:23" x14ac:dyDescent="0.35">
      <c r="B21" s="327" t="s">
        <v>353</v>
      </c>
    </row>
    <row r="22" spans="1:23" x14ac:dyDescent="0.35">
      <c r="B22" s="222" t="s">
        <v>355</v>
      </c>
    </row>
  </sheetData>
  <phoneticPr fontId="96"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74D18-CC53-4273-8831-B37C356CD8E4}">
  <sheetPr codeName="Planilha15">
    <tabColor rgb="FFFFC000"/>
  </sheetPr>
  <dimension ref="A1:AB290"/>
  <sheetViews>
    <sheetView showGridLines="0" zoomScale="70" zoomScaleNormal="70" workbookViewId="0">
      <pane xSplit="2" ySplit="4" topLeftCell="C31" activePane="bottomRight" state="frozen"/>
      <selection pane="topRight"/>
      <selection pane="bottomLeft"/>
      <selection pane="bottomRight"/>
    </sheetView>
  </sheetViews>
  <sheetFormatPr defaultColWidth="9.1796875" defaultRowHeight="15.5" outlineLevelRow="1" x14ac:dyDescent="0.35"/>
  <cols>
    <col min="1" max="1" width="1.453125" style="71" customWidth="1"/>
    <col min="2" max="2" width="124.453125" style="56" customWidth="1"/>
    <col min="3" max="3" width="35.7265625" style="56" hidden="1" customWidth="1"/>
    <col min="4" max="4" width="35.7265625" style="71" hidden="1" customWidth="1"/>
    <col min="5" max="5" width="35.7265625" style="249" hidden="1" customWidth="1"/>
    <col min="6" max="7" width="35.7265625" style="22" hidden="1" customWidth="1"/>
    <col min="8" max="9" width="35.7265625" style="22" customWidth="1"/>
    <col min="10" max="10" width="11.453125" style="22" customWidth="1"/>
    <col min="11" max="11" width="57.7265625" style="149" customWidth="1"/>
    <col min="12" max="12" width="15.54296875" style="149" bestFit="1" customWidth="1"/>
    <col min="13" max="14" width="29.54296875" style="149" customWidth="1"/>
    <col min="15" max="15" width="29.54296875" style="71" customWidth="1"/>
    <col min="16" max="16" width="27.453125" style="71" customWidth="1"/>
    <col min="17" max="17" width="22.54296875" style="71" customWidth="1"/>
    <col min="18" max="18" width="20.36328125" style="71" bestFit="1" customWidth="1"/>
    <col min="19" max="19" width="25.7265625" style="71" bestFit="1" customWidth="1"/>
    <col min="20" max="20" width="19.54296875" style="71" bestFit="1" customWidth="1"/>
    <col min="21" max="16384" width="9.1796875" style="71"/>
  </cols>
  <sheetData>
    <row r="1" spans="1:14" ht="41.25" customHeight="1" x14ac:dyDescent="0.35">
      <c r="A1" s="166"/>
      <c r="C1" s="223"/>
      <c r="D1" s="70"/>
      <c r="E1" s="224"/>
      <c r="F1" s="18"/>
      <c r="G1" s="18"/>
      <c r="H1" s="223"/>
      <c r="I1" s="223"/>
      <c r="J1" s="70"/>
    </row>
    <row r="2" spans="1:14" ht="18" x14ac:dyDescent="0.3">
      <c r="B2" s="57" t="s">
        <v>443</v>
      </c>
      <c r="C2" s="57"/>
      <c r="D2" s="150"/>
      <c r="E2" s="150"/>
      <c r="F2" s="150"/>
      <c r="G2" s="150"/>
      <c r="H2" s="150"/>
      <c r="I2" s="150"/>
      <c r="J2" s="127"/>
    </row>
    <row r="3" spans="1:14" ht="14.25" customHeight="1" x14ac:dyDescent="0.35">
      <c r="D3" s="22"/>
      <c r="E3" s="23"/>
      <c r="J3" s="71"/>
      <c r="K3" s="71"/>
      <c r="L3" s="71"/>
      <c r="M3" s="71"/>
      <c r="N3" s="71"/>
    </row>
    <row r="4" spans="1:14" x14ac:dyDescent="0.35">
      <c r="B4" s="225"/>
      <c r="C4" s="226">
        <v>2017</v>
      </c>
      <c r="D4" s="226">
        <v>2018</v>
      </c>
      <c r="E4" s="226">
        <v>2019</v>
      </c>
      <c r="F4" s="226">
        <v>2020</v>
      </c>
      <c r="G4" s="226">
        <v>2021</v>
      </c>
      <c r="H4" s="226">
        <v>2022</v>
      </c>
      <c r="I4" s="226">
        <v>2023</v>
      </c>
      <c r="J4" s="71"/>
      <c r="K4" s="227"/>
      <c r="L4" s="227"/>
      <c r="M4" s="227"/>
      <c r="N4" s="227"/>
    </row>
    <row r="5" spans="1:14" ht="7.5" customHeight="1" x14ac:dyDescent="0.35">
      <c r="D5" s="19"/>
      <c r="E5" s="228"/>
      <c r="F5" s="18"/>
      <c r="G5" s="18"/>
      <c r="H5" s="18"/>
      <c r="I5" s="18"/>
      <c r="J5" s="71"/>
      <c r="K5" s="71"/>
      <c r="L5" s="71"/>
      <c r="M5" s="71"/>
      <c r="N5" s="71"/>
    </row>
    <row r="6" spans="1:14" s="56" customFormat="1" x14ac:dyDescent="0.35">
      <c r="B6" s="168" t="s">
        <v>2</v>
      </c>
      <c r="C6" s="168"/>
      <c r="D6" s="170"/>
      <c r="E6" s="229"/>
      <c r="F6" s="169"/>
      <c r="G6" s="169"/>
      <c r="H6" s="169"/>
      <c r="I6" s="169"/>
    </row>
    <row r="7" spans="1:14" s="56" customFormat="1" ht="14.25" customHeight="1" x14ac:dyDescent="0.35">
      <c r="B7" s="104"/>
      <c r="C7" s="104"/>
      <c r="D7" s="172"/>
      <c r="E7" s="230"/>
      <c r="F7" s="171"/>
      <c r="G7" s="171"/>
      <c r="H7" s="171"/>
      <c r="I7" s="171"/>
    </row>
    <row r="8" spans="1:14" ht="18" x14ac:dyDescent="0.4">
      <c r="A8" s="231"/>
      <c r="B8" s="232" t="s">
        <v>303</v>
      </c>
      <c r="C8" s="233"/>
      <c r="D8" s="234"/>
      <c r="E8" s="234"/>
      <c r="F8" s="235"/>
      <c r="G8" s="235"/>
      <c r="H8" s="235"/>
      <c r="I8" s="235"/>
    </row>
    <row r="9" spans="1:14" ht="7.5" customHeight="1" x14ac:dyDescent="0.4">
      <c r="B9" s="236"/>
      <c r="C9" s="237"/>
      <c r="D9" s="238"/>
      <c r="E9" s="238"/>
      <c r="F9" s="239"/>
      <c r="G9" s="239"/>
      <c r="H9" s="239"/>
      <c r="I9" s="239"/>
    </row>
    <row r="10" spans="1:14" outlineLevel="1" x14ac:dyDescent="0.3">
      <c r="A10" s="240"/>
      <c r="B10" s="241" t="s">
        <v>533</v>
      </c>
      <c r="C10" s="241"/>
      <c r="D10" s="241"/>
      <c r="E10" s="242"/>
      <c r="F10" s="242"/>
      <c r="G10" s="242"/>
      <c r="H10" s="242"/>
      <c r="I10" s="242"/>
    </row>
    <row r="11" spans="1:14" ht="10.5" customHeight="1" outlineLevel="1" x14ac:dyDescent="0.35">
      <c r="B11" s="243"/>
      <c r="C11" s="243"/>
      <c r="D11" s="238"/>
      <c r="E11" s="238"/>
      <c r="F11" s="239"/>
      <c r="G11" s="239"/>
      <c r="H11" s="239"/>
      <c r="I11" s="239"/>
    </row>
    <row r="12" spans="1:14" outlineLevel="1" x14ac:dyDescent="0.3">
      <c r="B12" s="244" t="s">
        <v>254</v>
      </c>
      <c r="C12" s="244"/>
      <c r="D12" s="245"/>
      <c r="E12" s="31"/>
      <c r="F12" s="31"/>
      <c r="G12" s="31"/>
      <c r="H12" s="31"/>
      <c r="I12" s="31"/>
    </row>
    <row r="13" spans="1:14" s="22" customFormat="1" outlineLevel="1" x14ac:dyDescent="0.35">
      <c r="A13" s="71"/>
      <c r="B13" s="246" t="s">
        <v>252</v>
      </c>
      <c r="C13" s="246"/>
      <c r="D13" s="56"/>
      <c r="E13" s="230">
        <v>3262</v>
      </c>
      <c r="F13" s="171">
        <v>2459</v>
      </c>
      <c r="G13" s="171">
        <v>2419</v>
      </c>
      <c r="H13" s="171">
        <v>2378</v>
      </c>
      <c r="I13" s="171">
        <v>2485</v>
      </c>
      <c r="K13" s="149"/>
      <c r="L13" s="149"/>
      <c r="M13" s="149"/>
      <c r="N13" s="149"/>
    </row>
    <row r="14" spans="1:14" s="22" customFormat="1" outlineLevel="1" x14ac:dyDescent="0.35">
      <c r="A14" s="71"/>
      <c r="B14" s="246" t="s">
        <v>253</v>
      </c>
      <c r="C14" s="246"/>
      <c r="D14" s="56"/>
      <c r="E14" s="230">
        <v>1218</v>
      </c>
      <c r="F14" s="171">
        <v>911</v>
      </c>
      <c r="G14" s="171">
        <v>958</v>
      </c>
      <c r="H14" s="171">
        <v>986</v>
      </c>
      <c r="I14" s="171">
        <v>1041</v>
      </c>
      <c r="K14" s="149"/>
      <c r="L14" s="149"/>
      <c r="M14" s="149"/>
      <c r="N14" s="149"/>
    </row>
    <row r="15" spans="1:14" ht="8.25" customHeight="1" outlineLevel="1" x14ac:dyDescent="0.35">
      <c r="B15" s="189"/>
      <c r="C15" s="189"/>
      <c r="D15" s="247"/>
      <c r="E15" s="248"/>
      <c r="F15" s="32"/>
      <c r="G15" s="32"/>
      <c r="H15" s="32"/>
      <c r="I15" s="32"/>
    </row>
    <row r="16" spans="1:14" outlineLevel="1" x14ac:dyDescent="0.3">
      <c r="B16" s="244" t="s">
        <v>255</v>
      </c>
      <c r="C16" s="244"/>
      <c r="D16" s="245"/>
      <c r="E16" s="31"/>
      <c r="F16" s="31"/>
      <c r="G16" s="31"/>
      <c r="H16" s="31"/>
      <c r="I16" s="31"/>
    </row>
    <row r="17" spans="1:20" s="22" customFormat="1" outlineLevel="1" x14ac:dyDescent="0.35">
      <c r="A17" s="71"/>
      <c r="B17" s="246" t="s">
        <v>256</v>
      </c>
      <c r="C17" s="246"/>
      <c r="D17" s="56"/>
      <c r="E17" s="230">
        <v>474</v>
      </c>
      <c r="F17" s="171">
        <v>224</v>
      </c>
      <c r="G17" s="171">
        <v>189</v>
      </c>
      <c r="H17" s="171">
        <v>229</v>
      </c>
      <c r="I17" s="171">
        <v>221</v>
      </c>
      <c r="K17" s="149"/>
      <c r="L17" s="149"/>
      <c r="M17" s="149"/>
      <c r="N17" s="149"/>
    </row>
    <row r="18" spans="1:20" s="22" customFormat="1" outlineLevel="1" x14ac:dyDescent="0.35">
      <c r="A18" s="71"/>
      <c r="B18" s="246" t="s">
        <v>257</v>
      </c>
      <c r="C18" s="246"/>
      <c r="D18" s="56"/>
      <c r="E18" s="230">
        <v>461</v>
      </c>
      <c r="F18" s="171">
        <v>498</v>
      </c>
      <c r="G18" s="171">
        <v>429</v>
      </c>
      <c r="H18" s="171">
        <v>519</v>
      </c>
      <c r="I18" s="171">
        <v>508</v>
      </c>
      <c r="K18" s="149"/>
      <c r="L18" s="149"/>
      <c r="M18" s="149"/>
      <c r="N18" s="149"/>
    </row>
    <row r="19" spans="1:20" s="22" customFormat="1" outlineLevel="1" x14ac:dyDescent="0.35">
      <c r="A19" s="71"/>
      <c r="B19" s="246" t="s">
        <v>258</v>
      </c>
      <c r="C19" s="246"/>
      <c r="D19" s="56"/>
      <c r="E19" s="230">
        <v>297</v>
      </c>
      <c r="F19" s="171">
        <v>222</v>
      </c>
      <c r="G19" s="171">
        <v>184</v>
      </c>
      <c r="H19" s="171">
        <v>215</v>
      </c>
      <c r="I19" s="171">
        <v>228</v>
      </c>
      <c r="K19" s="149"/>
      <c r="L19" s="149"/>
      <c r="M19" s="149"/>
      <c r="N19" s="149"/>
    </row>
    <row r="20" spans="1:20" outlineLevel="1" x14ac:dyDescent="0.35">
      <c r="B20" s="246" t="s">
        <v>259</v>
      </c>
      <c r="C20" s="246"/>
      <c r="E20" s="230">
        <v>2913</v>
      </c>
      <c r="F20" s="171">
        <v>2219</v>
      </c>
      <c r="G20" s="171">
        <v>2411</v>
      </c>
      <c r="H20" s="171">
        <v>2198</v>
      </c>
      <c r="I20" s="171">
        <v>2365</v>
      </c>
    </row>
    <row r="21" spans="1:20" outlineLevel="1" x14ac:dyDescent="0.35">
      <c r="B21" s="246" t="s">
        <v>260</v>
      </c>
      <c r="C21" s="246"/>
      <c r="E21" s="230">
        <v>335</v>
      </c>
      <c r="F21" s="171">
        <v>207</v>
      </c>
      <c r="G21" s="171">
        <v>164</v>
      </c>
      <c r="H21" s="171">
        <v>203</v>
      </c>
      <c r="I21" s="171">
        <v>204</v>
      </c>
    </row>
    <row r="22" spans="1:20" ht="9.75" customHeight="1" outlineLevel="1" x14ac:dyDescent="0.35"/>
    <row r="23" spans="1:20" outlineLevel="1" x14ac:dyDescent="0.3">
      <c r="B23" s="244" t="s">
        <v>261</v>
      </c>
      <c r="C23" s="244"/>
      <c r="D23" s="245"/>
      <c r="E23" s="31"/>
      <c r="F23" s="31"/>
      <c r="G23" s="31"/>
      <c r="H23" s="31"/>
      <c r="I23" s="31"/>
    </row>
    <row r="24" spans="1:20" outlineLevel="1" x14ac:dyDescent="0.35">
      <c r="B24" s="246" t="s">
        <v>262</v>
      </c>
      <c r="C24" s="246"/>
      <c r="E24" s="230">
        <v>5</v>
      </c>
      <c r="F24" s="171">
        <v>9</v>
      </c>
      <c r="G24" s="566" t="s">
        <v>468</v>
      </c>
      <c r="H24" s="566" t="s">
        <v>468</v>
      </c>
      <c r="I24" s="566" t="s">
        <v>468</v>
      </c>
    </row>
    <row r="25" spans="1:20" outlineLevel="1" x14ac:dyDescent="0.35">
      <c r="B25" s="246" t="s">
        <v>263</v>
      </c>
      <c r="C25" s="246"/>
      <c r="E25" s="230">
        <v>250</v>
      </c>
      <c r="F25" s="171">
        <v>132</v>
      </c>
      <c r="G25" s="567"/>
      <c r="H25" s="567"/>
      <c r="I25" s="567"/>
      <c r="K25" s="343" t="s">
        <v>467</v>
      </c>
      <c r="L25" s="592">
        <v>2021</v>
      </c>
      <c r="M25" s="592"/>
      <c r="N25" s="593"/>
      <c r="O25" s="560">
        <v>2022</v>
      </c>
      <c r="P25" s="561"/>
      <c r="Q25" s="562"/>
      <c r="R25" s="569">
        <v>2023</v>
      </c>
      <c r="S25" s="570"/>
      <c r="T25" s="571"/>
    </row>
    <row r="26" spans="1:20" outlineLevel="1" x14ac:dyDescent="0.35">
      <c r="B26" s="246" t="s">
        <v>264</v>
      </c>
      <c r="C26" s="246"/>
      <c r="E26" s="230">
        <v>46</v>
      </c>
      <c r="F26" s="171">
        <v>89</v>
      </c>
      <c r="G26" s="567"/>
      <c r="H26" s="567"/>
      <c r="I26" s="567"/>
      <c r="K26" s="467" t="s">
        <v>469</v>
      </c>
      <c r="L26" s="594"/>
      <c r="M26" s="594"/>
      <c r="N26" s="595"/>
      <c r="O26" s="563"/>
      <c r="P26" s="564"/>
      <c r="Q26" s="565"/>
      <c r="R26" s="572"/>
      <c r="S26" s="573"/>
      <c r="T26" s="574"/>
    </row>
    <row r="27" spans="1:20" outlineLevel="1" x14ac:dyDescent="0.35">
      <c r="B27" s="246" t="s">
        <v>265</v>
      </c>
      <c r="C27" s="246"/>
      <c r="E27" s="230">
        <v>37</v>
      </c>
      <c r="F27" s="171"/>
      <c r="G27" s="567"/>
      <c r="H27" s="567"/>
      <c r="I27" s="567"/>
      <c r="K27" s="468"/>
      <c r="L27" s="469" t="s">
        <v>268</v>
      </c>
      <c r="M27" s="470" t="s">
        <v>269</v>
      </c>
      <c r="N27" s="471" t="s">
        <v>270</v>
      </c>
      <c r="O27" s="469" t="s">
        <v>268</v>
      </c>
      <c r="P27" s="472" t="s">
        <v>269</v>
      </c>
      <c r="Q27" s="473" t="s">
        <v>270</v>
      </c>
      <c r="R27" s="535" t="s">
        <v>268</v>
      </c>
      <c r="S27" s="536" t="s">
        <v>269</v>
      </c>
      <c r="T27" s="537" t="s">
        <v>270</v>
      </c>
    </row>
    <row r="28" spans="1:20" outlineLevel="1" x14ac:dyDescent="0.35">
      <c r="B28" s="246" t="s">
        <v>266</v>
      </c>
      <c r="C28" s="246"/>
      <c r="E28" s="230">
        <v>4142</v>
      </c>
      <c r="F28" s="171">
        <v>6530</v>
      </c>
      <c r="G28" s="567"/>
      <c r="H28" s="567"/>
      <c r="I28" s="567"/>
      <c r="J28" s="250"/>
      <c r="K28" s="345" t="s">
        <v>534</v>
      </c>
      <c r="L28" s="345"/>
      <c r="M28" s="345"/>
      <c r="N28" s="345"/>
      <c r="O28" s="474"/>
      <c r="P28" s="351">
        <v>0.5</v>
      </c>
      <c r="Q28" s="346">
        <v>0.5</v>
      </c>
      <c r="R28" s="530">
        <v>0</v>
      </c>
      <c r="S28" s="531">
        <v>0.625</v>
      </c>
      <c r="T28" s="531">
        <v>0.375</v>
      </c>
    </row>
    <row r="29" spans="1:20" outlineLevel="1" x14ac:dyDescent="0.35">
      <c r="B29" s="246"/>
      <c r="C29" s="246"/>
      <c r="E29" s="230"/>
      <c r="F29" s="171"/>
      <c r="G29" s="171"/>
      <c r="H29" s="171"/>
      <c r="I29" s="171"/>
      <c r="K29" s="345" t="s">
        <v>535</v>
      </c>
      <c r="L29" s="475">
        <v>0</v>
      </c>
      <c r="M29" s="475" t="s">
        <v>536</v>
      </c>
      <c r="N29" s="475" t="s">
        <v>537</v>
      </c>
      <c r="O29" s="347">
        <v>0</v>
      </c>
      <c r="P29" s="351">
        <v>0.83330000000000004</v>
      </c>
      <c r="Q29" s="346">
        <v>0.16669999999999999</v>
      </c>
      <c r="R29" s="530">
        <v>0</v>
      </c>
      <c r="S29" s="531">
        <v>0.78790000000000004</v>
      </c>
      <c r="T29" s="531">
        <v>0.21210000000000001</v>
      </c>
    </row>
    <row r="30" spans="1:20" outlineLevel="1" x14ac:dyDescent="0.35">
      <c r="B30" s="244" t="s">
        <v>267</v>
      </c>
      <c r="C30" s="244"/>
      <c r="D30" s="245"/>
      <c r="E30" s="31"/>
      <c r="F30" s="31"/>
      <c r="G30" s="31"/>
      <c r="H30" s="31"/>
      <c r="I30" s="31"/>
      <c r="K30" s="345" t="s">
        <v>538</v>
      </c>
      <c r="L30" s="475">
        <v>0</v>
      </c>
      <c r="M30" s="475" t="s">
        <v>539</v>
      </c>
      <c r="N30" s="475" t="s">
        <v>540</v>
      </c>
      <c r="O30" s="347">
        <v>0</v>
      </c>
      <c r="P30" s="351">
        <v>0.55559999999999998</v>
      </c>
      <c r="Q30" s="346">
        <v>0.44440000000000002</v>
      </c>
      <c r="R30" s="530">
        <v>0</v>
      </c>
      <c r="S30" s="531">
        <v>0.68179999999999996</v>
      </c>
      <c r="T30" s="531">
        <v>0.31819999999999998</v>
      </c>
    </row>
    <row r="31" spans="1:20" outlineLevel="1" x14ac:dyDescent="0.35">
      <c r="B31" s="246" t="s">
        <v>268</v>
      </c>
      <c r="C31" s="246"/>
      <c r="E31" s="230">
        <v>599</v>
      </c>
      <c r="F31" s="171">
        <v>963</v>
      </c>
      <c r="G31" s="566" t="s">
        <v>468</v>
      </c>
      <c r="H31" s="566" t="s">
        <v>468</v>
      </c>
      <c r="I31" s="566" t="s">
        <v>468</v>
      </c>
      <c r="K31" s="345" t="s">
        <v>541</v>
      </c>
      <c r="L31" s="475">
        <v>0</v>
      </c>
      <c r="M31" s="475" t="s">
        <v>542</v>
      </c>
      <c r="N31" s="475" t="s">
        <v>543</v>
      </c>
      <c r="O31" s="347">
        <v>0</v>
      </c>
      <c r="P31" s="351">
        <v>0.76319999999999999</v>
      </c>
      <c r="Q31" s="346">
        <v>0.23680000000000001</v>
      </c>
      <c r="R31" s="530">
        <v>0</v>
      </c>
      <c r="S31" s="531">
        <v>0.76229999999999998</v>
      </c>
      <c r="T31" s="531">
        <v>0.23769999999999999</v>
      </c>
    </row>
    <row r="32" spans="1:20" outlineLevel="1" x14ac:dyDescent="0.35">
      <c r="B32" s="246" t="s">
        <v>269</v>
      </c>
      <c r="C32" s="246"/>
      <c r="E32" s="230">
        <v>3237</v>
      </c>
      <c r="F32" s="171">
        <v>4876</v>
      </c>
      <c r="G32" s="567"/>
      <c r="H32" s="567"/>
      <c r="I32" s="567"/>
      <c r="K32" s="345" t="s">
        <v>544</v>
      </c>
      <c r="L32" s="475">
        <v>0</v>
      </c>
      <c r="M32" s="475">
        <v>0.8</v>
      </c>
      <c r="N32" s="475">
        <v>0.2</v>
      </c>
      <c r="O32" s="347">
        <v>0</v>
      </c>
      <c r="P32" s="351">
        <v>0.80700000000000005</v>
      </c>
      <c r="Q32" s="346">
        <v>0.193</v>
      </c>
      <c r="R32" s="532">
        <v>1.61E-2</v>
      </c>
      <c r="S32" s="531">
        <v>0.7742</v>
      </c>
      <c r="T32" s="531">
        <v>0.2097</v>
      </c>
    </row>
    <row r="33" spans="1:20" outlineLevel="1" x14ac:dyDescent="0.35">
      <c r="B33" s="366" t="s">
        <v>270</v>
      </c>
      <c r="C33" s="246"/>
      <c r="E33" s="230">
        <v>644</v>
      </c>
      <c r="F33" s="171">
        <v>921</v>
      </c>
      <c r="G33" s="567"/>
      <c r="H33" s="567"/>
      <c r="I33" s="567"/>
      <c r="K33" s="345" t="s">
        <v>545</v>
      </c>
      <c r="L33" s="475" t="s">
        <v>546</v>
      </c>
      <c r="M33" s="475" t="s">
        <v>547</v>
      </c>
      <c r="N33" s="475" t="s">
        <v>548</v>
      </c>
      <c r="O33" s="346">
        <v>0</v>
      </c>
      <c r="P33" s="351">
        <v>0.60870000000000002</v>
      </c>
      <c r="Q33" s="346">
        <v>0.39129999999999998</v>
      </c>
      <c r="R33" s="530">
        <v>0</v>
      </c>
      <c r="S33" s="531">
        <v>0.63639999999999997</v>
      </c>
      <c r="T33" s="531">
        <v>0.36359999999999998</v>
      </c>
    </row>
    <row r="34" spans="1:20" outlineLevel="1" x14ac:dyDescent="0.35">
      <c r="B34" s="246"/>
      <c r="C34" s="246"/>
      <c r="E34" s="172"/>
      <c r="F34" s="171"/>
      <c r="G34" s="465"/>
      <c r="H34" s="465"/>
      <c r="I34" s="465"/>
      <c r="K34" s="348" t="s">
        <v>266</v>
      </c>
      <c r="L34" s="476" t="s">
        <v>549</v>
      </c>
      <c r="M34" s="476" t="s">
        <v>550</v>
      </c>
      <c r="N34" s="476" t="s">
        <v>551</v>
      </c>
      <c r="O34" s="349">
        <v>0.1032</v>
      </c>
      <c r="P34" s="477">
        <v>0.7671</v>
      </c>
      <c r="Q34" s="349">
        <v>0.12970000000000001</v>
      </c>
      <c r="R34" s="533">
        <v>0.1032</v>
      </c>
      <c r="S34" s="534">
        <v>0.7641</v>
      </c>
      <c r="T34" s="534">
        <v>0.13270000000000001</v>
      </c>
    </row>
    <row r="35" spans="1:20" outlineLevel="1" x14ac:dyDescent="0.35">
      <c r="B35" s="244" t="s">
        <v>444</v>
      </c>
      <c r="C35" s="244"/>
      <c r="D35" s="245"/>
      <c r="E35" s="31"/>
      <c r="F35" s="31"/>
      <c r="G35" s="31"/>
      <c r="H35" s="31"/>
      <c r="I35" s="31"/>
      <c r="K35" s="350"/>
      <c r="L35" s="350"/>
      <c r="M35" s="350"/>
      <c r="N35" s="350"/>
      <c r="O35" s="351"/>
      <c r="P35" s="351"/>
      <c r="Q35" s="351"/>
    </row>
    <row r="36" spans="1:20" outlineLevel="1" x14ac:dyDescent="0.35">
      <c r="B36" s="246" t="s">
        <v>445</v>
      </c>
      <c r="C36" s="246"/>
      <c r="E36" s="172">
        <v>4480</v>
      </c>
      <c r="F36" s="171">
        <v>3365</v>
      </c>
      <c r="G36" s="171">
        <v>3359</v>
      </c>
      <c r="H36" s="171">
        <v>3343</v>
      </c>
      <c r="I36" s="171">
        <v>3506</v>
      </c>
      <c r="K36" s="350"/>
      <c r="L36" s="350"/>
      <c r="M36" s="350"/>
      <c r="N36" s="350"/>
      <c r="O36" s="351"/>
      <c r="P36" s="351"/>
      <c r="Q36" s="351"/>
    </row>
    <row r="37" spans="1:20" outlineLevel="1" x14ac:dyDescent="0.35">
      <c r="B37" s="246" t="s">
        <v>446</v>
      </c>
      <c r="C37" s="246"/>
      <c r="E37" s="172">
        <v>0</v>
      </c>
      <c r="F37" s="171">
        <v>5</v>
      </c>
      <c r="G37" s="171">
        <v>18</v>
      </c>
      <c r="H37" s="171">
        <v>21</v>
      </c>
      <c r="I37" s="171">
        <v>20</v>
      </c>
      <c r="K37" s="350"/>
      <c r="L37" s="350"/>
      <c r="M37" s="350"/>
      <c r="N37" s="350"/>
      <c r="O37" s="351"/>
      <c r="P37" s="351"/>
      <c r="Q37" s="351"/>
    </row>
    <row r="38" spans="1:20" outlineLevel="1" x14ac:dyDescent="0.35">
      <c r="B38" s="246"/>
      <c r="C38" s="246"/>
    </row>
    <row r="39" spans="1:20" outlineLevel="1" x14ac:dyDescent="0.3">
      <c r="B39" s="244" t="s">
        <v>271</v>
      </c>
      <c r="C39" s="244"/>
      <c r="D39" s="245"/>
      <c r="E39" s="31"/>
      <c r="F39" s="31"/>
      <c r="G39" s="31"/>
      <c r="H39" s="31"/>
      <c r="I39" s="31"/>
    </row>
    <row r="40" spans="1:20" ht="27.5" customHeight="1" outlineLevel="1" x14ac:dyDescent="0.35">
      <c r="B40" s="325" t="s">
        <v>272</v>
      </c>
      <c r="C40" s="246"/>
      <c r="E40" s="230">
        <v>14</v>
      </c>
      <c r="F40" s="171">
        <v>15</v>
      </c>
      <c r="G40" s="171">
        <v>18</v>
      </c>
      <c r="H40" s="171">
        <v>18</v>
      </c>
      <c r="I40" s="171" t="s">
        <v>643</v>
      </c>
      <c r="K40" s="568" t="s">
        <v>644</v>
      </c>
      <c r="L40" s="568"/>
      <c r="M40" s="568"/>
      <c r="N40" s="568"/>
    </row>
    <row r="41" spans="1:20" ht="7.5" customHeight="1" outlineLevel="1" x14ac:dyDescent="0.35"/>
    <row r="42" spans="1:20" outlineLevel="1" x14ac:dyDescent="0.3">
      <c r="A42" s="251"/>
      <c r="B42" s="241" t="s">
        <v>552</v>
      </c>
      <c r="C42" s="241"/>
      <c r="D42" s="241"/>
      <c r="E42" s="242"/>
      <c r="F42" s="242"/>
      <c r="G42" s="242"/>
      <c r="H42" s="242"/>
      <c r="I42" s="242"/>
    </row>
    <row r="43" spans="1:20" ht="8.25" customHeight="1" outlineLevel="1" x14ac:dyDescent="0.35"/>
    <row r="44" spans="1:20" outlineLevel="1" x14ac:dyDescent="0.3">
      <c r="B44" s="252" t="s">
        <v>273</v>
      </c>
      <c r="C44" s="252"/>
      <c r="D44" s="245"/>
      <c r="E44" s="31"/>
      <c r="F44" s="31"/>
      <c r="G44" s="31"/>
      <c r="H44" s="31"/>
      <c r="I44" s="31"/>
    </row>
    <row r="45" spans="1:20" outlineLevel="1" x14ac:dyDescent="0.35">
      <c r="B45" s="56" t="s">
        <v>274</v>
      </c>
      <c r="D45" s="230">
        <v>1334413.56</v>
      </c>
      <c r="E45" s="171">
        <v>1213103.52</v>
      </c>
      <c r="F45" s="230">
        <v>2490000</v>
      </c>
      <c r="G45" s="230"/>
      <c r="H45" s="230"/>
      <c r="I45" s="230"/>
      <c r="J45" s="71"/>
      <c r="K45" s="71"/>
      <c r="L45" s="71"/>
      <c r="M45" s="71"/>
      <c r="N45" s="71"/>
    </row>
    <row r="46" spans="1:20" outlineLevel="1" x14ac:dyDescent="0.35">
      <c r="B46" s="56" t="s">
        <v>275</v>
      </c>
      <c r="D46" s="230">
        <v>186142.28</v>
      </c>
      <c r="E46" s="171">
        <v>182393.48</v>
      </c>
      <c r="F46" s="230">
        <v>155040.12</v>
      </c>
      <c r="G46" s="230"/>
      <c r="H46" s="230"/>
      <c r="I46" s="230"/>
      <c r="J46" s="71"/>
      <c r="K46" s="71"/>
      <c r="L46" s="71"/>
      <c r="M46" s="71"/>
      <c r="N46" s="71"/>
    </row>
    <row r="47" spans="1:20" outlineLevel="1" x14ac:dyDescent="0.35">
      <c r="B47" s="253" t="s">
        <v>281</v>
      </c>
      <c r="C47" s="253"/>
      <c r="D47" s="254">
        <f>D46/D45</f>
        <v>0.1394936963919941</v>
      </c>
      <c r="E47" s="254">
        <f t="shared" ref="E47:F47" si="0">E46/E45</f>
        <v>0.15035277451012591</v>
      </c>
      <c r="F47" s="254">
        <f t="shared" si="0"/>
        <v>6.2265108433734936E-2</v>
      </c>
      <c r="G47" s="522">
        <v>0.16880000000000001</v>
      </c>
      <c r="H47" s="522">
        <v>0.312</v>
      </c>
      <c r="I47" s="522">
        <v>0.28360000000000002</v>
      </c>
      <c r="J47" s="71"/>
      <c r="K47" s="71"/>
      <c r="L47" s="71"/>
      <c r="M47" s="71"/>
      <c r="N47" s="71"/>
    </row>
    <row r="48" spans="1:20" ht="31" outlineLevel="1" x14ac:dyDescent="0.35">
      <c r="B48" s="255" t="s">
        <v>276</v>
      </c>
      <c r="C48" s="256"/>
      <c r="D48" s="22"/>
      <c r="E48" s="149"/>
      <c r="F48" s="71"/>
      <c r="G48" s="71"/>
      <c r="H48" s="71"/>
      <c r="I48" s="71"/>
      <c r="J48" s="71"/>
      <c r="K48" s="71"/>
      <c r="L48" s="71"/>
      <c r="M48" s="71"/>
      <c r="N48" s="71"/>
    </row>
    <row r="49" spans="1:14" outlineLevel="1" x14ac:dyDescent="0.35"/>
    <row r="50" spans="1:14" outlineLevel="1" x14ac:dyDescent="0.3">
      <c r="A50" s="251"/>
      <c r="B50" s="241" t="s">
        <v>552</v>
      </c>
      <c r="C50" s="241"/>
      <c r="D50" s="241"/>
      <c r="E50" s="242"/>
      <c r="F50" s="242"/>
      <c r="G50" s="242"/>
      <c r="H50" s="242"/>
      <c r="I50" s="242"/>
    </row>
    <row r="51" spans="1:14" ht="5.25" customHeight="1" outlineLevel="1" x14ac:dyDescent="0.35"/>
    <row r="52" spans="1:14" ht="31" outlineLevel="1" x14ac:dyDescent="0.3">
      <c r="B52" s="252" t="s">
        <v>277</v>
      </c>
      <c r="C52" s="252"/>
      <c r="D52" s="245"/>
      <c r="E52" s="31"/>
      <c r="F52" s="31"/>
      <c r="G52" s="31"/>
      <c r="H52" s="31"/>
      <c r="I52" s="31"/>
    </row>
    <row r="53" spans="1:14" outlineLevel="1" x14ac:dyDescent="0.35">
      <c r="B53" s="56" t="s">
        <v>278</v>
      </c>
      <c r="C53" s="257">
        <v>1327000.2</v>
      </c>
      <c r="D53" s="258">
        <v>1334413.56</v>
      </c>
      <c r="E53" s="258">
        <v>1213103.52</v>
      </c>
      <c r="F53" s="258">
        <v>2490000</v>
      </c>
      <c r="G53" s="512"/>
      <c r="H53" s="516"/>
      <c r="I53" s="514"/>
    </row>
    <row r="54" spans="1:14" outlineLevel="1" x14ac:dyDescent="0.35">
      <c r="B54" s="259" t="s">
        <v>280</v>
      </c>
      <c r="C54" s="260"/>
      <c r="D54" s="261">
        <f>(D53/C53)-1</f>
        <v>5.5865552996903212E-3</v>
      </c>
      <c r="E54" s="261">
        <f t="shared" ref="E54:F54" si="1">(E53/D53)-1</f>
        <v>-9.0908878354023948E-2</v>
      </c>
      <c r="F54" s="261">
        <f t="shared" si="1"/>
        <v>1.052586575628764</v>
      </c>
      <c r="G54" s="523">
        <v>0.5</v>
      </c>
      <c r="H54" s="280">
        <v>-1.57</v>
      </c>
      <c r="I54" s="280">
        <v>0.54</v>
      </c>
    </row>
    <row r="55" spans="1:14" ht="18.75" customHeight="1" outlineLevel="1" x14ac:dyDescent="0.35">
      <c r="B55" s="56" t="s">
        <v>279</v>
      </c>
      <c r="C55" s="257">
        <v>185087.04</v>
      </c>
      <c r="D55" s="258">
        <v>186142.28</v>
      </c>
      <c r="E55" s="258">
        <v>182393.48</v>
      </c>
      <c r="F55" s="258">
        <v>155040.12</v>
      </c>
      <c r="G55" s="512"/>
      <c r="H55" s="516"/>
      <c r="I55" s="514"/>
    </row>
    <row r="56" spans="1:14" s="262" customFormat="1" outlineLevel="1" x14ac:dyDescent="0.35">
      <c r="B56" s="259" t="s">
        <v>280</v>
      </c>
      <c r="C56" s="260"/>
      <c r="D56" s="261">
        <f>(D55/C55)-1</f>
        <v>5.7013176071105676E-3</v>
      </c>
      <c r="E56" s="261">
        <f t="shared" ref="E56:F56" si="2">(E55/D55)-1</f>
        <v>-2.0139433126101114E-2</v>
      </c>
      <c r="F56" s="261">
        <f t="shared" si="2"/>
        <v>-0.1499689572236903</v>
      </c>
      <c r="G56" s="513"/>
      <c r="H56" s="517"/>
      <c r="I56" s="515"/>
      <c r="J56" s="263"/>
      <c r="K56" s="264"/>
      <c r="L56" s="264"/>
      <c r="M56" s="264"/>
      <c r="N56" s="264"/>
    </row>
    <row r="57" spans="1:14" outlineLevel="1" x14ac:dyDescent="0.35">
      <c r="B57" s="253" t="s">
        <v>281</v>
      </c>
      <c r="C57" s="253"/>
      <c r="D57" s="265">
        <v>0.98</v>
      </c>
      <c r="E57" s="266">
        <v>4.51</v>
      </c>
      <c r="F57" s="267">
        <v>-7.02</v>
      </c>
      <c r="G57" s="352">
        <v>0.5</v>
      </c>
      <c r="H57" s="352">
        <v>-0.64</v>
      </c>
      <c r="I57" s="554">
        <v>0.54</v>
      </c>
    </row>
    <row r="58" spans="1:14" ht="62" outlineLevel="1" x14ac:dyDescent="0.35">
      <c r="B58" s="255" t="s">
        <v>553</v>
      </c>
      <c r="C58" s="253"/>
      <c r="D58" s="265"/>
      <c r="E58" s="266"/>
      <c r="F58" s="267"/>
      <c r="G58" s="352"/>
      <c r="H58" s="352"/>
      <c r="I58" s="352"/>
    </row>
    <row r="59" spans="1:14" outlineLevel="1" x14ac:dyDescent="0.35"/>
    <row r="60" spans="1:14" outlineLevel="1" x14ac:dyDescent="0.3">
      <c r="A60" s="251"/>
      <c r="B60" s="241" t="s">
        <v>16</v>
      </c>
      <c r="C60" s="241"/>
      <c r="D60" s="241"/>
      <c r="E60" s="242"/>
      <c r="F60" s="242"/>
      <c r="G60" s="242"/>
      <c r="H60" s="242"/>
      <c r="I60" s="242"/>
    </row>
    <row r="61" spans="1:14" ht="5.25" customHeight="1" outlineLevel="1" x14ac:dyDescent="0.35"/>
    <row r="62" spans="1:14" outlineLevel="1" x14ac:dyDescent="0.3">
      <c r="B62" s="252" t="s">
        <v>282</v>
      </c>
      <c r="C62" s="252"/>
      <c r="D62" s="245"/>
      <c r="E62" s="31"/>
      <c r="F62" s="31"/>
      <c r="G62" s="31"/>
      <c r="H62" s="31"/>
      <c r="I62" s="31"/>
    </row>
    <row r="63" spans="1:14" outlineLevel="1" x14ac:dyDescent="0.35">
      <c r="B63" s="151" t="s">
        <v>534</v>
      </c>
      <c r="C63" s="300"/>
      <c r="D63" s="63"/>
      <c r="E63" s="301"/>
      <c r="F63" s="301"/>
      <c r="G63" s="301"/>
      <c r="H63" s="301"/>
      <c r="I63" s="301"/>
    </row>
    <row r="64" spans="1:14" outlineLevel="1" x14ac:dyDescent="0.35">
      <c r="B64" s="268" t="s">
        <v>252</v>
      </c>
      <c r="C64" s="300"/>
      <c r="D64" s="63"/>
      <c r="E64" s="301"/>
      <c r="F64" s="301"/>
      <c r="G64" s="301"/>
      <c r="H64" s="518" t="s">
        <v>554</v>
      </c>
      <c r="I64" s="555">
        <v>2.27</v>
      </c>
    </row>
    <row r="65" spans="2:9" outlineLevel="1" x14ac:dyDescent="0.35">
      <c r="B65" s="268" t="s">
        <v>253</v>
      </c>
      <c r="C65" s="300"/>
      <c r="D65" s="63"/>
      <c r="E65" s="301"/>
      <c r="F65" s="301"/>
      <c r="G65" s="301"/>
      <c r="H65" s="519" t="s">
        <v>555</v>
      </c>
      <c r="I65" s="555" t="s">
        <v>667</v>
      </c>
    </row>
    <row r="66" spans="2:9" outlineLevel="1" x14ac:dyDescent="0.35">
      <c r="B66" s="151" t="s">
        <v>535</v>
      </c>
    </row>
    <row r="67" spans="2:9" outlineLevel="1" x14ac:dyDescent="0.35">
      <c r="B67" s="268" t="s">
        <v>252</v>
      </c>
      <c r="F67" s="478">
        <v>1.36</v>
      </c>
      <c r="G67" s="479">
        <v>1.41</v>
      </c>
      <c r="H67" s="479">
        <v>1.54</v>
      </c>
      <c r="I67" s="32">
        <v>1.71</v>
      </c>
    </row>
    <row r="68" spans="2:9" ht="18" customHeight="1" outlineLevel="1" x14ac:dyDescent="0.35">
      <c r="B68" s="268" t="s">
        <v>253</v>
      </c>
      <c r="F68" s="478">
        <v>1.96</v>
      </c>
      <c r="G68" s="479">
        <v>1.83</v>
      </c>
      <c r="H68" s="479">
        <v>1.56</v>
      </c>
      <c r="I68" s="32">
        <v>1.65</v>
      </c>
    </row>
    <row r="69" spans="2:9" ht="18" customHeight="1" outlineLevel="1" x14ac:dyDescent="0.35">
      <c r="B69" s="151" t="s">
        <v>556</v>
      </c>
      <c r="F69" s="478"/>
      <c r="G69" s="479"/>
      <c r="H69" s="479"/>
      <c r="I69" s="32"/>
    </row>
    <row r="70" spans="2:9" ht="18" customHeight="1" outlineLevel="1" x14ac:dyDescent="0.35">
      <c r="B70" s="268" t="s">
        <v>252</v>
      </c>
      <c r="F70" s="478">
        <v>0</v>
      </c>
      <c r="G70" s="479">
        <v>1.62</v>
      </c>
      <c r="H70" s="479">
        <v>1.38</v>
      </c>
      <c r="I70" s="32">
        <v>1.52</v>
      </c>
    </row>
    <row r="71" spans="2:9" ht="18" customHeight="1" outlineLevel="1" x14ac:dyDescent="0.35">
      <c r="B71" s="268" t="s">
        <v>253</v>
      </c>
      <c r="F71" s="478">
        <v>0</v>
      </c>
      <c r="G71" s="479">
        <v>1.58</v>
      </c>
      <c r="H71" s="479">
        <v>1.31</v>
      </c>
      <c r="I71" s="353">
        <v>1.4</v>
      </c>
    </row>
    <row r="72" spans="2:9" outlineLevel="1" x14ac:dyDescent="0.35">
      <c r="B72" s="151" t="s">
        <v>557</v>
      </c>
      <c r="F72" s="478"/>
      <c r="G72" s="478"/>
      <c r="H72" s="478"/>
      <c r="I72" s="56"/>
    </row>
    <row r="73" spans="2:9" ht="18" customHeight="1" outlineLevel="1" x14ac:dyDescent="0.35">
      <c r="B73" s="268" t="s">
        <v>252</v>
      </c>
      <c r="F73" s="478">
        <v>2.0099999999999998</v>
      </c>
      <c r="G73" s="479">
        <v>1.61</v>
      </c>
      <c r="H73" s="479">
        <v>1.19</v>
      </c>
      <c r="I73" s="32">
        <v>1.41</v>
      </c>
    </row>
    <row r="74" spans="2:9" outlineLevel="1" x14ac:dyDescent="0.35">
      <c r="B74" s="268" t="s">
        <v>253</v>
      </c>
      <c r="F74" s="478">
        <v>2.16</v>
      </c>
      <c r="G74" s="479">
        <v>1.69</v>
      </c>
      <c r="H74" s="479">
        <v>1.24</v>
      </c>
      <c r="I74" s="32">
        <v>1.41</v>
      </c>
    </row>
    <row r="75" spans="2:9" ht="18" customHeight="1" outlineLevel="1" x14ac:dyDescent="0.35">
      <c r="B75" s="151" t="s">
        <v>544</v>
      </c>
      <c r="F75" s="478"/>
      <c r="G75" s="478"/>
      <c r="H75" s="478"/>
      <c r="I75" s="56"/>
    </row>
    <row r="76" spans="2:9" outlineLevel="1" x14ac:dyDescent="0.35">
      <c r="B76" s="268" t="s">
        <v>252</v>
      </c>
      <c r="F76" s="478">
        <v>2.0299999999999998</v>
      </c>
      <c r="G76" s="479">
        <v>1.39</v>
      </c>
      <c r="H76" s="479">
        <v>1.1599999999999999</v>
      </c>
      <c r="I76" s="32">
        <v>1.29</v>
      </c>
    </row>
    <row r="77" spans="2:9" ht="18" customHeight="1" outlineLevel="1" x14ac:dyDescent="0.35">
      <c r="B77" s="268" t="s">
        <v>253</v>
      </c>
      <c r="F77" s="478">
        <v>2.12</v>
      </c>
      <c r="G77" s="479">
        <v>1.74</v>
      </c>
      <c r="H77" s="479">
        <v>1.1200000000000001</v>
      </c>
      <c r="I77" s="32">
        <v>1.21</v>
      </c>
    </row>
    <row r="78" spans="2:9" outlineLevel="1" x14ac:dyDescent="0.35">
      <c r="B78" s="151" t="s">
        <v>545</v>
      </c>
      <c r="F78" s="478"/>
      <c r="G78" s="478"/>
      <c r="H78" s="478"/>
      <c r="I78" s="56"/>
    </row>
    <row r="79" spans="2:9" ht="18" customHeight="1" outlineLevel="1" x14ac:dyDescent="0.35">
      <c r="B79" s="268" t="s">
        <v>252</v>
      </c>
      <c r="F79" s="478">
        <v>1</v>
      </c>
      <c r="G79" s="479">
        <v>1.36</v>
      </c>
      <c r="H79" s="479">
        <v>1.03</v>
      </c>
      <c r="I79" s="32">
        <v>1.32</v>
      </c>
    </row>
    <row r="80" spans="2:9" outlineLevel="1" x14ac:dyDescent="0.35">
      <c r="B80" s="268" t="s">
        <v>253</v>
      </c>
      <c r="F80" s="478" t="s">
        <v>17</v>
      </c>
      <c r="G80" s="479">
        <v>1.26</v>
      </c>
      <c r="H80" s="479">
        <v>1.0900000000000001</v>
      </c>
      <c r="I80" s="32">
        <v>1.34</v>
      </c>
    </row>
    <row r="81" spans="1:9" ht="18.75" customHeight="1" outlineLevel="1" x14ac:dyDescent="0.35">
      <c r="B81" s="151" t="s">
        <v>266</v>
      </c>
      <c r="F81" s="478"/>
      <c r="G81" s="478"/>
      <c r="H81" s="478"/>
      <c r="I81" s="56"/>
    </row>
    <row r="82" spans="1:9" outlineLevel="1" x14ac:dyDescent="0.35">
      <c r="B82" s="268" t="s">
        <v>252</v>
      </c>
      <c r="F82" s="478">
        <v>1.41</v>
      </c>
      <c r="G82" s="479">
        <v>1.3</v>
      </c>
      <c r="H82" s="479">
        <v>1.05</v>
      </c>
      <c r="I82" s="32">
        <v>1.1200000000000001</v>
      </c>
    </row>
    <row r="83" spans="1:9" outlineLevel="1" x14ac:dyDescent="0.35">
      <c r="B83" s="268" t="s">
        <v>253</v>
      </c>
      <c r="F83" s="478">
        <v>1.43</v>
      </c>
      <c r="G83" s="479">
        <v>1.24</v>
      </c>
      <c r="H83" s="479">
        <v>1.07</v>
      </c>
      <c r="I83" s="32">
        <v>1.1200000000000001</v>
      </c>
    </row>
    <row r="84" spans="1:9" ht="31" outlineLevel="1" x14ac:dyDescent="0.35">
      <c r="B84" s="270" t="s">
        <v>558</v>
      </c>
    </row>
    <row r="85" spans="1:9" outlineLevel="1" x14ac:dyDescent="0.35"/>
    <row r="86" spans="1:9" outlineLevel="1" x14ac:dyDescent="0.3">
      <c r="A86" s="251"/>
      <c r="B86" s="241" t="s">
        <v>18</v>
      </c>
      <c r="C86" s="241"/>
      <c r="D86" s="241"/>
      <c r="E86" s="242"/>
      <c r="F86" s="242"/>
      <c r="G86" s="242"/>
      <c r="H86" s="242"/>
      <c r="I86" s="242"/>
    </row>
    <row r="87" spans="1:9" ht="5.25" customHeight="1" outlineLevel="1" x14ac:dyDescent="0.35"/>
    <row r="88" spans="1:9" outlineLevel="1" x14ac:dyDescent="0.3">
      <c r="B88" s="252" t="s">
        <v>283</v>
      </c>
      <c r="C88" s="252"/>
      <c r="D88" s="245"/>
      <c r="E88" s="31"/>
      <c r="F88" s="31"/>
      <c r="G88" s="31"/>
      <c r="H88" s="31"/>
      <c r="I88" s="31"/>
    </row>
    <row r="89" spans="1:9" outlineLevel="1" x14ac:dyDescent="0.35">
      <c r="B89" s="56" t="s">
        <v>284</v>
      </c>
      <c r="D89" s="56">
        <v>0</v>
      </c>
      <c r="E89" s="247">
        <v>0</v>
      </c>
      <c r="F89" s="479">
        <v>0</v>
      </c>
      <c r="G89" s="479">
        <v>0</v>
      </c>
      <c r="H89" s="479">
        <v>0</v>
      </c>
      <c r="I89" s="32">
        <v>0</v>
      </c>
    </row>
    <row r="90" spans="1:9" outlineLevel="1" x14ac:dyDescent="0.35">
      <c r="B90" s="56" t="s">
        <v>285</v>
      </c>
      <c r="D90" s="56">
        <v>0</v>
      </c>
      <c r="E90" s="247">
        <v>0</v>
      </c>
      <c r="F90" s="479">
        <v>0</v>
      </c>
      <c r="G90" s="479">
        <v>0</v>
      </c>
      <c r="H90" s="479">
        <v>0</v>
      </c>
      <c r="I90" s="32">
        <v>0</v>
      </c>
    </row>
    <row r="91" spans="1:9" outlineLevel="1" x14ac:dyDescent="0.35">
      <c r="B91" s="56" t="s">
        <v>559</v>
      </c>
      <c r="D91" s="56">
        <v>2</v>
      </c>
      <c r="E91" s="247">
        <v>1</v>
      </c>
      <c r="F91" s="479">
        <v>0</v>
      </c>
      <c r="G91" s="479">
        <v>2</v>
      </c>
      <c r="H91" s="479">
        <v>4</v>
      </c>
      <c r="I91" s="56">
        <v>3</v>
      </c>
    </row>
    <row r="92" spans="1:9" outlineLevel="1" x14ac:dyDescent="0.35">
      <c r="B92" s="56" t="s">
        <v>286</v>
      </c>
      <c r="D92" s="56">
        <v>0.31</v>
      </c>
      <c r="E92" s="247">
        <v>0.16</v>
      </c>
      <c r="F92" s="479">
        <v>0</v>
      </c>
      <c r="G92" s="479">
        <v>0.28999999999999998</v>
      </c>
      <c r="H92" s="479">
        <v>0.59</v>
      </c>
      <c r="I92" s="32">
        <v>0.42</v>
      </c>
    </row>
    <row r="93" spans="1:9" outlineLevel="1" x14ac:dyDescent="0.35">
      <c r="B93" s="56" t="s">
        <v>287</v>
      </c>
      <c r="D93" s="56">
        <v>5</v>
      </c>
      <c r="E93" s="247">
        <v>4</v>
      </c>
      <c r="F93" s="479">
        <v>3</v>
      </c>
      <c r="G93" s="479">
        <v>5</v>
      </c>
      <c r="H93" s="479">
        <v>7</v>
      </c>
      <c r="I93" s="32">
        <v>5</v>
      </c>
    </row>
    <row r="94" spans="1:9" outlineLevel="1" x14ac:dyDescent="0.35">
      <c r="B94" s="56" t="s">
        <v>288</v>
      </c>
      <c r="D94" s="56">
        <v>0.77</v>
      </c>
      <c r="E94" s="247">
        <v>0.64</v>
      </c>
      <c r="F94" s="479">
        <v>0.56999999999999995</v>
      </c>
      <c r="G94" s="479">
        <v>0.73</v>
      </c>
      <c r="H94" s="479">
        <v>1.03</v>
      </c>
      <c r="I94" s="32">
        <v>0.71</v>
      </c>
    </row>
    <row r="95" spans="1:9" ht="6" customHeight="1" outlineLevel="1" x14ac:dyDescent="0.35"/>
    <row r="96" spans="1:9" ht="46.5" outlineLevel="1" x14ac:dyDescent="0.35">
      <c r="B96" s="270" t="s">
        <v>560</v>
      </c>
    </row>
    <row r="97" spans="1:9" outlineLevel="1" x14ac:dyDescent="0.35">
      <c r="E97" s="71"/>
    </row>
    <row r="98" spans="1:9" outlineLevel="1" x14ac:dyDescent="0.3">
      <c r="B98" s="252" t="s">
        <v>289</v>
      </c>
      <c r="C98" s="252"/>
      <c r="D98" s="245"/>
      <c r="E98" s="31"/>
      <c r="F98" s="31"/>
      <c r="G98" s="31"/>
      <c r="H98" s="31"/>
      <c r="I98" s="31"/>
    </row>
    <row r="99" spans="1:9" outlineLevel="1" x14ac:dyDescent="0.35">
      <c r="B99" s="56" t="s">
        <v>290</v>
      </c>
      <c r="E99" s="247">
        <v>1.8</v>
      </c>
      <c r="F99" s="479">
        <v>8.39</v>
      </c>
      <c r="G99" s="479">
        <v>0.2</v>
      </c>
      <c r="H99" s="479">
        <v>0.24</v>
      </c>
      <c r="I99" s="353">
        <v>0</v>
      </c>
    </row>
    <row r="100" spans="1:9" outlineLevel="1" x14ac:dyDescent="0.35">
      <c r="B100" s="56" t="s">
        <v>561</v>
      </c>
      <c r="E100" s="247"/>
      <c r="F100" s="32">
        <v>7.0000000000000007E-2</v>
      </c>
      <c r="G100" s="353">
        <v>0.04</v>
      </c>
      <c r="H100" s="353">
        <v>0.03</v>
      </c>
      <c r="I100" s="353">
        <v>0.02</v>
      </c>
    </row>
    <row r="101" spans="1:9" outlineLevel="1" x14ac:dyDescent="0.35">
      <c r="B101" s="56" t="s">
        <v>291</v>
      </c>
      <c r="E101" s="247">
        <v>0.38</v>
      </c>
      <c r="F101" s="479">
        <v>0.49</v>
      </c>
      <c r="G101" s="479">
        <v>0.54</v>
      </c>
      <c r="H101" s="479">
        <v>0.54</v>
      </c>
      <c r="I101" s="32">
        <v>0.68</v>
      </c>
    </row>
    <row r="102" spans="1:9" outlineLevel="1" x14ac:dyDescent="0.35">
      <c r="B102" s="56" t="s">
        <v>292</v>
      </c>
      <c r="E102" s="247">
        <v>1.92</v>
      </c>
      <c r="F102" s="479">
        <v>1.19</v>
      </c>
      <c r="G102" s="479">
        <v>1.79</v>
      </c>
      <c r="H102" s="479">
        <v>2.09</v>
      </c>
      <c r="I102" s="32">
        <v>1.51</v>
      </c>
    </row>
    <row r="103" spans="1:9" ht="6" customHeight="1" outlineLevel="1" x14ac:dyDescent="0.35">
      <c r="B103" s="71"/>
      <c r="E103" s="247"/>
      <c r="F103" s="32"/>
      <c r="G103" s="32"/>
      <c r="H103" s="32"/>
      <c r="I103" s="32"/>
    </row>
    <row r="104" spans="1:9" outlineLevel="1" x14ac:dyDescent="0.35">
      <c r="B104" s="269" t="s">
        <v>293</v>
      </c>
    </row>
    <row r="106" spans="1:9" ht="18" x14ac:dyDescent="0.4">
      <c r="A106" s="231"/>
      <c r="B106" s="232" t="s">
        <v>302</v>
      </c>
      <c r="C106" s="233"/>
      <c r="D106" s="234"/>
      <c r="E106" s="234"/>
      <c r="F106" s="235"/>
      <c r="G106" s="235"/>
      <c r="H106" s="235"/>
      <c r="I106" s="235"/>
    </row>
    <row r="107" spans="1:9" ht="9.75" customHeight="1" outlineLevel="1" x14ac:dyDescent="0.35">
      <c r="B107" s="237"/>
      <c r="C107" s="237"/>
      <c r="D107" s="238"/>
      <c r="E107" s="238"/>
      <c r="F107" s="239"/>
      <c r="G107" s="239"/>
      <c r="H107" s="239"/>
      <c r="I107" s="239"/>
    </row>
    <row r="108" spans="1:9" outlineLevel="1" x14ac:dyDescent="0.3">
      <c r="A108" s="251"/>
      <c r="B108" s="241" t="s">
        <v>19</v>
      </c>
      <c r="C108" s="241"/>
      <c r="D108" s="241"/>
      <c r="E108" s="242"/>
      <c r="F108" s="242"/>
      <c r="G108" s="242"/>
      <c r="H108" s="242"/>
      <c r="I108" s="242"/>
    </row>
    <row r="109" spans="1:9" ht="5.25" customHeight="1" outlineLevel="1" x14ac:dyDescent="0.35"/>
    <row r="110" spans="1:9" ht="31" outlineLevel="1" x14ac:dyDescent="0.3">
      <c r="B110" s="252" t="s">
        <v>372</v>
      </c>
      <c r="C110" s="252"/>
      <c r="D110" s="245"/>
      <c r="E110" s="31"/>
      <c r="F110" s="31"/>
      <c r="G110" s="31"/>
      <c r="H110" s="31"/>
      <c r="I110" s="31"/>
    </row>
    <row r="111" spans="1:9" outlineLevel="1" x14ac:dyDescent="0.35">
      <c r="B111" s="151" t="s">
        <v>373</v>
      </c>
    </row>
    <row r="112" spans="1:9" outlineLevel="1" x14ac:dyDescent="0.35">
      <c r="B112" s="268" t="s">
        <v>374</v>
      </c>
      <c r="F112" s="479">
        <v>18</v>
      </c>
      <c r="G112" s="479">
        <v>18</v>
      </c>
      <c r="H112" s="479">
        <v>18</v>
      </c>
      <c r="I112" s="56">
        <v>17</v>
      </c>
    </row>
    <row r="113" spans="1:9" outlineLevel="1" x14ac:dyDescent="0.35">
      <c r="B113" s="268" t="s">
        <v>562</v>
      </c>
      <c r="F113" s="479">
        <v>18</v>
      </c>
      <c r="G113" s="479">
        <v>18</v>
      </c>
      <c r="H113" s="479">
        <v>18</v>
      </c>
      <c r="I113" s="56">
        <v>17</v>
      </c>
    </row>
    <row r="114" spans="1:9" outlineLevel="1" x14ac:dyDescent="0.35">
      <c r="B114" s="268" t="s">
        <v>563</v>
      </c>
      <c r="F114" s="479">
        <v>100</v>
      </c>
      <c r="G114" s="479">
        <v>100</v>
      </c>
      <c r="H114" s="479">
        <v>100</v>
      </c>
      <c r="I114" s="32">
        <v>100</v>
      </c>
    </row>
    <row r="115" spans="1:9" outlineLevel="1" x14ac:dyDescent="0.35">
      <c r="B115" s="268" t="s">
        <v>564</v>
      </c>
      <c r="F115" s="479">
        <v>18</v>
      </c>
      <c r="G115" s="479">
        <v>18</v>
      </c>
      <c r="H115" s="479">
        <v>11</v>
      </c>
      <c r="I115" s="56">
        <v>5</v>
      </c>
    </row>
    <row r="116" spans="1:9" outlineLevel="1" x14ac:dyDescent="0.35">
      <c r="B116" s="268" t="s">
        <v>565</v>
      </c>
      <c r="F116" s="479">
        <v>100</v>
      </c>
      <c r="G116" s="479">
        <v>100</v>
      </c>
      <c r="H116" s="479">
        <v>61</v>
      </c>
      <c r="I116" s="556">
        <v>29.4</v>
      </c>
    </row>
    <row r="117" spans="1:9" ht="8.25" customHeight="1" outlineLevel="1" x14ac:dyDescent="0.35"/>
    <row r="118" spans="1:9" ht="31" outlineLevel="1" x14ac:dyDescent="0.3">
      <c r="B118" s="252" t="s">
        <v>375</v>
      </c>
      <c r="C118" s="252"/>
      <c r="D118" s="245"/>
      <c r="E118" s="31"/>
      <c r="F118" s="31"/>
      <c r="G118" s="31"/>
      <c r="H118" s="31"/>
      <c r="I118" s="31"/>
    </row>
    <row r="119" spans="1:9" outlineLevel="1" x14ac:dyDescent="0.35">
      <c r="B119" s="56" t="s">
        <v>447</v>
      </c>
      <c r="F119" s="32">
        <v>3370</v>
      </c>
      <c r="G119" s="32">
        <v>3377</v>
      </c>
      <c r="H119" s="479">
        <v>3364</v>
      </c>
      <c r="I119" s="524">
        <v>3526</v>
      </c>
    </row>
    <row r="120" spans="1:9" outlineLevel="1" x14ac:dyDescent="0.35">
      <c r="B120" s="56" t="s">
        <v>448</v>
      </c>
      <c r="F120" s="32">
        <v>1767</v>
      </c>
      <c r="G120" s="32">
        <v>2838</v>
      </c>
      <c r="H120" s="479">
        <v>3226</v>
      </c>
      <c r="I120" s="524">
        <v>3310</v>
      </c>
    </row>
    <row r="121" spans="1:9" outlineLevel="1" x14ac:dyDescent="0.35">
      <c r="B121" s="56" t="s">
        <v>449</v>
      </c>
      <c r="F121" s="354">
        <v>1</v>
      </c>
      <c r="G121" s="354">
        <v>1</v>
      </c>
      <c r="H121" s="520">
        <v>1</v>
      </c>
      <c r="I121" s="354">
        <v>1</v>
      </c>
    </row>
    <row r="122" spans="1:9" outlineLevel="1" x14ac:dyDescent="0.35">
      <c r="B122" s="56" t="s">
        <v>450</v>
      </c>
      <c r="F122" s="354">
        <v>0.52</v>
      </c>
      <c r="G122" s="354">
        <v>0.84</v>
      </c>
      <c r="H122" s="521">
        <v>0.96</v>
      </c>
      <c r="I122" s="525">
        <v>0.93899999999999995</v>
      </c>
    </row>
    <row r="123" spans="1:9" ht="5.25" customHeight="1" outlineLevel="1" x14ac:dyDescent="0.35"/>
    <row r="124" spans="1:9" ht="31" outlineLevel="1" x14ac:dyDescent="0.35">
      <c r="B124" s="270" t="s">
        <v>566</v>
      </c>
    </row>
    <row r="125" spans="1:9" ht="10.5" customHeight="1" outlineLevel="1" x14ac:dyDescent="0.35">
      <c r="E125" s="71"/>
    </row>
    <row r="126" spans="1:9" outlineLevel="1" x14ac:dyDescent="0.3">
      <c r="A126" s="251"/>
      <c r="B126" s="241" t="s">
        <v>20</v>
      </c>
      <c r="C126" s="241"/>
      <c r="D126" s="241"/>
      <c r="E126" s="242"/>
      <c r="F126" s="242"/>
      <c r="G126" s="242"/>
      <c r="H126" s="242"/>
      <c r="I126" s="242"/>
    </row>
    <row r="127" spans="1:9" ht="5.25" customHeight="1" outlineLevel="1" x14ac:dyDescent="0.35"/>
    <row r="128" spans="1:9" outlineLevel="1" x14ac:dyDescent="0.3">
      <c r="B128" s="252" t="s">
        <v>294</v>
      </c>
      <c r="C128" s="252"/>
      <c r="D128" s="245"/>
      <c r="E128" s="31"/>
      <c r="F128" s="31"/>
      <c r="G128" s="31"/>
      <c r="H128" s="31"/>
      <c r="I128" s="31"/>
    </row>
    <row r="129" spans="1:28" outlineLevel="1" x14ac:dyDescent="0.35">
      <c r="B129" s="56" t="s">
        <v>295</v>
      </c>
      <c r="D129" s="56">
        <v>11</v>
      </c>
      <c r="E129" s="247">
        <v>31</v>
      </c>
      <c r="F129" s="32">
        <v>4</v>
      </c>
      <c r="G129" s="32">
        <v>0</v>
      </c>
      <c r="H129" s="32">
        <v>4</v>
      </c>
      <c r="I129" s="32" t="s">
        <v>643</v>
      </c>
    </row>
    <row r="130" spans="1:28" outlineLevel="1" x14ac:dyDescent="0.35">
      <c r="G130"/>
      <c r="H130"/>
      <c r="I130" s="32"/>
    </row>
    <row r="131" spans="1:28" outlineLevel="1" x14ac:dyDescent="0.3">
      <c r="B131" s="271" t="s">
        <v>297</v>
      </c>
      <c r="C131" s="69"/>
      <c r="D131" s="69">
        <v>4</v>
      </c>
      <c r="E131" s="272">
        <v>5</v>
      </c>
      <c r="F131" s="32">
        <v>2</v>
      </c>
      <c r="G131" s="32">
        <v>0</v>
      </c>
      <c r="H131" s="32">
        <v>1</v>
      </c>
      <c r="I131" s="32" t="s">
        <v>645</v>
      </c>
    </row>
    <row r="132" spans="1:28" ht="42.75" customHeight="1" outlineLevel="1" x14ac:dyDescent="0.35">
      <c r="B132" s="273" t="s">
        <v>298</v>
      </c>
      <c r="D132" s="69">
        <v>0</v>
      </c>
      <c r="E132" s="272">
        <v>0</v>
      </c>
      <c r="F132" s="32">
        <v>0</v>
      </c>
      <c r="G132" s="32">
        <v>0</v>
      </c>
      <c r="H132" s="32">
        <v>0</v>
      </c>
      <c r="I132" s="32">
        <v>0</v>
      </c>
    </row>
    <row r="133" spans="1:28" ht="336" outlineLevel="1" x14ac:dyDescent="0.35">
      <c r="B133" s="104" t="s">
        <v>296</v>
      </c>
      <c r="D133" s="274" t="s">
        <v>299</v>
      </c>
      <c r="E133" s="275" t="s">
        <v>300</v>
      </c>
      <c r="F133" s="274" t="s">
        <v>301</v>
      </c>
      <c r="G133" s="274"/>
      <c r="H133" s="510" t="s">
        <v>646</v>
      </c>
      <c r="I133" s="510" t="s">
        <v>647</v>
      </c>
    </row>
    <row r="134" spans="1:28" ht="139.5" outlineLevel="1" x14ac:dyDescent="0.35">
      <c r="B134" s="276" t="s">
        <v>567</v>
      </c>
    </row>
    <row r="136" spans="1:28" ht="18" x14ac:dyDescent="0.4">
      <c r="A136" s="231"/>
      <c r="B136" s="232" t="s">
        <v>304</v>
      </c>
      <c r="C136" s="233"/>
      <c r="D136" s="234"/>
      <c r="E136" s="234"/>
      <c r="F136" s="235"/>
      <c r="G136" s="235"/>
      <c r="H136" s="235"/>
      <c r="I136" s="235"/>
    </row>
    <row r="137" spans="1:28" ht="9.75" customHeight="1" outlineLevel="1" x14ac:dyDescent="0.35">
      <c r="B137" s="237"/>
      <c r="C137" s="237"/>
      <c r="D137" s="238"/>
      <c r="E137" s="238"/>
      <c r="F137" s="239"/>
      <c r="G137" s="239"/>
      <c r="H137" s="239"/>
      <c r="I137" s="239"/>
    </row>
    <row r="138" spans="1:28" outlineLevel="1" x14ac:dyDescent="0.3">
      <c r="A138" s="251"/>
      <c r="B138" s="241" t="s">
        <v>21</v>
      </c>
      <c r="C138" s="241"/>
      <c r="D138" s="241"/>
      <c r="E138" s="242"/>
      <c r="F138" s="242"/>
      <c r="G138" s="242"/>
      <c r="H138" s="242"/>
      <c r="I138" s="242"/>
      <c r="K138" s="277" t="s">
        <v>23</v>
      </c>
      <c r="L138" s="277"/>
      <c r="M138" s="277"/>
      <c r="N138" s="277"/>
      <c r="O138" s="277"/>
      <c r="P138" s="277"/>
      <c r="Q138" s="277"/>
      <c r="R138" s="277"/>
      <c r="S138" s="277"/>
      <c r="T138" s="277"/>
      <c r="U138" s="277"/>
      <c r="V138" s="277"/>
      <c r="W138" s="277"/>
      <c r="X138" s="277"/>
      <c r="Y138" s="277"/>
      <c r="Z138" s="277"/>
      <c r="AA138" s="277"/>
      <c r="AB138" s="277"/>
    </row>
    <row r="139" spans="1:28" ht="8.25" customHeight="1" outlineLevel="1" x14ac:dyDescent="0.35">
      <c r="K139" s="56"/>
      <c r="L139" s="56"/>
      <c r="M139" s="56"/>
      <c r="N139" s="56"/>
      <c r="O139" s="56"/>
    </row>
    <row r="140" spans="1:28" ht="31" outlineLevel="1" x14ac:dyDescent="0.3">
      <c r="B140" s="252" t="s">
        <v>306</v>
      </c>
      <c r="C140" s="252"/>
      <c r="D140" s="245"/>
      <c r="E140" s="31"/>
      <c r="F140" s="31"/>
      <c r="G140" s="31"/>
      <c r="H140" s="31"/>
      <c r="I140" s="31"/>
      <c r="K140" s="575" t="s">
        <v>649</v>
      </c>
      <c r="L140" s="575"/>
      <c r="M140" s="575"/>
      <c r="N140" s="575"/>
      <c r="O140" s="575"/>
      <c r="P140" s="575"/>
      <c r="Q140" s="575"/>
      <c r="R140" s="575"/>
      <c r="S140" s="575"/>
      <c r="T140" s="575"/>
      <c r="U140" s="245"/>
      <c r="V140" s="245"/>
      <c r="W140" s="245"/>
      <c r="X140" s="245"/>
      <c r="Y140" s="245"/>
      <c r="Z140" s="245"/>
      <c r="AA140" s="245"/>
      <c r="AB140" s="245"/>
    </row>
    <row r="141" spans="1:28" outlineLevel="1" x14ac:dyDescent="0.35">
      <c r="J141" s="511"/>
      <c r="K141" s="582" t="s">
        <v>650</v>
      </c>
      <c r="L141" s="584" t="s">
        <v>651</v>
      </c>
      <c r="M141" s="584" t="s">
        <v>652</v>
      </c>
      <c r="N141" s="584"/>
      <c r="O141" s="584"/>
      <c r="P141" s="586" t="s">
        <v>653</v>
      </c>
      <c r="Q141" s="587"/>
      <c r="R141" s="587"/>
      <c r="S141" s="587"/>
      <c r="T141" s="588"/>
    </row>
    <row r="142" spans="1:28" ht="30" customHeight="1" outlineLevel="1" x14ac:dyDescent="0.35">
      <c r="B142" s="326" t="s">
        <v>568</v>
      </c>
      <c r="D142" s="278">
        <v>58</v>
      </c>
      <c r="E142" s="279" t="s">
        <v>17</v>
      </c>
      <c r="F142" s="479">
        <v>50</v>
      </c>
      <c r="G142" s="479">
        <v>0</v>
      </c>
      <c r="H142" s="479">
        <v>0</v>
      </c>
      <c r="I142" s="576" t="s">
        <v>675</v>
      </c>
      <c r="J142" s="511"/>
      <c r="K142" s="583"/>
      <c r="L142" s="585"/>
      <c r="M142" s="584"/>
      <c r="N142" s="584"/>
      <c r="O142" s="584"/>
      <c r="P142" s="589"/>
      <c r="Q142" s="590"/>
      <c r="R142" s="590"/>
      <c r="S142" s="590"/>
      <c r="T142" s="591"/>
    </row>
    <row r="143" spans="1:28" ht="40" customHeight="1" outlineLevel="1" x14ac:dyDescent="0.35">
      <c r="B143" s="280" t="s">
        <v>22</v>
      </c>
      <c r="C143" s="280"/>
      <c r="D143" s="281">
        <v>0.84060000000000001</v>
      </c>
      <c r="E143" s="282" t="s">
        <v>17</v>
      </c>
      <c r="F143" s="480">
        <v>0.41299999999999998</v>
      </c>
      <c r="G143" s="480">
        <v>0</v>
      </c>
      <c r="H143" s="480">
        <v>0</v>
      </c>
      <c r="I143" s="577"/>
      <c r="J143" s="511"/>
      <c r="K143" s="559" t="s">
        <v>654</v>
      </c>
      <c r="L143" s="559" t="s">
        <v>569</v>
      </c>
      <c r="M143" s="559" t="s">
        <v>655</v>
      </c>
      <c r="N143" s="559"/>
      <c r="O143" s="559"/>
      <c r="P143" s="559" t="s">
        <v>661</v>
      </c>
      <c r="Q143" s="559"/>
      <c r="R143" s="559"/>
      <c r="S143" s="559"/>
      <c r="T143" s="559"/>
    </row>
    <row r="144" spans="1:28" ht="15.5" customHeight="1" outlineLevel="1" x14ac:dyDescent="0.35">
      <c r="B144" s="56" t="s">
        <v>570</v>
      </c>
      <c r="D144" s="278">
        <v>46</v>
      </c>
      <c r="E144" s="279">
        <v>53</v>
      </c>
      <c r="F144" s="479">
        <v>66</v>
      </c>
      <c r="G144" s="479">
        <v>60</v>
      </c>
      <c r="H144" s="479">
        <v>59</v>
      </c>
      <c r="I144" s="577"/>
      <c r="J144" s="511"/>
      <c r="K144" s="559"/>
      <c r="L144" s="559"/>
      <c r="M144" s="559" t="s">
        <v>660</v>
      </c>
      <c r="N144" s="559"/>
      <c r="O144" s="559"/>
      <c r="P144" s="559" t="s">
        <v>662</v>
      </c>
      <c r="Q144" s="559"/>
      <c r="R144" s="559"/>
      <c r="S144" s="559"/>
      <c r="T144" s="559"/>
    </row>
    <row r="145" spans="2:20" ht="15.5" customHeight="1" outlineLevel="1" x14ac:dyDescent="0.35">
      <c r="B145" s="280" t="s">
        <v>22</v>
      </c>
      <c r="C145" s="280"/>
      <c r="D145" s="281">
        <v>0.66669999999999996</v>
      </c>
      <c r="E145" s="282">
        <v>0.7681</v>
      </c>
      <c r="F145" s="480">
        <v>1</v>
      </c>
      <c r="G145" s="480">
        <v>1</v>
      </c>
      <c r="H145" s="480">
        <v>1</v>
      </c>
      <c r="I145" s="577"/>
      <c r="J145" s="511"/>
      <c r="K145" s="559"/>
      <c r="L145" s="559"/>
      <c r="M145" s="559"/>
      <c r="N145" s="559"/>
      <c r="O145" s="559"/>
      <c r="P145" s="559"/>
      <c r="Q145" s="559"/>
      <c r="R145" s="559"/>
      <c r="S145" s="559"/>
      <c r="T145" s="559"/>
    </row>
    <row r="146" spans="2:20" outlineLevel="1" x14ac:dyDescent="0.35">
      <c r="B146" s="56" t="s">
        <v>307</v>
      </c>
      <c r="D146" s="278" t="s">
        <v>17</v>
      </c>
      <c r="E146" s="278" t="s">
        <v>17</v>
      </c>
      <c r="F146" s="481" t="s">
        <v>17</v>
      </c>
      <c r="G146" s="481" t="s">
        <v>17</v>
      </c>
      <c r="H146" s="481" t="s">
        <v>17</v>
      </c>
      <c r="I146" s="577"/>
      <c r="J146" s="482"/>
      <c r="K146" s="559"/>
      <c r="L146" s="559"/>
      <c r="M146" s="559" t="s">
        <v>659</v>
      </c>
      <c r="N146" s="559"/>
      <c r="O146" s="559"/>
      <c r="P146" s="559" t="s">
        <v>663</v>
      </c>
      <c r="Q146" s="559"/>
      <c r="R146" s="559"/>
      <c r="S146" s="559"/>
      <c r="T146" s="559"/>
    </row>
    <row r="147" spans="2:20" outlineLevel="1" x14ac:dyDescent="0.35">
      <c r="B147" s="280" t="s">
        <v>22</v>
      </c>
      <c r="C147" s="280"/>
      <c r="D147" s="283" t="s">
        <v>17</v>
      </c>
      <c r="E147" s="283" t="s">
        <v>17</v>
      </c>
      <c r="F147" s="483" t="s">
        <v>17</v>
      </c>
      <c r="G147" s="483" t="s">
        <v>17</v>
      </c>
      <c r="H147" s="483" t="s">
        <v>17</v>
      </c>
      <c r="I147" s="577"/>
      <c r="J147" s="482"/>
      <c r="K147" s="559"/>
      <c r="L147" s="559"/>
      <c r="M147" s="559"/>
      <c r="N147" s="559"/>
      <c r="O147" s="559"/>
      <c r="P147" s="559"/>
      <c r="Q147" s="559"/>
      <c r="R147" s="559"/>
      <c r="S147" s="559"/>
      <c r="T147" s="559"/>
    </row>
    <row r="148" spans="2:20" outlineLevel="1" x14ac:dyDescent="0.35">
      <c r="B148" s="56" t="s">
        <v>308</v>
      </c>
      <c r="D148" s="278" t="s">
        <v>17</v>
      </c>
      <c r="E148" s="279">
        <v>1</v>
      </c>
      <c r="F148" s="479">
        <v>1</v>
      </c>
      <c r="G148" s="479">
        <v>7</v>
      </c>
      <c r="H148" s="479">
        <v>7</v>
      </c>
      <c r="I148" s="577"/>
      <c r="K148" s="559"/>
      <c r="L148" s="559"/>
      <c r="M148" s="559" t="s">
        <v>656</v>
      </c>
      <c r="N148" s="559"/>
      <c r="O148" s="559"/>
      <c r="P148" s="559" t="s">
        <v>664</v>
      </c>
      <c r="Q148" s="559"/>
      <c r="R148" s="559"/>
      <c r="S148" s="559"/>
      <c r="T148" s="559"/>
    </row>
    <row r="149" spans="2:20" outlineLevel="1" x14ac:dyDescent="0.35">
      <c r="B149" s="280" t="s">
        <v>22</v>
      </c>
      <c r="C149" s="280"/>
      <c r="D149" s="283" t="s">
        <v>17</v>
      </c>
      <c r="E149" s="355">
        <v>1.72E-2</v>
      </c>
      <c r="F149" s="480">
        <v>8.3000000000000001E-3</v>
      </c>
      <c r="G149" s="480">
        <v>0.1167</v>
      </c>
      <c r="H149" s="480">
        <v>0.1186</v>
      </c>
      <c r="I149" s="577"/>
      <c r="K149" s="559"/>
      <c r="L149" s="559"/>
      <c r="M149" s="559"/>
      <c r="N149" s="559"/>
      <c r="O149" s="559"/>
      <c r="P149" s="559"/>
      <c r="Q149" s="559"/>
      <c r="R149" s="559"/>
      <c r="S149" s="559"/>
      <c r="T149" s="559"/>
    </row>
    <row r="150" spans="2:20" outlineLevel="1" x14ac:dyDescent="0.35">
      <c r="B150" s="273" t="s">
        <v>309</v>
      </c>
      <c r="D150" s="278">
        <v>8</v>
      </c>
      <c r="E150" s="279">
        <v>2</v>
      </c>
      <c r="F150" s="479">
        <v>2</v>
      </c>
      <c r="G150" s="479">
        <v>3</v>
      </c>
      <c r="H150" s="479">
        <v>3</v>
      </c>
      <c r="I150" s="577"/>
      <c r="K150" s="559"/>
      <c r="L150" s="559"/>
      <c r="M150" s="559" t="s">
        <v>658</v>
      </c>
      <c r="N150" s="559"/>
      <c r="O150" s="559"/>
      <c r="P150" s="559" t="s">
        <v>665</v>
      </c>
      <c r="Q150" s="559"/>
      <c r="R150" s="559"/>
      <c r="S150" s="559"/>
      <c r="T150" s="559"/>
    </row>
    <row r="151" spans="2:20" outlineLevel="1" x14ac:dyDescent="0.35">
      <c r="B151" s="280" t="s">
        <v>22</v>
      </c>
      <c r="C151" s="280"/>
      <c r="D151" s="281">
        <v>0.1159</v>
      </c>
      <c r="E151" s="282">
        <v>2.9000000000000001E-2</v>
      </c>
      <c r="F151" s="480">
        <v>1.7000000000000001E-2</v>
      </c>
      <c r="G151" s="480">
        <v>0.05</v>
      </c>
      <c r="H151" s="480">
        <v>5.0799999999999998E-2</v>
      </c>
      <c r="I151" s="577"/>
      <c r="K151" s="559"/>
      <c r="L151" s="559"/>
      <c r="M151" s="559"/>
      <c r="N151" s="559"/>
      <c r="O151" s="559"/>
      <c r="P151" s="559"/>
      <c r="Q151" s="559"/>
      <c r="R151" s="559"/>
      <c r="S151" s="559"/>
      <c r="T151" s="559"/>
    </row>
    <row r="152" spans="2:20" ht="56" customHeight="1" outlineLevel="1" x14ac:dyDescent="0.35">
      <c r="B152" s="273" t="s">
        <v>571</v>
      </c>
      <c r="D152" s="278">
        <v>2</v>
      </c>
      <c r="E152" s="279">
        <v>2</v>
      </c>
      <c r="F152" s="479">
        <v>2</v>
      </c>
      <c r="G152" s="479">
        <v>3</v>
      </c>
      <c r="H152" s="479">
        <v>3</v>
      </c>
      <c r="I152" s="577"/>
      <c r="K152" s="559"/>
      <c r="L152" s="559"/>
      <c r="M152" s="578" t="s">
        <v>657</v>
      </c>
      <c r="N152" s="578"/>
      <c r="O152" s="578"/>
      <c r="P152" s="579" t="s">
        <v>666</v>
      </c>
      <c r="Q152" s="580"/>
      <c r="R152" s="580"/>
      <c r="S152" s="580"/>
      <c r="T152" s="581"/>
    </row>
    <row r="153" spans="2:20" outlineLevel="1" x14ac:dyDescent="0.35">
      <c r="B153" s="280" t="s">
        <v>22</v>
      </c>
      <c r="C153" s="280"/>
      <c r="D153" s="281">
        <v>2.9000000000000001E-2</v>
      </c>
      <c r="E153" s="282">
        <v>2.9000000000000001E-2</v>
      </c>
      <c r="F153" s="480">
        <v>1.7000000000000001E-2</v>
      </c>
      <c r="G153" s="480">
        <v>0.05</v>
      </c>
      <c r="H153" s="480">
        <v>5.0799999999999998E-2</v>
      </c>
      <c r="I153" s="577"/>
    </row>
    <row r="154" spans="2:20" outlineLevel="1" x14ac:dyDescent="0.35">
      <c r="B154" s="56" t="s">
        <v>451</v>
      </c>
      <c r="D154" s="56"/>
      <c r="E154" s="56"/>
      <c r="F154" s="484"/>
      <c r="G154" s="484">
        <v>2</v>
      </c>
      <c r="H154" s="484">
        <v>3</v>
      </c>
      <c r="I154" s="577"/>
    </row>
    <row r="155" spans="2:20" outlineLevel="1" x14ac:dyDescent="0.35">
      <c r="B155" s="280" t="s">
        <v>22</v>
      </c>
      <c r="C155" s="280"/>
      <c r="D155" s="280"/>
      <c r="E155" s="280"/>
      <c r="F155" s="485"/>
      <c r="G155" s="480">
        <v>3.3300000000000003E-2</v>
      </c>
      <c r="H155" s="480">
        <v>5.0799999999999998E-2</v>
      </c>
      <c r="I155" s="577"/>
    </row>
    <row r="156" spans="2:20" outlineLevel="1" x14ac:dyDescent="0.35">
      <c r="B156" s="56" t="s">
        <v>452</v>
      </c>
      <c r="D156" s="56"/>
      <c r="E156" s="56"/>
      <c r="F156" s="484"/>
      <c r="G156" s="479">
        <v>60</v>
      </c>
      <c r="H156" s="479">
        <v>59</v>
      </c>
      <c r="I156" s="577"/>
    </row>
    <row r="157" spans="2:20" outlineLevel="1" x14ac:dyDescent="0.35">
      <c r="B157" s="280" t="s">
        <v>22</v>
      </c>
      <c r="C157" s="280"/>
      <c r="D157" s="280"/>
      <c r="E157" s="280"/>
      <c r="F157" s="485"/>
      <c r="G157" s="480">
        <v>1</v>
      </c>
      <c r="H157" s="480">
        <v>1</v>
      </c>
      <c r="I157" s="577"/>
    </row>
    <row r="158" spans="2:20" outlineLevel="1" x14ac:dyDescent="0.35">
      <c r="D158" s="278"/>
      <c r="E158" s="279"/>
      <c r="F158" s="32"/>
      <c r="G158" s="32"/>
      <c r="H158" s="32">
        <v>1</v>
      </c>
      <c r="I158" s="577"/>
    </row>
    <row r="159" spans="2:20" ht="62" outlineLevel="1" x14ac:dyDescent="0.35">
      <c r="B159" s="276" t="s">
        <v>572</v>
      </c>
      <c r="K159" s="151"/>
      <c r="L159" s="151"/>
      <c r="M159" s="151"/>
      <c r="N159" s="151"/>
    </row>
    <row r="161" spans="1:9" ht="18" x14ac:dyDescent="0.4">
      <c r="A161" s="231"/>
      <c r="B161" s="232" t="s">
        <v>305</v>
      </c>
      <c r="C161" s="233"/>
      <c r="D161" s="234"/>
      <c r="E161" s="234"/>
      <c r="F161" s="235"/>
      <c r="G161" s="235"/>
      <c r="H161" s="235"/>
      <c r="I161" s="235"/>
    </row>
    <row r="162" spans="1:9" ht="8.25" customHeight="1" outlineLevel="1" x14ac:dyDescent="0.35">
      <c r="E162" s="71"/>
    </row>
    <row r="163" spans="1:9" outlineLevel="1" x14ac:dyDescent="0.3">
      <c r="A163" s="251"/>
      <c r="B163" s="241" t="s">
        <v>24</v>
      </c>
      <c r="C163" s="241"/>
      <c r="D163" s="241"/>
      <c r="E163" s="242"/>
      <c r="F163" s="242"/>
      <c r="G163" s="242"/>
      <c r="H163" s="242"/>
      <c r="I163" s="242"/>
    </row>
    <row r="164" spans="1:9" ht="5.25" customHeight="1" outlineLevel="1" x14ac:dyDescent="0.35"/>
    <row r="165" spans="1:9" outlineLevel="1" x14ac:dyDescent="0.3">
      <c r="B165" s="252" t="s">
        <v>573</v>
      </c>
      <c r="C165" s="252"/>
      <c r="D165" s="245"/>
      <c r="E165" s="31"/>
      <c r="F165" s="31"/>
      <c r="G165" s="31"/>
      <c r="H165" s="31"/>
      <c r="I165" s="31"/>
    </row>
    <row r="166" spans="1:9" ht="5.25" customHeight="1" outlineLevel="1" x14ac:dyDescent="0.35">
      <c r="E166" s="71"/>
    </row>
    <row r="167" spans="1:9" ht="31" outlineLevel="1" x14ac:dyDescent="0.35">
      <c r="B167" s="284" t="s">
        <v>310</v>
      </c>
      <c r="C167" s="285"/>
      <c r="D167" s="286">
        <v>38385</v>
      </c>
      <c r="E167" s="286">
        <v>41915</v>
      </c>
      <c r="F167" s="486">
        <v>38487</v>
      </c>
      <c r="G167" s="486">
        <v>38535</v>
      </c>
      <c r="H167" s="486">
        <v>38424</v>
      </c>
      <c r="I167" s="190">
        <v>36410</v>
      </c>
    </row>
    <row r="168" spans="1:9" ht="31" outlineLevel="1" x14ac:dyDescent="0.35">
      <c r="B168" s="288" t="s">
        <v>311</v>
      </c>
      <c r="C168" s="289"/>
      <c r="D168" s="290">
        <v>115051</v>
      </c>
      <c r="E168" s="290">
        <v>103844</v>
      </c>
      <c r="F168" s="487">
        <v>88870</v>
      </c>
      <c r="G168" s="487">
        <v>4947</v>
      </c>
      <c r="H168" s="487">
        <v>5750</v>
      </c>
      <c r="I168" s="526">
        <v>5144</v>
      </c>
    </row>
    <row r="169" spans="1:9" ht="46.5" outlineLevel="1" x14ac:dyDescent="0.35">
      <c r="B169" s="288" t="s">
        <v>312</v>
      </c>
      <c r="C169" s="289"/>
      <c r="D169" s="290">
        <v>82</v>
      </c>
      <c r="E169" s="292">
        <v>82</v>
      </c>
      <c r="F169" s="488">
        <v>935</v>
      </c>
      <c r="G169" s="488">
        <v>89</v>
      </c>
      <c r="H169" s="488">
        <v>107</v>
      </c>
      <c r="I169" s="291">
        <v>52</v>
      </c>
    </row>
    <row r="170" spans="1:9" ht="8.25" customHeight="1" outlineLevel="1" x14ac:dyDescent="0.35">
      <c r="B170" s="273"/>
      <c r="D170" s="293"/>
      <c r="E170" s="293"/>
      <c r="F170" s="294"/>
      <c r="G170" s="294"/>
      <c r="H170" s="294"/>
      <c r="I170" s="294"/>
    </row>
    <row r="171" spans="1:9" outlineLevel="1" x14ac:dyDescent="0.3">
      <c r="A171" s="251"/>
      <c r="B171" s="241" t="s">
        <v>30</v>
      </c>
      <c r="C171" s="241"/>
      <c r="D171" s="241"/>
      <c r="E171" s="242"/>
      <c r="F171" s="242"/>
      <c r="G171" s="242"/>
      <c r="H171" s="242"/>
      <c r="I171" s="242"/>
    </row>
    <row r="172" spans="1:9" ht="5.25" customHeight="1" outlineLevel="1" x14ac:dyDescent="0.35"/>
    <row r="173" spans="1:9" outlineLevel="1" x14ac:dyDescent="0.3">
      <c r="B173" s="252" t="s">
        <v>313</v>
      </c>
      <c r="C173" s="252"/>
      <c r="D173" s="245"/>
      <c r="E173" s="31"/>
      <c r="F173" s="31"/>
      <c r="G173" s="31"/>
      <c r="H173" s="31"/>
      <c r="I173" s="31"/>
    </row>
    <row r="174" spans="1:9" ht="5.25" customHeight="1" outlineLevel="1" x14ac:dyDescent="0.35">
      <c r="E174" s="71"/>
    </row>
    <row r="175" spans="1:9" outlineLevel="1" x14ac:dyDescent="0.35">
      <c r="B175" s="284" t="s">
        <v>314</v>
      </c>
      <c r="C175" s="285"/>
      <c r="D175" s="286">
        <v>170365</v>
      </c>
      <c r="E175" s="286">
        <v>163196</v>
      </c>
      <c r="F175" s="486">
        <v>146019</v>
      </c>
      <c r="G175" s="489" t="s">
        <v>17</v>
      </c>
      <c r="H175" s="489" t="s">
        <v>17</v>
      </c>
      <c r="I175" s="287" t="s">
        <v>17</v>
      </c>
    </row>
    <row r="176" spans="1:9" outlineLevel="1" x14ac:dyDescent="0.35">
      <c r="B176" s="284" t="s">
        <v>453</v>
      </c>
      <c r="C176" s="289"/>
      <c r="D176" s="291" t="s">
        <v>17</v>
      </c>
      <c r="E176" s="290">
        <v>64916</v>
      </c>
      <c r="F176" s="487">
        <v>61512</v>
      </c>
      <c r="G176" s="487">
        <v>63157</v>
      </c>
      <c r="H176" s="487">
        <v>57920</v>
      </c>
      <c r="I176" s="527">
        <v>54118</v>
      </c>
    </row>
    <row r="177" spans="1:14" outlineLevel="1" x14ac:dyDescent="0.35">
      <c r="B177" s="284" t="s">
        <v>454</v>
      </c>
      <c r="C177" s="289"/>
      <c r="D177" s="291" t="s">
        <v>17</v>
      </c>
      <c r="E177" s="291" t="s">
        <v>17</v>
      </c>
      <c r="F177" s="488" t="s">
        <v>17</v>
      </c>
      <c r="G177" s="487">
        <v>61830</v>
      </c>
      <c r="H177" s="487">
        <v>57152</v>
      </c>
      <c r="I177" s="190">
        <v>53274</v>
      </c>
    </row>
    <row r="178" spans="1:14" outlineLevel="1" x14ac:dyDescent="0.35">
      <c r="B178" s="288" t="s">
        <v>313</v>
      </c>
      <c r="C178" s="289"/>
      <c r="D178" s="290">
        <v>4.33</v>
      </c>
      <c r="E178" s="290">
        <v>4.09</v>
      </c>
      <c r="F178" s="488">
        <v>4</v>
      </c>
      <c r="G178" s="488" t="s">
        <v>17</v>
      </c>
      <c r="H178" s="488" t="s">
        <v>17</v>
      </c>
      <c r="I178" s="291" t="s">
        <v>17</v>
      </c>
    </row>
    <row r="179" spans="1:14" outlineLevel="1" x14ac:dyDescent="0.35">
      <c r="B179" s="288" t="s">
        <v>455</v>
      </c>
      <c r="C179" s="289"/>
      <c r="D179" s="291" t="s">
        <v>17</v>
      </c>
      <c r="E179" s="356">
        <v>0.3</v>
      </c>
      <c r="F179" s="488">
        <v>2.09</v>
      </c>
      <c r="G179" s="488">
        <v>2.02</v>
      </c>
      <c r="H179" s="488">
        <v>1.86</v>
      </c>
      <c r="I179" s="357">
        <v>1.78</v>
      </c>
    </row>
    <row r="180" spans="1:14" outlineLevel="1" x14ac:dyDescent="0.35">
      <c r="B180" s="288" t="s">
        <v>456</v>
      </c>
      <c r="C180" s="289"/>
      <c r="D180" s="291" t="s">
        <v>17</v>
      </c>
      <c r="E180" s="291" t="s">
        <v>17</v>
      </c>
      <c r="F180" s="488" t="s">
        <v>17</v>
      </c>
      <c r="G180" s="488">
        <v>1.98</v>
      </c>
      <c r="H180" s="488">
        <v>1.84</v>
      </c>
      <c r="I180" s="357">
        <v>1.75</v>
      </c>
    </row>
    <row r="181" spans="1:14" outlineLevel="1" x14ac:dyDescent="0.35">
      <c r="B181" s="273"/>
      <c r="D181" s="293"/>
      <c r="E181" s="293"/>
      <c r="F181" s="294"/>
      <c r="G181" s="294"/>
      <c r="H181" s="294"/>
      <c r="I181" s="294"/>
    </row>
    <row r="182" spans="1:14" ht="42.5" outlineLevel="1" x14ac:dyDescent="0.35">
      <c r="B182" s="295" t="s">
        <v>457</v>
      </c>
      <c r="D182" s="293"/>
      <c r="E182" s="293"/>
      <c r="F182" s="294"/>
      <c r="G182" s="294"/>
      <c r="H182" s="294"/>
      <c r="I182" s="294"/>
    </row>
    <row r="183" spans="1:14" ht="9" customHeight="1" outlineLevel="1" x14ac:dyDescent="0.35">
      <c r="B183" s="273"/>
      <c r="D183" s="293"/>
      <c r="E183" s="293"/>
      <c r="F183" s="294"/>
      <c r="G183" s="294"/>
      <c r="H183" s="294"/>
      <c r="I183" s="294"/>
    </row>
    <row r="184" spans="1:14" outlineLevel="1" x14ac:dyDescent="0.3">
      <c r="A184" s="251"/>
      <c r="B184" s="241" t="s">
        <v>31</v>
      </c>
      <c r="C184" s="241"/>
      <c r="D184" s="241"/>
      <c r="E184" s="242"/>
      <c r="F184" s="242"/>
      <c r="G184" s="242"/>
      <c r="H184" s="242"/>
      <c r="I184" s="242"/>
    </row>
    <row r="185" spans="1:14" ht="5.25" customHeight="1" outlineLevel="1" x14ac:dyDescent="0.35"/>
    <row r="186" spans="1:14" outlineLevel="1" x14ac:dyDescent="0.3">
      <c r="B186" s="252" t="s">
        <v>315</v>
      </c>
      <c r="C186" s="252"/>
      <c r="D186" s="245"/>
      <c r="E186" s="31"/>
      <c r="F186" s="31"/>
      <c r="G186" s="31"/>
      <c r="H186" s="31"/>
      <c r="I186" s="31"/>
    </row>
    <row r="187" spans="1:14" ht="6.75" customHeight="1" outlineLevel="1" x14ac:dyDescent="0.35">
      <c r="E187" s="71"/>
      <c r="F187" s="294"/>
      <c r="G187" s="294"/>
      <c r="H187" s="294"/>
      <c r="I187" s="294"/>
    </row>
    <row r="188" spans="1:14" outlineLevel="1" x14ac:dyDescent="0.35">
      <c r="B188" s="284" t="s">
        <v>316</v>
      </c>
      <c r="C188" s="285"/>
      <c r="D188" s="358">
        <v>1.6</v>
      </c>
      <c r="E188" s="359">
        <v>3.1</v>
      </c>
      <c r="F188" s="489">
        <v>0.5</v>
      </c>
      <c r="G188" s="489">
        <v>2.08</v>
      </c>
      <c r="H188" s="360" t="s">
        <v>667</v>
      </c>
      <c r="I188" s="360" t="s">
        <v>667</v>
      </c>
      <c r="J188" s="538"/>
      <c r="K188" s="71" t="s">
        <v>668</v>
      </c>
      <c r="L188" s="71"/>
      <c r="M188" s="71"/>
      <c r="N188" s="71"/>
    </row>
    <row r="189" spans="1:14" outlineLevel="1" x14ac:dyDescent="0.35">
      <c r="B189" s="288" t="s">
        <v>317</v>
      </c>
      <c r="C189" s="289"/>
      <c r="D189" s="356">
        <v>364.9</v>
      </c>
      <c r="E189" s="357">
        <v>383.2</v>
      </c>
      <c r="F189" s="488">
        <v>336.5</v>
      </c>
      <c r="G189" s="488">
        <v>331.3</v>
      </c>
      <c r="H189" s="357">
        <v>338.55</v>
      </c>
      <c r="I189" s="357">
        <v>335.23</v>
      </c>
      <c r="J189" s="71"/>
      <c r="K189" s="71"/>
      <c r="L189" s="71"/>
      <c r="M189" s="71"/>
      <c r="N189" s="71"/>
    </row>
    <row r="190" spans="1:14" ht="17.25" customHeight="1" outlineLevel="1" x14ac:dyDescent="0.35">
      <c r="B190" s="288" t="s">
        <v>318</v>
      </c>
      <c r="C190" s="289"/>
      <c r="D190" s="296">
        <v>4.4000000000000003E-3</v>
      </c>
      <c r="E190" s="297">
        <v>8.0999999999999996E-3</v>
      </c>
      <c r="F190" s="490">
        <v>1.5E-3</v>
      </c>
      <c r="G190" s="488" t="s">
        <v>17</v>
      </c>
      <c r="H190" s="528">
        <v>8.5000000000000006E-3</v>
      </c>
      <c r="I190" s="528">
        <v>1.2E-2</v>
      </c>
      <c r="J190" s="71"/>
      <c r="K190" s="71"/>
      <c r="L190" s="71"/>
      <c r="M190" s="71"/>
      <c r="N190" s="71"/>
    </row>
    <row r="191" spans="1:14" ht="9" customHeight="1" outlineLevel="1" x14ac:dyDescent="0.35">
      <c r="B191" s="273"/>
      <c r="D191" s="293"/>
      <c r="E191" s="293"/>
      <c r="F191" s="294"/>
      <c r="G191" s="294"/>
      <c r="H191" s="294"/>
      <c r="I191" s="294"/>
    </row>
    <row r="192" spans="1:14" outlineLevel="1" x14ac:dyDescent="0.3">
      <c r="A192" s="251"/>
      <c r="B192" s="241" t="s">
        <v>32</v>
      </c>
      <c r="C192" s="241"/>
      <c r="D192" s="241"/>
      <c r="E192" s="242"/>
      <c r="F192" s="242"/>
      <c r="G192" s="242"/>
      <c r="H192" s="242"/>
      <c r="I192" s="242"/>
    </row>
    <row r="193" spans="2:14" ht="5.25" customHeight="1" outlineLevel="1" x14ac:dyDescent="0.35"/>
    <row r="194" spans="2:14" outlineLevel="1" x14ac:dyDescent="0.3">
      <c r="B194" s="252" t="s">
        <v>319</v>
      </c>
      <c r="C194" s="252"/>
      <c r="D194" s="245"/>
      <c r="E194" s="31"/>
      <c r="F194" s="31"/>
      <c r="G194" s="31"/>
      <c r="H194" s="31"/>
      <c r="I194" s="31"/>
    </row>
    <row r="195" spans="2:14" ht="6.75" customHeight="1" outlineLevel="1" x14ac:dyDescent="0.35">
      <c r="E195" s="71"/>
      <c r="F195" s="294"/>
      <c r="G195" s="294"/>
      <c r="H195" s="294"/>
      <c r="I195" s="294"/>
    </row>
    <row r="196" spans="2:14" outlineLevel="1" x14ac:dyDescent="0.35">
      <c r="B196" s="284" t="s">
        <v>1</v>
      </c>
      <c r="C196" s="285"/>
      <c r="D196" s="286">
        <v>2066623.28</v>
      </c>
      <c r="E196" s="287">
        <v>2048526.56</v>
      </c>
      <c r="F196" s="287">
        <v>531316</v>
      </c>
      <c r="G196" s="287">
        <v>543678</v>
      </c>
      <c r="H196" s="287">
        <v>551470</v>
      </c>
      <c r="I196" s="287">
        <v>523513</v>
      </c>
      <c r="J196" s="71"/>
      <c r="K196" s="71"/>
      <c r="L196" s="71"/>
      <c r="M196" s="71"/>
      <c r="N196" s="71"/>
    </row>
    <row r="197" spans="2:14" outlineLevel="1" x14ac:dyDescent="0.35">
      <c r="B197" s="284" t="s">
        <v>320</v>
      </c>
      <c r="C197" s="285"/>
      <c r="D197" s="286">
        <v>26166.54</v>
      </c>
      <c r="E197" s="287">
        <v>6467.63</v>
      </c>
      <c r="F197" s="287" t="s">
        <v>17</v>
      </c>
      <c r="G197" s="287" t="s">
        <v>17</v>
      </c>
      <c r="H197" s="287" t="s">
        <v>17</v>
      </c>
      <c r="I197" s="287" t="s">
        <v>17</v>
      </c>
      <c r="J197" s="71"/>
      <c r="K197" s="71"/>
      <c r="L197" s="71"/>
      <c r="M197" s="71"/>
      <c r="N197" s="71"/>
    </row>
    <row r="198" spans="2:14" outlineLevel="1" x14ac:dyDescent="0.35">
      <c r="B198" s="284" t="s">
        <v>321</v>
      </c>
      <c r="C198" s="285"/>
      <c r="D198" s="286">
        <v>9830.18</v>
      </c>
      <c r="E198" s="287">
        <v>5148.1499999999996</v>
      </c>
      <c r="F198" s="287">
        <v>4010.4</v>
      </c>
      <c r="G198" s="287">
        <v>8574.68</v>
      </c>
      <c r="H198" s="287">
        <v>7898</v>
      </c>
      <c r="I198" s="287">
        <v>10560</v>
      </c>
      <c r="J198" s="71"/>
      <c r="K198" s="71"/>
      <c r="L198" s="71"/>
      <c r="M198" s="71"/>
      <c r="N198" s="71"/>
    </row>
    <row r="199" spans="2:14" outlineLevel="1" x14ac:dyDescent="0.35">
      <c r="B199" s="284" t="s">
        <v>322</v>
      </c>
      <c r="C199" s="285"/>
      <c r="D199" s="286">
        <v>6453.26</v>
      </c>
      <c r="E199" s="287">
        <v>25083.67</v>
      </c>
      <c r="F199" s="287">
        <v>5254.92</v>
      </c>
      <c r="G199" s="287">
        <v>4136.1899999999996</v>
      </c>
      <c r="H199" s="287">
        <v>2637</v>
      </c>
      <c r="I199" s="287">
        <v>1551</v>
      </c>
      <c r="J199" s="71"/>
      <c r="K199" s="71"/>
      <c r="L199" s="71"/>
      <c r="M199" s="71"/>
      <c r="N199" s="71"/>
    </row>
    <row r="200" spans="2:14" outlineLevel="1" x14ac:dyDescent="0.35">
      <c r="B200" s="284" t="s">
        <v>323</v>
      </c>
      <c r="C200" s="285"/>
      <c r="D200" s="286">
        <v>39528.53</v>
      </c>
      <c r="E200" s="287">
        <v>72845.039999999994</v>
      </c>
      <c r="F200" s="287">
        <v>16348</v>
      </c>
      <c r="G200" s="287">
        <v>17744</v>
      </c>
      <c r="H200" s="287">
        <v>19847</v>
      </c>
      <c r="I200" s="287">
        <v>16150</v>
      </c>
      <c r="J200" s="71"/>
      <c r="K200" s="71"/>
      <c r="L200" s="71"/>
      <c r="M200" s="71"/>
      <c r="N200" s="71"/>
    </row>
    <row r="201" spans="2:14" ht="17.25" customHeight="1" outlineLevel="1" x14ac:dyDescent="0.35">
      <c r="B201" s="284" t="s">
        <v>188</v>
      </c>
      <c r="C201" s="285"/>
      <c r="D201" s="286">
        <v>19938.080000000002</v>
      </c>
      <c r="E201" s="287">
        <v>11075.42</v>
      </c>
      <c r="F201" s="287">
        <v>13684</v>
      </c>
      <c r="G201" s="287">
        <v>16860</v>
      </c>
      <c r="H201" s="287">
        <v>17224</v>
      </c>
      <c r="I201" s="287">
        <v>9861</v>
      </c>
      <c r="J201" s="71"/>
      <c r="K201" s="71"/>
      <c r="L201" s="71"/>
      <c r="M201" s="71"/>
      <c r="N201" s="71"/>
    </row>
    <row r="202" spans="2:14" ht="17.25" customHeight="1" outlineLevel="1" x14ac:dyDescent="0.35">
      <c r="B202" s="273"/>
      <c r="D202" s="293"/>
      <c r="E202" s="293"/>
      <c r="F202" s="294"/>
      <c r="G202" s="294"/>
      <c r="H202" s="294"/>
      <c r="I202" s="294"/>
    </row>
    <row r="203" spans="2:14" ht="56.5" outlineLevel="1" x14ac:dyDescent="0.35">
      <c r="B203" s="295" t="s">
        <v>574</v>
      </c>
      <c r="D203" s="293"/>
      <c r="E203" s="293"/>
      <c r="F203" s="294"/>
      <c r="G203" s="294"/>
      <c r="H203" s="294"/>
      <c r="I203" s="294"/>
    </row>
    <row r="204" spans="2:14" ht="9" customHeight="1" outlineLevel="1" x14ac:dyDescent="0.35">
      <c r="B204" s="273"/>
      <c r="D204" s="293"/>
      <c r="E204" s="293"/>
      <c r="F204" s="294"/>
      <c r="G204" s="294"/>
      <c r="H204" s="294"/>
      <c r="I204" s="294"/>
    </row>
    <row r="205" spans="2:14" outlineLevel="1" x14ac:dyDescent="0.3">
      <c r="B205" s="252" t="s">
        <v>324</v>
      </c>
      <c r="C205" s="252"/>
      <c r="D205" s="245"/>
      <c r="E205" s="31"/>
      <c r="F205" s="31"/>
      <c r="G205" s="31"/>
      <c r="H205" s="31"/>
      <c r="I205" s="31"/>
    </row>
    <row r="206" spans="2:14" ht="6.75" customHeight="1" outlineLevel="1" x14ac:dyDescent="0.35">
      <c r="E206" s="71"/>
      <c r="F206" s="294"/>
      <c r="G206" s="294"/>
      <c r="H206" s="294"/>
      <c r="I206" s="294"/>
    </row>
    <row r="207" spans="2:14" outlineLevel="1" x14ac:dyDescent="0.35">
      <c r="B207" s="284" t="s">
        <v>575</v>
      </c>
      <c r="C207" s="285"/>
      <c r="D207" s="286">
        <v>255425.35</v>
      </c>
      <c r="E207" s="287">
        <v>230145.92000000001</v>
      </c>
      <c r="F207" s="486">
        <v>62572</v>
      </c>
      <c r="G207" s="486">
        <v>63296</v>
      </c>
      <c r="H207" s="486">
        <v>56790</v>
      </c>
      <c r="I207" s="287">
        <v>63209</v>
      </c>
      <c r="J207" s="71"/>
      <c r="K207" s="71"/>
      <c r="L207" s="71"/>
      <c r="M207" s="71"/>
      <c r="N207" s="71"/>
    </row>
    <row r="208" spans="2:14" outlineLevel="1" x14ac:dyDescent="0.35">
      <c r="B208" s="284" t="s">
        <v>325</v>
      </c>
      <c r="C208" s="285"/>
      <c r="D208" s="286">
        <v>6896.48</v>
      </c>
      <c r="E208" s="287">
        <v>3830.93</v>
      </c>
      <c r="F208" s="489" t="s">
        <v>17</v>
      </c>
      <c r="G208" s="489" t="s">
        <v>17</v>
      </c>
      <c r="H208" s="486">
        <v>4275</v>
      </c>
      <c r="I208" s="287">
        <v>9543</v>
      </c>
      <c r="J208" s="71"/>
      <c r="K208" s="71"/>
      <c r="L208" s="71"/>
      <c r="M208" s="71"/>
      <c r="N208" s="71"/>
    </row>
    <row r="209" spans="2:14" ht="17.25" customHeight="1" outlineLevel="1" x14ac:dyDescent="0.35">
      <c r="B209" s="273"/>
      <c r="D209" s="293"/>
      <c r="E209" s="293"/>
      <c r="F209" s="294"/>
      <c r="G209" s="294"/>
      <c r="H209" s="294"/>
      <c r="I209" s="294"/>
    </row>
    <row r="210" spans="2:14" ht="28" outlineLevel="1" x14ac:dyDescent="0.35">
      <c r="B210" s="491" t="s">
        <v>576</v>
      </c>
      <c r="D210" s="293"/>
      <c r="E210" s="293"/>
      <c r="F210" s="294"/>
      <c r="G210" s="294"/>
      <c r="H210" s="294"/>
      <c r="I210" s="294"/>
    </row>
    <row r="211" spans="2:14" ht="9" customHeight="1" outlineLevel="1" x14ac:dyDescent="0.35">
      <c r="B211" s="273"/>
      <c r="D211" s="293"/>
      <c r="E211" s="293"/>
      <c r="F211" s="294"/>
      <c r="G211" s="294"/>
      <c r="H211" s="294"/>
      <c r="I211" s="294"/>
    </row>
    <row r="212" spans="2:14" outlineLevel="1" x14ac:dyDescent="0.3">
      <c r="B212" s="252" t="s">
        <v>326</v>
      </c>
      <c r="C212" s="252"/>
      <c r="D212" s="245"/>
      <c r="E212" s="31"/>
      <c r="F212" s="31"/>
      <c r="G212" s="31"/>
      <c r="H212" s="31"/>
      <c r="I212" s="31"/>
    </row>
    <row r="213" spans="2:14" ht="6.75" customHeight="1" outlineLevel="1" x14ac:dyDescent="0.35">
      <c r="E213" s="71"/>
      <c r="F213" s="294"/>
      <c r="G213" s="294"/>
      <c r="H213" s="294"/>
      <c r="I213" s="294"/>
    </row>
    <row r="214" spans="2:14" outlineLevel="1" x14ac:dyDescent="0.35">
      <c r="B214" s="56" t="s">
        <v>648</v>
      </c>
      <c r="D214" s="286">
        <f t="shared" ref="D214:E214" si="3">SUM(D215:D216,D218)</f>
        <v>143550.62</v>
      </c>
      <c r="E214" s="287">
        <f t="shared" si="3"/>
        <v>142302.88999999998</v>
      </c>
      <c r="F214" s="287">
        <f>SUM(F215:F216,F218)</f>
        <v>134289.39000000001</v>
      </c>
      <c r="G214" s="287">
        <f t="shared" ref="G214:H214" si="4">SUM(G215:G216,G218)</f>
        <v>136208.18</v>
      </c>
      <c r="H214" s="287">
        <f t="shared" si="4"/>
        <v>141415</v>
      </c>
      <c r="I214" s="287" t="s">
        <v>669</v>
      </c>
      <c r="K214" s="149" t="s">
        <v>670</v>
      </c>
    </row>
    <row r="215" spans="2:14" outlineLevel="1" x14ac:dyDescent="0.35">
      <c r="B215" s="288" t="s">
        <v>577</v>
      </c>
      <c r="C215" s="289"/>
      <c r="D215" s="286">
        <v>143447.44</v>
      </c>
      <c r="E215" s="287">
        <v>141904.59</v>
      </c>
      <c r="F215" s="287">
        <v>126193</v>
      </c>
      <c r="G215" s="287">
        <v>109848</v>
      </c>
      <c r="H215" s="287">
        <v>103824</v>
      </c>
      <c r="I215" s="287" t="s">
        <v>17</v>
      </c>
      <c r="J215" s="71"/>
      <c r="K215" s="71"/>
      <c r="L215" s="71"/>
      <c r="M215" s="71"/>
      <c r="N215" s="71"/>
    </row>
    <row r="216" spans="2:14" outlineLevel="1" x14ac:dyDescent="0.35">
      <c r="B216" s="284" t="s">
        <v>578</v>
      </c>
      <c r="C216" s="285"/>
      <c r="D216" s="286"/>
      <c r="E216" s="287"/>
      <c r="F216" s="287">
        <v>7714</v>
      </c>
      <c r="G216" s="287">
        <v>25998</v>
      </c>
      <c r="H216" s="287">
        <v>37238</v>
      </c>
      <c r="I216" s="287" t="s">
        <v>17</v>
      </c>
      <c r="J216" s="71"/>
      <c r="K216" s="71"/>
      <c r="L216" s="71"/>
      <c r="M216" s="71"/>
      <c r="N216" s="71"/>
    </row>
    <row r="217" spans="2:14" outlineLevel="1" x14ac:dyDescent="0.35">
      <c r="B217" s="284" t="s">
        <v>327</v>
      </c>
      <c r="C217" s="285"/>
      <c r="D217" s="286">
        <v>119697.83</v>
      </c>
      <c r="E217" s="287">
        <v>185636.97</v>
      </c>
      <c r="F217" s="287">
        <v>255639</v>
      </c>
      <c r="G217" s="287">
        <v>254210</v>
      </c>
      <c r="H217" s="287">
        <v>197193</v>
      </c>
      <c r="I217" s="287">
        <v>181759</v>
      </c>
      <c r="J217" s="71"/>
      <c r="K217" s="71"/>
      <c r="L217" s="71"/>
      <c r="M217" s="71"/>
      <c r="N217" s="71"/>
    </row>
    <row r="218" spans="2:14" outlineLevel="1" x14ac:dyDescent="0.35">
      <c r="B218" s="284" t="s">
        <v>579</v>
      </c>
      <c r="C218" s="285"/>
      <c r="D218" s="286">
        <v>103.18</v>
      </c>
      <c r="E218" s="287">
        <v>398.3</v>
      </c>
      <c r="F218" s="287">
        <v>382.39</v>
      </c>
      <c r="G218" s="287">
        <v>362.18</v>
      </c>
      <c r="H218" s="287">
        <v>353</v>
      </c>
      <c r="I218" s="287" t="s">
        <v>17</v>
      </c>
      <c r="J218" s="71"/>
      <c r="K218" s="71"/>
      <c r="L218" s="71"/>
      <c r="M218" s="71"/>
      <c r="N218" s="71"/>
    </row>
    <row r="219" spans="2:14" outlineLevel="1" x14ac:dyDescent="0.35">
      <c r="B219" s="299"/>
      <c r="D219" s="293"/>
      <c r="E219" s="293"/>
      <c r="F219" s="294"/>
      <c r="G219" s="294"/>
      <c r="H219" s="294"/>
      <c r="I219" s="294"/>
    </row>
    <row r="220" spans="2:14" outlineLevel="1" x14ac:dyDescent="0.35">
      <c r="B220" s="298" t="s">
        <v>580</v>
      </c>
      <c r="D220" s="293"/>
      <c r="E220" s="293"/>
      <c r="F220" s="294"/>
      <c r="G220" s="294"/>
      <c r="H220" s="294"/>
      <c r="I220" s="294"/>
    </row>
    <row r="221" spans="2:14" ht="9" customHeight="1" outlineLevel="1" x14ac:dyDescent="0.35">
      <c r="B221" s="273"/>
      <c r="D221" s="293"/>
      <c r="E221" s="293"/>
      <c r="F221" s="294"/>
      <c r="G221" s="294"/>
      <c r="H221" s="294"/>
      <c r="I221" s="294"/>
    </row>
    <row r="222" spans="2:14" outlineLevel="1" x14ac:dyDescent="0.3">
      <c r="B222" s="252" t="s">
        <v>328</v>
      </c>
      <c r="C222" s="252"/>
      <c r="D222" s="245"/>
      <c r="E222" s="31"/>
      <c r="F222" s="31"/>
      <c r="G222" s="31"/>
      <c r="H222" s="31"/>
      <c r="I222" s="31"/>
    </row>
    <row r="223" spans="2:14" ht="6.75" customHeight="1" outlineLevel="1" x14ac:dyDescent="0.35">
      <c r="E223" s="71"/>
      <c r="F223" s="294"/>
      <c r="G223" s="294"/>
      <c r="H223" s="294"/>
      <c r="I223" s="294"/>
    </row>
    <row r="224" spans="2:14" outlineLevel="1" x14ac:dyDescent="0.35">
      <c r="B224" s="284" t="s">
        <v>329</v>
      </c>
      <c r="C224" s="285"/>
      <c r="D224" s="286">
        <v>2168539.87</v>
      </c>
      <c r="E224" s="287">
        <v>2169146.4700000002</v>
      </c>
      <c r="F224" s="287">
        <v>570614</v>
      </c>
      <c r="G224" s="287">
        <v>590993</v>
      </c>
      <c r="H224" s="287">
        <v>599076</v>
      </c>
      <c r="I224" s="287">
        <v>561635</v>
      </c>
      <c r="J224" s="71"/>
      <c r="K224" s="71"/>
      <c r="L224" s="71"/>
      <c r="M224" s="71"/>
      <c r="N224" s="71"/>
    </row>
    <row r="225" spans="1:14" outlineLevel="1" x14ac:dyDescent="0.35">
      <c r="B225" s="284" t="s">
        <v>581</v>
      </c>
      <c r="C225" s="285"/>
      <c r="D225" s="286">
        <v>262321.83</v>
      </c>
      <c r="E225" s="287">
        <v>233976.85</v>
      </c>
      <c r="F225" s="287">
        <v>62752</v>
      </c>
      <c r="G225" s="287">
        <v>63296</v>
      </c>
      <c r="H225" s="287">
        <v>61085</v>
      </c>
      <c r="I225" s="287">
        <v>72752</v>
      </c>
      <c r="J225" s="71"/>
      <c r="K225" s="71"/>
      <c r="L225" s="71"/>
      <c r="M225" s="71"/>
      <c r="N225" s="71"/>
    </row>
    <row r="226" spans="1:14" outlineLevel="1" x14ac:dyDescent="0.35">
      <c r="B226" s="284" t="s">
        <v>330</v>
      </c>
      <c r="C226" s="285"/>
      <c r="D226" s="286">
        <v>263248.45</v>
      </c>
      <c r="E226" s="287">
        <v>327939.86</v>
      </c>
      <c r="F226" s="287">
        <v>389928</v>
      </c>
      <c r="G226" s="287">
        <v>390418</v>
      </c>
      <c r="H226" s="287">
        <v>338608</v>
      </c>
      <c r="I226" s="287">
        <v>327129</v>
      </c>
      <c r="J226" s="71"/>
      <c r="K226" s="71"/>
      <c r="L226" s="71"/>
      <c r="M226" s="71"/>
      <c r="N226" s="71"/>
    </row>
    <row r="227" spans="1:14" ht="9" customHeight="1" outlineLevel="1" x14ac:dyDescent="0.35">
      <c r="B227" s="273"/>
      <c r="D227" s="293"/>
      <c r="E227" s="294"/>
      <c r="F227" s="294"/>
      <c r="G227" s="294"/>
      <c r="H227" s="294"/>
      <c r="I227" s="294"/>
      <c r="J227" s="71"/>
      <c r="K227" s="71"/>
      <c r="L227" s="71"/>
      <c r="M227" s="71"/>
      <c r="N227" s="71"/>
    </row>
    <row r="228" spans="1:14" ht="108" customHeight="1" outlineLevel="1" x14ac:dyDescent="0.35">
      <c r="B228" s="492" t="s">
        <v>582</v>
      </c>
      <c r="D228" s="293"/>
      <c r="E228" s="294"/>
      <c r="F228" s="294"/>
      <c r="G228" s="493"/>
      <c r="H228" s="294"/>
      <c r="I228" s="294"/>
      <c r="J228" s="71"/>
      <c r="K228" s="71"/>
      <c r="L228" s="71"/>
      <c r="M228" s="71"/>
      <c r="N228" s="71"/>
    </row>
    <row r="229" spans="1:14" ht="9" customHeight="1" outlineLevel="1" x14ac:dyDescent="0.35">
      <c r="B229" s="273"/>
      <c r="D229" s="293"/>
      <c r="E229" s="293"/>
      <c r="F229" s="294"/>
      <c r="G229" s="294"/>
      <c r="H229" s="294"/>
      <c r="I229" s="294"/>
    </row>
    <row r="230" spans="1:14" outlineLevel="1" x14ac:dyDescent="0.3">
      <c r="A230" s="251"/>
      <c r="B230" s="241" t="s">
        <v>33</v>
      </c>
      <c r="C230" s="241"/>
      <c r="D230" s="241"/>
      <c r="E230" s="242"/>
      <c r="F230" s="242"/>
      <c r="G230" s="242"/>
      <c r="H230" s="242"/>
      <c r="I230" s="242"/>
    </row>
    <row r="231" spans="1:14" ht="5.25" customHeight="1" outlineLevel="1" x14ac:dyDescent="0.35"/>
    <row r="232" spans="1:14" outlineLevel="1" x14ac:dyDescent="0.3">
      <c r="B232" s="252" t="s">
        <v>331</v>
      </c>
      <c r="C232" s="252"/>
      <c r="D232" s="245"/>
      <c r="E232" s="31"/>
      <c r="F232" s="31"/>
      <c r="G232" s="31"/>
      <c r="H232" s="31"/>
      <c r="I232" s="31"/>
    </row>
    <row r="233" spans="1:14" ht="6.75" customHeight="1" outlineLevel="1" x14ac:dyDescent="0.35">
      <c r="E233" s="71"/>
      <c r="F233" s="294"/>
      <c r="G233" s="294"/>
      <c r="H233" s="294"/>
      <c r="I233" s="294"/>
    </row>
    <row r="234" spans="1:14" outlineLevel="1" x14ac:dyDescent="0.35">
      <c r="B234" s="284" t="s">
        <v>332</v>
      </c>
      <c r="C234" s="285"/>
      <c r="D234" s="286">
        <v>2694110.15</v>
      </c>
      <c r="E234" s="287">
        <v>2731063.18</v>
      </c>
      <c r="F234" s="287">
        <v>1023294</v>
      </c>
      <c r="G234" s="287">
        <v>1044707</v>
      </c>
      <c r="H234" s="287">
        <v>998749</v>
      </c>
      <c r="I234" s="287">
        <v>961515</v>
      </c>
      <c r="J234" s="71"/>
      <c r="K234" s="71"/>
      <c r="L234" s="71"/>
      <c r="M234" s="71"/>
      <c r="N234" s="71"/>
    </row>
    <row r="235" spans="1:14" outlineLevel="1" x14ac:dyDescent="0.35">
      <c r="B235" s="284" t="s">
        <v>333</v>
      </c>
      <c r="C235" s="285"/>
      <c r="D235" s="286">
        <v>68.53</v>
      </c>
      <c r="E235" s="287">
        <v>68.489999999999995</v>
      </c>
      <c r="F235" s="360">
        <v>34.71</v>
      </c>
      <c r="G235" s="360">
        <v>33.39</v>
      </c>
      <c r="H235" s="360">
        <v>32.08</v>
      </c>
      <c r="I235" s="360">
        <v>26.04</v>
      </c>
      <c r="J235" s="71"/>
      <c r="K235" s="71"/>
      <c r="L235" s="71"/>
      <c r="M235" s="71"/>
      <c r="N235" s="71"/>
    </row>
    <row r="236" spans="1:14" outlineLevel="1" x14ac:dyDescent="0.35">
      <c r="B236" s="284" t="s">
        <v>334</v>
      </c>
      <c r="C236" s="285"/>
      <c r="D236" s="286">
        <v>2762919.24</v>
      </c>
      <c r="E236" s="287">
        <v>2959932.99</v>
      </c>
      <c r="F236" s="287">
        <v>4489675</v>
      </c>
      <c r="G236" s="287">
        <v>4871302</v>
      </c>
      <c r="H236" s="287">
        <v>5280502</v>
      </c>
      <c r="I236" s="287">
        <v>5580077</v>
      </c>
      <c r="J236" s="71"/>
      <c r="K236" s="71"/>
      <c r="L236" s="71"/>
      <c r="M236" s="71"/>
      <c r="N236" s="71"/>
    </row>
    <row r="237" spans="1:14" outlineLevel="1" x14ac:dyDescent="0.35">
      <c r="B237" s="284" t="s">
        <v>335</v>
      </c>
      <c r="C237" s="285"/>
      <c r="D237" s="286">
        <v>70.28</v>
      </c>
      <c r="E237" s="287">
        <v>74.23</v>
      </c>
      <c r="F237" s="360">
        <v>152.31</v>
      </c>
      <c r="G237" s="360">
        <v>155.70400000000001</v>
      </c>
      <c r="H237" s="360">
        <v>169.68</v>
      </c>
      <c r="I237" s="360">
        <v>151.09</v>
      </c>
      <c r="J237" s="71"/>
      <c r="K237" s="71"/>
      <c r="L237" s="71"/>
      <c r="M237" s="71"/>
      <c r="N237" s="71"/>
    </row>
    <row r="238" spans="1:14" outlineLevel="1" x14ac:dyDescent="0.35">
      <c r="B238" s="288" t="s">
        <v>336</v>
      </c>
      <c r="C238" s="289"/>
      <c r="D238" s="290">
        <v>5457029.3899999997</v>
      </c>
      <c r="E238" s="291">
        <v>5690996.1699999999</v>
      </c>
      <c r="F238" s="291">
        <f t="shared" ref="F238:H239" si="5">F236+F234</f>
        <v>5512969</v>
      </c>
      <c r="G238" s="287">
        <f t="shared" si="5"/>
        <v>5916009</v>
      </c>
      <c r="H238" s="287">
        <f t="shared" si="5"/>
        <v>6279251</v>
      </c>
      <c r="I238" s="287">
        <f>SUM(I234,I236)</f>
        <v>6541592</v>
      </c>
      <c r="J238" s="71"/>
      <c r="K238" s="71"/>
      <c r="L238" s="71"/>
      <c r="M238" s="71"/>
      <c r="N238" s="71"/>
    </row>
    <row r="239" spans="1:14" outlineLevel="1" x14ac:dyDescent="0.35">
      <c r="B239" s="273" t="s">
        <v>337</v>
      </c>
      <c r="D239" s="293">
        <v>138.81</v>
      </c>
      <c r="E239" s="294">
        <v>142.72</v>
      </c>
      <c r="F239" s="494">
        <f t="shared" si="5"/>
        <v>187.02</v>
      </c>
      <c r="G239" s="359">
        <f t="shared" si="5"/>
        <v>189.09399999999999</v>
      </c>
      <c r="H239" s="359">
        <f t="shared" si="5"/>
        <v>201.76</v>
      </c>
      <c r="I239" s="359">
        <v>177.13</v>
      </c>
      <c r="J239" s="71"/>
      <c r="K239" s="71"/>
      <c r="L239" s="71"/>
      <c r="M239" s="71"/>
      <c r="N239" s="71"/>
    </row>
    <row r="240" spans="1:14" outlineLevel="1" x14ac:dyDescent="0.35">
      <c r="B240" s="289" t="s">
        <v>458</v>
      </c>
      <c r="C240" s="288"/>
      <c r="D240" s="361"/>
      <c r="E240" s="288"/>
      <c r="F240" s="288">
        <v>0.23</v>
      </c>
      <c r="G240" s="288">
        <v>0.21</v>
      </c>
      <c r="H240" s="288">
        <v>0.19</v>
      </c>
      <c r="I240" s="529">
        <f>I235/I237</f>
        <v>0.17234760738632601</v>
      </c>
      <c r="J240" s="71"/>
      <c r="K240" s="71" t="s">
        <v>671</v>
      </c>
      <c r="L240" s="71"/>
      <c r="M240" s="71"/>
      <c r="N240" s="71"/>
    </row>
    <row r="241" spans="1:14" outlineLevel="1" x14ac:dyDescent="0.35">
      <c r="D241" s="293"/>
      <c r="E241" s="294"/>
      <c r="F241" s="294"/>
      <c r="G241" s="294"/>
      <c r="H241" s="294"/>
      <c r="I241" s="294"/>
      <c r="J241" s="71"/>
      <c r="K241" s="71"/>
      <c r="L241" s="71"/>
      <c r="M241" s="71"/>
      <c r="N241" s="71"/>
    </row>
    <row r="242" spans="1:14" ht="70.5" outlineLevel="1" x14ac:dyDescent="0.35">
      <c r="B242" s="298" t="s">
        <v>459</v>
      </c>
      <c r="D242" s="293"/>
      <c r="E242" s="294"/>
      <c r="F242" s="294"/>
      <c r="G242" s="294"/>
      <c r="H242" s="294"/>
      <c r="I242" s="294"/>
      <c r="J242" s="71"/>
      <c r="K242" s="71"/>
      <c r="L242" s="71"/>
      <c r="M242" s="71"/>
      <c r="N242" s="71"/>
    </row>
    <row r="243" spans="1:14" ht="9" customHeight="1" outlineLevel="1" x14ac:dyDescent="0.35">
      <c r="B243" s="273"/>
      <c r="D243" s="293"/>
      <c r="E243" s="293"/>
      <c r="F243" s="294"/>
      <c r="G243" s="294"/>
      <c r="H243" s="294"/>
      <c r="I243" s="294"/>
    </row>
    <row r="244" spans="1:14" outlineLevel="1" x14ac:dyDescent="0.3">
      <c r="A244" s="251"/>
      <c r="B244" s="241" t="s">
        <v>34</v>
      </c>
      <c r="C244" s="241"/>
      <c r="D244" s="241"/>
      <c r="E244" s="242"/>
      <c r="F244" s="242"/>
      <c r="G244" s="242"/>
      <c r="H244" s="242"/>
      <c r="I244" s="242"/>
    </row>
    <row r="245" spans="1:14" ht="5.25" customHeight="1" outlineLevel="1" x14ac:dyDescent="0.35"/>
    <row r="246" spans="1:14" ht="31" outlineLevel="1" x14ac:dyDescent="0.3">
      <c r="B246" s="252" t="s">
        <v>338</v>
      </c>
      <c r="C246" s="252"/>
      <c r="D246" s="245"/>
      <c r="E246" s="31"/>
      <c r="F246" s="31"/>
      <c r="G246" s="31"/>
      <c r="H246" s="31"/>
      <c r="I246" s="31"/>
    </row>
    <row r="247" spans="1:14" ht="6.75" customHeight="1" outlineLevel="1" x14ac:dyDescent="0.35">
      <c r="E247" s="71"/>
      <c r="F247" s="294"/>
      <c r="G247" s="294"/>
      <c r="H247" s="294"/>
      <c r="I247" s="294"/>
    </row>
    <row r="248" spans="1:14" outlineLevel="1" x14ac:dyDescent="0.35">
      <c r="B248" s="284" t="s">
        <v>339</v>
      </c>
      <c r="C248" s="285"/>
      <c r="D248" s="286">
        <v>2168539.87</v>
      </c>
      <c r="E248" s="287">
        <v>2169146.4700000002</v>
      </c>
      <c r="F248" s="486">
        <v>1704135</v>
      </c>
      <c r="G248" s="489" t="s">
        <v>17</v>
      </c>
      <c r="H248" s="489" t="s">
        <v>17</v>
      </c>
      <c r="I248" s="287" t="s">
        <v>17</v>
      </c>
      <c r="J248" s="71"/>
      <c r="K248" s="71"/>
      <c r="L248" s="71"/>
      <c r="M248" s="71"/>
      <c r="N248" s="71"/>
    </row>
    <row r="249" spans="1:14" outlineLevel="1" x14ac:dyDescent="0.35">
      <c r="B249" s="284" t="s">
        <v>340</v>
      </c>
      <c r="C249" s="285"/>
      <c r="D249" s="286">
        <v>143447.44</v>
      </c>
      <c r="E249" s="287">
        <v>141904.59</v>
      </c>
      <c r="F249" s="486">
        <v>136021</v>
      </c>
      <c r="G249" s="489" t="s">
        <v>17</v>
      </c>
      <c r="H249" s="489" t="s">
        <v>17</v>
      </c>
      <c r="I249" s="287" t="s">
        <v>17</v>
      </c>
      <c r="J249" s="71"/>
      <c r="K249" s="71"/>
      <c r="L249" s="71"/>
      <c r="M249" s="71"/>
      <c r="N249" s="71"/>
    </row>
    <row r="250" spans="1:14" outlineLevel="1" x14ac:dyDescent="0.35">
      <c r="B250" s="288" t="s">
        <v>462</v>
      </c>
      <c r="C250" s="289"/>
      <c r="D250" s="290"/>
      <c r="E250" s="291"/>
      <c r="F250" s="487">
        <v>5884</v>
      </c>
      <c r="G250" s="487">
        <v>1902</v>
      </c>
      <c r="H250" s="487">
        <v>22622</v>
      </c>
      <c r="I250" s="22" t="s">
        <v>676</v>
      </c>
      <c r="J250" s="71"/>
      <c r="K250" s="71"/>
      <c r="L250" s="71"/>
      <c r="M250" s="71"/>
      <c r="N250" s="71"/>
    </row>
    <row r="251" spans="1:14" outlineLevel="1" x14ac:dyDescent="0.35">
      <c r="B251" s="288" t="s">
        <v>460</v>
      </c>
      <c r="C251" s="289"/>
      <c r="D251" s="290"/>
      <c r="E251" s="291"/>
      <c r="F251" s="487">
        <v>465012</v>
      </c>
      <c r="G251" s="488" t="s">
        <v>17</v>
      </c>
      <c r="H251" s="488" t="s">
        <v>17</v>
      </c>
      <c r="I251" s="291" t="s">
        <v>17</v>
      </c>
      <c r="J251" s="71"/>
      <c r="K251" s="71"/>
      <c r="L251" s="71"/>
      <c r="M251" s="71"/>
      <c r="N251" s="71"/>
    </row>
    <row r="252" spans="1:14" outlineLevel="1" x14ac:dyDescent="0.35">
      <c r="B252" s="288" t="s">
        <v>461</v>
      </c>
      <c r="C252" s="289"/>
      <c r="D252" s="290"/>
      <c r="E252" s="291"/>
      <c r="F252" s="488" t="s">
        <v>17</v>
      </c>
      <c r="G252" s="487">
        <v>11713</v>
      </c>
      <c r="H252" s="487">
        <v>28565</v>
      </c>
      <c r="I252" s="22" t="s">
        <v>676</v>
      </c>
      <c r="J252" s="71"/>
      <c r="K252" s="71"/>
      <c r="L252" s="71"/>
      <c r="M252" s="71"/>
      <c r="N252" s="71"/>
    </row>
    <row r="253" spans="1:14" outlineLevel="1" x14ac:dyDescent="0.35">
      <c r="B253" s="273"/>
      <c r="D253" s="293"/>
      <c r="E253" s="294"/>
      <c r="F253" s="294"/>
      <c r="G253" s="294"/>
      <c r="H253" s="294"/>
      <c r="I253" s="294"/>
      <c r="J253" s="71"/>
      <c r="K253" s="71"/>
      <c r="L253" s="71"/>
      <c r="M253" s="71"/>
      <c r="N253" s="71"/>
    </row>
    <row r="254" spans="1:14" ht="56.5" outlineLevel="1" x14ac:dyDescent="0.35">
      <c r="B254" s="298" t="s">
        <v>463</v>
      </c>
      <c r="D254" s="293"/>
      <c r="E254" s="294"/>
      <c r="F254" s="294"/>
      <c r="G254" s="294"/>
      <c r="H254" s="294"/>
      <c r="I254" s="294"/>
      <c r="J254" s="71"/>
      <c r="K254" s="71"/>
      <c r="L254" s="71"/>
      <c r="M254" s="71"/>
      <c r="N254" s="71"/>
    </row>
    <row r="255" spans="1:14" ht="9.75" customHeight="1" outlineLevel="1" x14ac:dyDescent="0.35">
      <c r="B255" s="273"/>
      <c r="D255" s="293"/>
      <c r="E255" s="293"/>
      <c r="F255" s="294"/>
      <c r="G255" s="294"/>
      <c r="H255" s="294"/>
      <c r="I255" s="294"/>
    </row>
    <row r="256" spans="1:14" outlineLevel="1" x14ac:dyDescent="0.3">
      <c r="A256" s="251"/>
      <c r="B256" s="241" t="s">
        <v>583</v>
      </c>
      <c r="C256" s="241"/>
      <c r="D256" s="241"/>
      <c r="E256" s="242"/>
      <c r="F256" s="242"/>
      <c r="G256" s="242"/>
      <c r="H256" s="242"/>
      <c r="I256" s="242"/>
    </row>
    <row r="257" spans="1:9" ht="5.25" customHeight="1" outlineLevel="1" x14ac:dyDescent="0.35"/>
    <row r="258" spans="1:9" outlineLevel="1" x14ac:dyDescent="0.3">
      <c r="B258" s="252" t="s">
        <v>341</v>
      </c>
      <c r="C258" s="252"/>
      <c r="D258" s="245"/>
      <c r="E258" s="31"/>
      <c r="F258" s="31"/>
      <c r="G258" s="31"/>
      <c r="H258" s="31"/>
      <c r="I258" s="31"/>
    </row>
    <row r="259" spans="1:9" ht="5.25" customHeight="1" outlineLevel="1" x14ac:dyDescent="0.3">
      <c r="B259" s="300"/>
      <c r="C259" s="300"/>
      <c r="D259" s="63"/>
      <c r="E259" s="301"/>
      <c r="F259" s="301"/>
      <c r="G259" s="301"/>
      <c r="H259" s="301"/>
      <c r="I259" s="301"/>
    </row>
    <row r="260" spans="1:9" ht="112.5" outlineLevel="1" x14ac:dyDescent="0.35">
      <c r="B260" s="298" t="s">
        <v>464</v>
      </c>
      <c r="C260" s="285"/>
      <c r="D260" s="286">
        <v>12764861</v>
      </c>
      <c r="E260" s="286">
        <v>13421047</v>
      </c>
      <c r="F260" s="486">
        <v>12683660</v>
      </c>
      <c r="G260" s="486">
        <v>12998618</v>
      </c>
      <c r="H260" s="486">
        <v>12903260</v>
      </c>
      <c r="I260" s="287">
        <v>13314668</v>
      </c>
    </row>
    <row r="261" spans="1:9" ht="8.25" customHeight="1" outlineLevel="1" x14ac:dyDescent="0.35">
      <c r="B261" s="302"/>
      <c r="D261" s="293"/>
      <c r="E261" s="293"/>
      <c r="F261" s="294"/>
      <c r="G261" s="294"/>
      <c r="H261" s="294"/>
      <c r="I261" s="294"/>
    </row>
    <row r="262" spans="1:9" outlineLevel="1" x14ac:dyDescent="0.3">
      <c r="A262" s="251"/>
      <c r="B262" s="241" t="s">
        <v>584</v>
      </c>
      <c r="C262" s="241"/>
      <c r="D262" s="241"/>
      <c r="E262" s="242"/>
      <c r="F262" s="242"/>
      <c r="G262" s="242"/>
      <c r="H262" s="242"/>
      <c r="I262" s="242"/>
    </row>
    <row r="263" spans="1:9" ht="5.25" customHeight="1" outlineLevel="1" x14ac:dyDescent="0.35"/>
    <row r="264" spans="1:9" outlineLevel="1" x14ac:dyDescent="0.3">
      <c r="B264" s="252" t="s">
        <v>342</v>
      </c>
      <c r="C264" s="252"/>
      <c r="D264" s="245"/>
      <c r="E264" s="31"/>
      <c r="F264" s="31"/>
      <c r="G264" s="31"/>
      <c r="H264" s="31"/>
      <c r="I264" s="31"/>
    </row>
    <row r="265" spans="1:9" s="227" customFormat="1" ht="19.5" customHeight="1" outlineLevel="1" x14ac:dyDescent="0.35">
      <c r="B265" s="303" t="s">
        <v>343</v>
      </c>
      <c r="D265" s="304">
        <v>4.4000000000000004</v>
      </c>
      <c r="E265" s="304">
        <v>4.9000000000000004</v>
      </c>
      <c r="F265" s="227">
        <v>4.04</v>
      </c>
      <c r="G265" s="227">
        <v>4.42</v>
      </c>
      <c r="H265" s="227">
        <v>9.33</v>
      </c>
      <c r="I265" s="227">
        <v>10.67</v>
      </c>
    </row>
    <row r="266" spans="1:9" s="227" customFormat="1" outlineLevel="1" x14ac:dyDescent="0.35">
      <c r="B266" s="303" t="s">
        <v>344</v>
      </c>
      <c r="D266" s="304">
        <v>74.5</v>
      </c>
      <c r="E266" s="304">
        <v>74.5</v>
      </c>
      <c r="F266" s="227">
        <v>67.2</v>
      </c>
      <c r="G266" s="227">
        <v>47.9</v>
      </c>
      <c r="H266" s="227">
        <v>45.4</v>
      </c>
      <c r="I266" s="227">
        <v>43.33</v>
      </c>
    </row>
    <row r="267" spans="1:9" outlineLevel="1" x14ac:dyDescent="0.35">
      <c r="B267" s="303" t="s">
        <v>345</v>
      </c>
      <c r="D267" s="304">
        <v>1.6</v>
      </c>
      <c r="E267" s="305">
        <v>2.5499999999999998</v>
      </c>
      <c r="F267" s="495">
        <v>0</v>
      </c>
      <c r="G267" s="495">
        <v>0</v>
      </c>
      <c r="H267" s="495" t="s">
        <v>17</v>
      </c>
      <c r="I267" s="495" t="s">
        <v>17</v>
      </c>
    </row>
    <row r="268" spans="1:9" outlineLevel="1" x14ac:dyDescent="0.35">
      <c r="B268" s="303" t="s">
        <v>346</v>
      </c>
      <c r="D268" s="304">
        <v>284.39999999999998</v>
      </c>
      <c r="E268" s="305">
        <v>300.7</v>
      </c>
      <c r="F268" s="495">
        <v>89</v>
      </c>
      <c r="G268" s="495">
        <v>0</v>
      </c>
      <c r="H268" s="495" t="s">
        <v>17</v>
      </c>
      <c r="I268" s="495" t="s">
        <v>17</v>
      </c>
    </row>
    <row r="269" spans="1:9" outlineLevel="1" x14ac:dyDescent="0.35">
      <c r="B269" s="303" t="s">
        <v>347</v>
      </c>
      <c r="D269" s="304">
        <v>0</v>
      </c>
      <c r="E269" s="305">
        <v>0.55000000000000004</v>
      </c>
      <c r="F269" s="495">
        <v>0.5</v>
      </c>
      <c r="G269" s="495">
        <v>2.08</v>
      </c>
      <c r="H269" s="495">
        <v>2.88</v>
      </c>
      <c r="I269" s="495">
        <v>4.0599999999999996</v>
      </c>
    </row>
    <row r="270" spans="1:9" outlineLevel="1" x14ac:dyDescent="0.35">
      <c r="B270" s="303" t="s">
        <v>348</v>
      </c>
      <c r="D270" s="304">
        <v>0</v>
      </c>
      <c r="E270" s="305">
        <v>0</v>
      </c>
      <c r="F270" s="495">
        <v>175.8</v>
      </c>
      <c r="G270" s="495">
        <v>276.89999999999998</v>
      </c>
      <c r="H270" s="495">
        <v>280.89999999999998</v>
      </c>
      <c r="I270" s="495">
        <v>277.19</v>
      </c>
    </row>
    <row r="271" spans="1:9" outlineLevel="1" x14ac:dyDescent="0.35">
      <c r="B271" s="303"/>
      <c r="D271" s="304"/>
      <c r="E271" s="304"/>
      <c r="F271" s="306"/>
      <c r="G271" s="306"/>
      <c r="H271" s="306"/>
      <c r="I271" s="306"/>
    </row>
    <row r="272" spans="1:9" ht="28.5" outlineLevel="1" x14ac:dyDescent="0.35">
      <c r="B272" s="298" t="s">
        <v>465</v>
      </c>
      <c r="D272" s="304"/>
      <c r="E272" s="304"/>
      <c r="F272" s="306"/>
      <c r="G272" s="306"/>
      <c r="H272" s="306"/>
      <c r="I272" s="306"/>
    </row>
    <row r="273" spans="1:9" ht="8.25" customHeight="1" outlineLevel="1" x14ac:dyDescent="0.35">
      <c r="B273" s="302"/>
      <c r="D273" s="293"/>
      <c r="E273" s="293"/>
      <c r="F273" s="294"/>
      <c r="G273" s="294"/>
      <c r="H273" s="294"/>
      <c r="I273" s="294"/>
    </row>
    <row r="274" spans="1:9" outlineLevel="1" x14ac:dyDescent="0.3">
      <c r="A274" s="251"/>
      <c r="B274" s="241" t="s">
        <v>29</v>
      </c>
      <c r="C274" s="241"/>
      <c r="D274" s="241"/>
      <c r="E274" s="242"/>
      <c r="F274" s="242"/>
      <c r="G274" s="242"/>
      <c r="H274" s="242"/>
      <c r="I274" s="242"/>
    </row>
    <row r="275" spans="1:9" ht="5.25" customHeight="1" outlineLevel="1" x14ac:dyDescent="0.35"/>
    <row r="276" spans="1:9" outlineLevel="1" x14ac:dyDescent="0.3">
      <c r="B276" s="252" t="s">
        <v>585</v>
      </c>
      <c r="C276" s="252"/>
      <c r="D276" s="245"/>
      <c r="E276" s="31"/>
      <c r="F276" s="31"/>
      <c r="G276" s="31"/>
      <c r="H276" s="31"/>
      <c r="I276" s="31"/>
    </row>
    <row r="277" spans="1:9" s="227" customFormat="1" ht="19.5" customHeight="1" outlineLevel="1" x14ac:dyDescent="0.35">
      <c r="B277" s="307" t="s">
        <v>586</v>
      </c>
      <c r="C277" s="308"/>
      <c r="D277" s="309"/>
      <c r="E277" s="309"/>
      <c r="F277" s="496">
        <v>1992.1</v>
      </c>
      <c r="G277" s="496">
        <v>1798.5</v>
      </c>
      <c r="H277" s="496">
        <v>3564.3</v>
      </c>
      <c r="I277" s="557">
        <v>3008.33</v>
      </c>
    </row>
    <row r="278" spans="1:9" s="227" customFormat="1" outlineLevel="1" x14ac:dyDescent="0.35">
      <c r="B278" s="311" t="s">
        <v>587</v>
      </c>
      <c r="C278" s="312"/>
      <c r="D278" s="313"/>
      <c r="E278" s="313"/>
      <c r="F278" s="497">
        <v>4622.2</v>
      </c>
      <c r="G278" s="497">
        <v>2165.1999999999998</v>
      </c>
      <c r="H278" s="497">
        <v>2618.1</v>
      </c>
      <c r="I278" s="558">
        <v>2877.13</v>
      </c>
    </row>
    <row r="279" spans="1:9" s="227" customFormat="1" outlineLevel="1" x14ac:dyDescent="0.35">
      <c r="B279" s="303"/>
      <c r="D279" s="304"/>
      <c r="E279" s="304"/>
      <c r="F279" s="362"/>
      <c r="G279" s="362"/>
      <c r="H279" s="362"/>
      <c r="I279" s="362"/>
    </row>
    <row r="280" spans="1:9" s="227" customFormat="1" ht="42.5" outlineLevel="1" x14ac:dyDescent="0.35">
      <c r="B280" s="298" t="s">
        <v>466</v>
      </c>
      <c r="D280" s="304"/>
      <c r="E280" s="304"/>
      <c r="F280" s="362"/>
      <c r="G280" s="362"/>
      <c r="H280" s="362"/>
      <c r="I280" s="362"/>
    </row>
    <row r="281" spans="1:9" ht="8.25" customHeight="1" outlineLevel="1" x14ac:dyDescent="0.35">
      <c r="B281" s="302"/>
      <c r="D281" s="293"/>
      <c r="E281" s="293"/>
      <c r="F281" s="294"/>
      <c r="G281" s="294"/>
      <c r="H281" s="294"/>
      <c r="I281" s="294"/>
    </row>
    <row r="282" spans="1:9" outlineLevel="1" x14ac:dyDescent="0.3">
      <c r="A282" s="251"/>
      <c r="B282" s="241" t="s">
        <v>349</v>
      </c>
      <c r="C282" s="241"/>
      <c r="D282" s="241"/>
      <c r="E282" s="242"/>
      <c r="F282" s="242"/>
      <c r="G282" s="242"/>
      <c r="H282" s="242"/>
      <c r="I282" s="242"/>
    </row>
    <row r="283" spans="1:9" ht="5.25" customHeight="1" outlineLevel="1" x14ac:dyDescent="0.35"/>
    <row r="284" spans="1:9" outlineLevel="1" x14ac:dyDescent="0.3">
      <c r="B284" s="252" t="s">
        <v>350</v>
      </c>
      <c r="C284" s="252"/>
      <c r="D284" s="245"/>
      <c r="E284" s="31"/>
      <c r="F284" s="31"/>
      <c r="G284" s="31"/>
      <c r="H284" s="31"/>
      <c r="I284" s="31"/>
    </row>
    <row r="285" spans="1:9" s="227" customFormat="1" ht="19.5" customHeight="1" outlineLevel="1" x14ac:dyDescent="0.35">
      <c r="B285" s="314" t="s">
        <v>352</v>
      </c>
      <c r="C285" s="308">
        <v>2</v>
      </c>
      <c r="D285" s="364">
        <v>4</v>
      </c>
      <c r="E285" s="364">
        <v>1</v>
      </c>
      <c r="F285" s="364">
        <v>6</v>
      </c>
      <c r="G285" s="310">
        <v>1</v>
      </c>
      <c r="H285" s="364">
        <v>1</v>
      </c>
      <c r="I285" s="364">
        <v>1</v>
      </c>
    </row>
    <row r="286" spans="1:9" s="227" customFormat="1" outlineLevel="1" x14ac:dyDescent="0.35">
      <c r="B286" s="315" t="s">
        <v>351</v>
      </c>
      <c r="C286" s="365">
        <v>3.84</v>
      </c>
      <c r="D286" s="363">
        <v>10.8</v>
      </c>
      <c r="E286" s="363">
        <v>1.8</v>
      </c>
      <c r="F286" s="363">
        <v>8.39</v>
      </c>
      <c r="G286" s="363">
        <v>0.2</v>
      </c>
      <c r="H286" s="363">
        <v>0.24</v>
      </c>
      <c r="I286" s="363">
        <v>0.24</v>
      </c>
    </row>
    <row r="287" spans="1:9" ht="35.25" customHeight="1" outlineLevel="1" x14ac:dyDescent="0.35">
      <c r="B287" s="298"/>
      <c r="D287" s="304"/>
      <c r="E287" s="305"/>
      <c r="F287" s="306"/>
      <c r="G287" s="306"/>
      <c r="H287" s="306"/>
      <c r="I287" s="306"/>
    </row>
    <row r="288" spans="1:9" ht="24.75" customHeight="1" x14ac:dyDescent="0.35">
      <c r="B288" s="298"/>
      <c r="D288" s="304"/>
      <c r="E288" s="305"/>
      <c r="F288" s="306"/>
      <c r="G288" s="306"/>
      <c r="H288" s="306"/>
      <c r="I288" s="306"/>
    </row>
    <row r="289" spans="2:9" x14ac:dyDescent="0.35">
      <c r="B289" s="303"/>
      <c r="D289" s="304"/>
      <c r="E289" s="305"/>
      <c r="F289" s="306"/>
      <c r="G289" s="306"/>
      <c r="H289" s="306"/>
      <c r="I289" s="306"/>
    </row>
    <row r="290" spans="2:9" x14ac:dyDescent="0.35">
      <c r="B290" s="303"/>
      <c r="D290" s="304"/>
      <c r="E290" s="305"/>
      <c r="F290" s="306"/>
      <c r="G290" s="306"/>
      <c r="H290" s="306"/>
      <c r="I290" s="306"/>
    </row>
  </sheetData>
  <mergeCells count="30">
    <mergeCell ref="G24:G28"/>
    <mergeCell ref="G31:G33"/>
    <mergeCell ref="H24:H28"/>
    <mergeCell ref="H31:H33"/>
    <mergeCell ref="L25:N26"/>
    <mergeCell ref="K140:T140"/>
    <mergeCell ref="I142:I158"/>
    <mergeCell ref="M152:O152"/>
    <mergeCell ref="P152:T152"/>
    <mergeCell ref="K141:K142"/>
    <mergeCell ref="L141:L142"/>
    <mergeCell ref="M141:O142"/>
    <mergeCell ref="P141:T142"/>
    <mergeCell ref="K143:K152"/>
    <mergeCell ref="O25:Q26"/>
    <mergeCell ref="I24:I28"/>
    <mergeCell ref="I31:I33"/>
    <mergeCell ref="K40:N40"/>
    <mergeCell ref="R25:T26"/>
    <mergeCell ref="L143:L152"/>
    <mergeCell ref="M143:O143"/>
    <mergeCell ref="P143:T143"/>
    <mergeCell ref="M144:O145"/>
    <mergeCell ref="P144:T145"/>
    <mergeCell ref="M146:O147"/>
    <mergeCell ref="P146:T147"/>
    <mergeCell ref="M148:O149"/>
    <mergeCell ref="P148:T149"/>
    <mergeCell ref="M150:O151"/>
    <mergeCell ref="P150:T151"/>
  </mergeCells>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31A2A-16C6-43F1-8DC1-3D07DFB894FD}">
  <sheetPr>
    <tabColor rgb="FFFFC000"/>
  </sheetPr>
  <dimension ref="B1:S32"/>
  <sheetViews>
    <sheetView showGridLines="0" zoomScale="80" zoomScaleNormal="80" workbookViewId="0"/>
  </sheetViews>
  <sheetFormatPr defaultColWidth="28.26953125" defaultRowHeight="14" x14ac:dyDescent="0.3"/>
  <cols>
    <col min="1" max="1" width="3.26953125" style="71" customWidth="1"/>
    <col min="2" max="2" width="7.7265625" style="71" bestFit="1" customWidth="1"/>
    <col min="3" max="3" width="10.26953125" style="71" bestFit="1" customWidth="1"/>
    <col min="4" max="4" width="63" style="71" customWidth="1"/>
    <col min="5" max="6" width="21.453125" style="71" customWidth="1"/>
    <col min="7" max="7" width="32.7265625" style="71" customWidth="1"/>
    <col min="8" max="8" width="21" style="71" customWidth="1"/>
    <col min="9" max="9" width="27.26953125" style="71" customWidth="1"/>
    <col min="10" max="11" width="28.26953125" style="71"/>
    <col min="12" max="15" width="17" style="71" bestFit="1" customWidth="1"/>
    <col min="16" max="16" width="20.90625" style="71" customWidth="1"/>
    <col min="17" max="17" width="15.36328125" style="71" bestFit="1" customWidth="1"/>
    <col min="18" max="18" width="17" style="71" bestFit="1" customWidth="1"/>
    <col min="19" max="16384" width="28.26953125" style="71"/>
  </cols>
  <sheetData>
    <row r="1" spans="2:19" x14ac:dyDescent="0.3">
      <c r="G1" s="316"/>
    </row>
    <row r="2" spans="2:19" x14ac:dyDescent="0.3">
      <c r="G2" s="316"/>
      <c r="O2" s="426"/>
      <c r="P2" s="427" t="s">
        <v>479</v>
      </c>
    </row>
    <row r="3" spans="2:19" ht="18" customHeight="1" x14ac:dyDescent="0.3">
      <c r="G3" s="316"/>
      <c r="O3" s="428">
        <v>45290</v>
      </c>
      <c r="P3" s="626">
        <f>SUM(G25:G28)</f>
        <v>1.4391597173000001</v>
      </c>
      <c r="R3" s="627">
        <v>26.6</v>
      </c>
    </row>
    <row r="4" spans="2:19" ht="31" customHeight="1" thickBot="1" x14ac:dyDescent="0.35">
      <c r="G4" s="316"/>
      <c r="O4" s="628">
        <f>EDATE(O3,-12)</f>
        <v>44925</v>
      </c>
      <c r="P4" s="629"/>
      <c r="R4" s="430">
        <f>(P3/R3)</f>
        <v>5.4103748770676696E-2</v>
      </c>
    </row>
    <row r="5" spans="2:19" x14ac:dyDescent="0.3">
      <c r="G5" s="316"/>
      <c r="O5" s="431"/>
      <c r="P5" s="431"/>
    </row>
    <row r="6" spans="2:19" ht="14.5" thickBot="1" x14ac:dyDescent="0.35">
      <c r="G6" s="316"/>
      <c r="L6" s="630" t="s">
        <v>678</v>
      </c>
      <c r="M6" s="630"/>
      <c r="N6" s="630"/>
      <c r="O6" s="630"/>
      <c r="P6" s="630"/>
      <c r="Q6" s="630"/>
      <c r="R6" s="630"/>
      <c r="S6" s="630"/>
    </row>
    <row r="7" spans="2:19" x14ac:dyDescent="0.3">
      <c r="G7" s="316"/>
      <c r="L7" s="428">
        <v>43101</v>
      </c>
      <c r="M7" s="428">
        <v>43466</v>
      </c>
      <c r="N7" s="428">
        <v>43831</v>
      </c>
      <c r="O7" s="508">
        <v>44197</v>
      </c>
      <c r="P7" s="508">
        <v>44562</v>
      </c>
      <c r="Q7" s="508">
        <v>44927</v>
      </c>
      <c r="R7" s="508">
        <v>45292</v>
      </c>
      <c r="S7" s="631">
        <v>45658</v>
      </c>
    </row>
    <row r="8" spans="2:19" x14ac:dyDescent="0.3">
      <c r="B8" s="632" t="s">
        <v>25</v>
      </c>
      <c r="C8" s="632" t="s">
        <v>359</v>
      </c>
      <c r="D8" s="632" t="s">
        <v>369</v>
      </c>
      <c r="E8" s="632" t="s">
        <v>370</v>
      </c>
      <c r="F8" s="632" t="s">
        <v>360</v>
      </c>
      <c r="G8" s="633" t="s">
        <v>371</v>
      </c>
      <c r="H8" s="632" t="s">
        <v>361</v>
      </c>
      <c r="I8" s="632" t="s">
        <v>362</v>
      </c>
      <c r="L8" s="428"/>
      <c r="M8" s="428"/>
      <c r="N8" s="428"/>
      <c r="O8" s="428"/>
      <c r="P8" s="429"/>
    </row>
    <row r="9" spans="2:19" s="636" customFormat="1" ht="36" customHeight="1" thickBot="1" x14ac:dyDescent="0.35">
      <c r="B9" s="14"/>
      <c r="C9" s="15">
        <v>2017</v>
      </c>
      <c r="D9" s="16" t="s">
        <v>363</v>
      </c>
      <c r="E9" s="653">
        <v>41670</v>
      </c>
      <c r="F9" s="653">
        <v>41838</v>
      </c>
      <c r="G9" s="635">
        <f t="shared" ref="G9:G15" si="0">H9/1165000000</f>
        <v>0.56527346761373387</v>
      </c>
      <c r="H9" s="17">
        <v>658543589.76999998</v>
      </c>
      <c r="I9" s="597">
        <f>SUM(H9,H10)</f>
        <v>1092160222.76</v>
      </c>
      <c r="L9" s="429">
        <f>SUMIFS($H$9:$H$21,$F$9:$F$21,"&gt;="&amp;L7,$F$9:$F$21,"&lt;"&amp;M7)</f>
        <v>0</v>
      </c>
      <c r="M9" s="429">
        <f>SUMIFS($H$9:$H$21,$F$9:$F$21,"&gt;="&amp;M7,$F$9:$F$21,"&lt;"&amp;N7)</f>
        <v>0</v>
      </c>
      <c r="N9" s="429">
        <f>SUMIFS($H$9:$H$21,$F$9:$F$21,"&gt;="&amp;N7,$F$9:$F$21,"&lt;"&amp;O7)</f>
        <v>0</v>
      </c>
      <c r="O9" s="429">
        <f>SUMIFS($H$9:$H$24,$F$9:$F$24,"&gt;="&amp;O7,$F$9:$F$24,"&lt;"&amp;P7)</f>
        <v>0</v>
      </c>
      <c r="P9" s="429">
        <f>SUMIFS($H$9:$H$24,$F$9:$F$24,"&gt;="&amp;P7,$F$9:$F$24,"&lt;"&amp;Q7)</f>
        <v>0</v>
      </c>
      <c r="Q9" s="429">
        <f>SUMIFS($H$9:$H$24,$F$9:$F$24,"&gt;="&amp;Q7,$F$9:$F$24,"&lt;"&amp;R7)</f>
        <v>0</v>
      </c>
      <c r="R9" s="429">
        <f>SUMIFS($H$9:$H$28,$F$9:$F$28,"&gt;="&amp;R7,$F$9:$F$28,"&lt;"&amp;S7)</f>
        <v>0</v>
      </c>
      <c r="S9" s="71"/>
    </row>
    <row r="10" spans="2:19" s="636" customFormat="1" ht="36" customHeight="1" thickBot="1" x14ac:dyDescent="0.3">
      <c r="B10" s="14"/>
      <c r="C10" s="15">
        <v>2017</v>
      </c>
      <c r="D10" s="16" t="s">
        <v>251</v>
      </c>
      <c r="E10" s="653">
        <v>41753</v>
      </c>
      <c r="F10" s="653">
        <v>41885</v>
      </c>
      <c r="G10" s="635">
        <f t="shared" si="0"/>
        <v>0.37220311844635195</v>
      </c>
      <c r="H10" s="17">
        <v>433616632.99000001</v>
      </c>
      <c r="I10" s="598"/>
      <c r="R10" s="637"/>
    </row>
    <row r="11" spans="2:19" s="636" customFormat="1" ht="36" customHeight="1" thickBot="1" x14ac:dyDescent="0.3">
      <c r="B11" s="14"/>
      <c r="C11" s="15">
        <v>2018</v>
      </c>
      <c r="D11" s="16" t="s">
        <v>363</v>
      </c>
      <c r="E11" s="653">
        <v>41983</v>
      </c>
      <c r="F11" s="653">
        <v>42123</v>
      </c>
      <c r="G11" s="635">
        <f t="shared" si="0"/>
        <v>0.49381274351072968</v>
      </c>
      <c r="H11" s="17">
        <v>575291846.19000006</v>
      </c>
      <c r="I11" s="597">
        <f>SUM(H11,H12,H13)</f>
        <v>3145747899.0500002</v>
      </c>
      <c r="L11" s="636" t="s">
        <v>679</v>
      </c>
      <c r="R11" s="637"/>
    </row>
    <row r="12" spans="2:19" s="636" customFormat="1" ht="36" customHeight="1" thickBot="1" x14ac:dyDescent="0.3">
      <c r="B12" s="14"/>
      <c r="C12" s="15">
        <v>2018</v>
      </c>
      <c r="D12" s="16" t="s">
        <v>251</v>
      </c>
      <c r="E12" s="653">
        <v>42117</v>
      </c>
      <c r="F12" s="653">
        <v>42154</v>
      </c>
      <c r="G12" s="635">
        <f t="shared" si="0"/>
        <v>0.880628485416309</v>
      </c>
      <c r="H12" s="17">
        <v>1025932185.51</v>
      </c>
      <c r="I12" s="597"/>
      <c r="L12" s="638">
        <v>2017</v>
      </c>
      <c r="M12" s="639">
        <f>I9</f>
        <v>1092160222.76</v>
      </c>
      <c r="R12" s="637"/>
    </row>
    <row r="13" spans="2:19" s="636" customFormat="1" ht="36" customHeight="1" thickBot="1" x14ac:dyDescent="0.3">
      <c r="B13" s="14"/>
      <c r="C13" s="15">
        <v>2018</v>
      </c>
      <c r="D13" s="16" t="s">
        <v>251</v>
      </c>
      <c r="E13" s="653">
        <v>42117</v>
      </c>
      <c r="F13" s="653">
        <v>42305</v>
      </c>
      <c r="G13" s="635">
        <f t="shared" si="0"/>
        <v>1.3257715599570814</v>
      </c>
      <c r="H13" s="17">
        <v>1544523867.3499999</v>
      </c>
      <c r="I13" s="598"/>
      <c r="L13" s="638">
        <v>2018</v>
      </c>
      <c r="M13" s="639">
        <f>I11</f>
        <v>3145747899.0500002</v>
      </c>
      <c r="R13" s="637"/>
    </row>
    <row r="14" spans="2:19" s="636" customFormat="1" ht="36" customHeight="1" thickBot="1" x14ac:dyDescent="0.3">
      <c r="B14" s="14"/>
      <c r="C14" s="15">
        <v>2019</v>
      </c>
      <c r="D14" s="16" t="s">
        <v>607</v>
      </c>
      <c r="E14" s="653">
        <v>42341</v>
      </c>
      <c r="F14" s="653">
        <v>42613</v>
      </c>
      <c r="G14" s="635">
        <f t="shared" si="0"/>
        <v>0.47363778575965665</v>
      </c>
      <c r="H14" s="17">
        <v>551788020.40999997</v>
      </c>
      <c r="I14" s="597">
        <f>SUM(H14,H15,H16)</f>
        <v>1148849830.8499999</v>
      </c>
      <c r="K14" s="640"/>
      <c r="L14" s="638">
        <v>2019</v>
      </c>
      <c r="M14" s="639">
        <f>I14</f>
        <v>1148849830.8499999</v>
      </c>
      <c r="R14" s="641"/>
    </row>
    <row r="15" spans="2:19" s="636" customFormat="1" ht="36" customHeight="1" thickBot="1" x14ac:dyDescent="0.3">
      <c r="B15" s="14"/>
      <c r="C15" s="15">
        <v>2019</v>
      </c>
      <c r="D15" s="16" t="s">
        <v>251</v>
      </c>
      <c r="E15" s="653">
        <v>42581</v>
      </c>
      <c r="F15" s="653">
        <v>42613</v>
      </c>
      <c r="G15" s="635">
        <f t="shared" si="0"/>
        <v>4.2800374111587984E-2</v>
      </c>
      <c r="H15" s="17">
        <v>49862435.840000004</v>
      </c>
      <c r="I15" s="597"/>
      <c r="L15" s="638">
        <v>2020</v>
      </c>
      <c r="M15" s="639">
        <f>SUM(H17,H18,H19)</f>
        <v>2327304908.9700003</v>
      </c>
    </row>
    <row r="16" spans="2:19" s="636" customFormat="1" ht="36" customHeight="1" thickBot="1" x14ac:dyDescent="0.3">
      <c r="B16" s="14"/>
      <c r="C16" s="15">
        <v>2019</v>
      </c>
      <c r="D16" s="16" t="s">
        <v>251</v>
      </c>
      <c r="E16" s="653">
        <v>42581</v>
      </c>
      <c r="F16" s="653">
        <v>42642</v>
      </c>
      <c r="G16" s="635">
        <f>H16/1165000000</f>
        <v>0.46969903399141633</v>
      </c>
      <c r="H16" s="17">
        <v>547199374.60000002</v>
      </c>
      <c r="I16" s="598"/>
      <c r="L16" s="638">
        <v>2021</v>
      </c>
      <c r="M16" s="639">
        <f>H20+H21+H22</f>
        <v>663674975.38999999</v>
      </c>
    </row>
    <row r="17" spans="2:13" s="636" customFormat="1" ht="36" customHeight="1" thickBot="1" x14ac:dyDescent="0.3">
      <c r="B17" s="14"/>
      <c r="C17" s="15">
        <v>2020</v>
      </c>
      <c r="D17" s="16" t="s">
        <v>363</v>
      </c>
      <c r="E17" s="653">
        <v>42725</v>
      </c>
      <c r="F17" s="653">
        <v>42746</v>
      </c>
      <c r="G17" s="635">
        <v>0.42780043963999997</v>
      </c>
      <c r="H17" s="17">
        <v>498387512.18000001</v>
      </c>
      <c r="I17" s="599">
        <f>SUM(H17:H21)</f>
        <v>2859130055.4100003</v>
      </c>
      <c r="L17" s="638">
        <v>2022</v>
      </c>
      <c r="M17" s="639">
        <f>H23+H24</f>
        <v>823993081.64400005</v>
      </c>
    </row>
    <row r="18" spans="2:13" s="636" customFormat="1" ht="36" customHeight="1" thickBot="1" x14ac:dyDescent="0.3">
      <c r="B18" s="14"/>
      <c r="C18" s="15">
        <v>2020</v>
      </c>
      <c r="D18" s="16" t="s">
        <v>488</v>
      </c>
      <c r="E18" s="653">
        <v>42840</v>
      </c>
      <c r="F18" s="653">
        <v>42854</v>
      </c>
      <c r="G18" s="642">
        <v>0.95037041535</v>
      </c>
      <c r="H18" s="17">
        <v>1107181533.8800001</v>
      </c>
      <c r="I18" s="597"/>
      <c r="J18" s="643"/>
      <c r="K18" s="643"/>
      <c r="L18" s="638">
        <v>2023</v>
      </c>
      <c r="M18" s="639">
        <f>SUM(H25:H28)</f>
        <v>1604581530.0600002</v>
      </c>
    </row>
    <row r="19" spans="2:13" s="636" customFormat="1" ht="36" customHeight="1" thickBot="1" x14ac:dyDescent="0.3">
      <c r="B19" s="14"/>
      <c r="C19" s="15">
        <v>2020</v>
      </c>
      <c r="D19" s="16" t="s">
        <v>489</v>
      </c>
      <c r="E19" s="653">
        <v>42840</v>
      </c>
      <c r="F19" s="653">
        <v>42977</v>
      </c>
      <c r="G19" s="642">
        <v>0.61951576215000004</v>
      </c>
      <c r="H19" s="17">
        <v>721735862.90999997</v>
      </c>
      <c r="I19" s="597"/>
      <c r="L19" s="638">
        <v>2024</v>
      </c>
      <c r="M19" s="639"/>
    </row>
    <row r="20" spans="2:13" s="636" customFormat="1" ht="36" customHeight="1" thickBot="1" x14ac:dyDescent="0.3">
      <c r="B20" s="14"/>
      <c r="C20" s="15">
        <v>2021</v>
      </c>
      <c r="D20" s="16" t="s">
        <v>368</v>
      </c>
      <c r="E20" s="653">
        <v>42991</v>
      </c>
      <c r="F20" s="653">
        <v>43006</v>
      </c>
      <c r="G20" s="642">
        <v>0.33367209398999997</v>
      </c>
      <c r="H20" s="17">
        <v>383277611</v>
      </c>
      <c r="I20" s="597"/>
    </row>
    <row r="21" spans="2:13" s="636" customFormat="1" ht="36" customHeight="1" thickBot="1" x14ac:dyDescent="0.3">
      <c r="B21" s="14"/>
      <c r="C21" s="15">
        <v>2021</v>
      </c>
      <c r="D21" s="16" t="s">
        <v>430</v>
      </c>
      <c r="E21" s="653" t="s">
        <v>432</v>
      </c>
      <c r="F21" s="653" t="s">
        <v>433</v>
      </c>
      <c r="G21" s="642">
        <v>0.131482454</v>
      </c>
      <c r="H21" s="17">
        <v>148547535.44</v>
      </c>
      <c r="I21" s="600"/>
    </row>
    <row r="22" spans="2:13" s="636" customFormat="1" ht="36" customHeight="1" thickBot="1" x14ac:dyDescent="0.3">
      <c r="B22" s="14"/>
      <c r="C22" s="644">
        <v>2021</v>
      </c>
      <c r="D22" s="16" t="s">
        <v>431</v>
      </c>
      <c r="E22" s="15" t="s">
        <v>490</v>
      </c>
      <c r="F22" s="654" t="s">
        <v>442</v>
      </c>
      <c r="G22" s="645">
        <v>0.11710709900000001</v>
      </c>
      <c r="H22" s="646">
        <v>131849828.95</v>
      </c>
      <c r="I22" s="601">
        <f>SUM(H22,H23)</f>
        <v>520849828.954</v>
      </c>
    </row>
    <row r="23" spans="2:13" s="636" customFormat="1" ht="36" customHeight="1" thickBot="1" x14ac:dyDescent="0.3">
      <c r="B23" s="14"/>
      <c r="C23" s="647">
        <v>2022</v>
      </c>
      <c r="D23" s="16" t="s">
        <v>368</v>
      </c>
      <c r="E23" s="15" t="s">
        <v>481</v>
      </c>
      <c r="F23" s="654" t="s">
        <v>491</v>
      </c>
      <c r="G23" s="648">
        <v>0.34890912082999997</v>
      </c>
      <c r="H23" s="503">
        <v>389000000.00400001</v>
      </c>
      <c r="I23" s="600"/>
    </row>
    <row r="24" spans="2:13" s="636" customFormat="1" ht="36" customHeight="1" thickBot="1" x14ac:dyDescent="0.3">
      <c r="B24" s="14"/>
      <c r="C24" s="649">
        <v>2022</v>
      </c>
      <c r="D24" s="16" t="s">
        <v>484</v>
      </c>
      <c r="E24" s="15" t="s">
        <v>482</v>
      </c>
      <c r="F24" s="654" t="s">
        <v>483</v>
      </c>
      <c r="G24" s="648">
        <v>0.39016209099999999</v>
      </c>
      <c r="H24" s="504">
        <v>434993081.63999999</v>
      </c>
      <c r="I24" s="439">
        <f>H24</f>
        <v>434993081.63999999</v>
      </c>
    </row>
    <row r="25" spans="2:13" s="636" customFormat="1" ht="36" customHeight="1" thickBot="1" x14ac:dyDescent="0.3">
      <c r="B25" s="14"/>
      <c r="C25" s="647">
        <v>2023</v>
      </c>
      <c r="D25" s="16" t="s">
        <v>363</v>
      </c>
      <c r="E25" s="634" t="s">
        <v>608</v>
      </c>
      <c r="F25" s="654" t="s">
        <v>609</v>
      </c>
      <c r="G25" s="648">
        <v>0.42909543292000002</v>
      </c>
      <c r="H25" s="503">
        <v>478400000</v>
      </c>
      <c r="I25" s="601">
        <f>SUM(H25:H28)</f>
        <v>1604581530.0600002</v>
      </c>
    </row>
    <row r="26" spans="2:13" s="636" customFormat="1" ht="36" customHeight="1" thickBot="1" x14ac:dyDescent="0.3">
      <c r="B26" s="14"/>
      <c r="C26" s="649">
        <v>2023</v>
      </c>
      <c r="D26" s="16" t="s">
        <v>484</v>
      </c>
      <c r="E26" s="15" t="s">
        <v>610</v>
      </c>
      <c r="F26" s="654" t="s">
        <v>611</v>
      </c>
      <c r="G26" s="648">
        <v>0.40362074704000001</v>
      </c>
      <c r="H26" s="504">
        <v>450021090.24000001</v>
      </c>
      <c r="I26" s="597"/>
    </row>
    <row r="27" spans="2:13" s="636" customFormat="1" ht="36" customHeight="1" thickBot="1" x14ac:dyDescent="0.3">
      <c r="B27" s="14"/>
      <c r="C27" s="649">
        <v>2023</v>
      </c>
      <c r="D27" s="16" t="s">
        <v>627</v>
      </c>
      <c r="E27" s="15" t="s">
        <v>634</v>
      </c>
      <c r="F27" s="654" t="s">
        <v>628</v>
      </c>
      <c r="G27" s="648">
        <v>0.30322176867</v>
      </c>
      <c r="H27" s="503">
        <v>338080219.91000003</v>
      </c>
      <c r="I27" s="597"/>
    </row>
    <row r="28" spans="2:13" s="636" customFormat="1" ht="36" customHeight="1" thickBot="1" x14ac:dyDescent="0.3">
      <c r="B28" s="14"/>
      <c r="C28" s="649">
        <v>2023</v>
      </c>
      <c r="D28" s="16" t="s">
        <v>629</v>
      </c>
      <c r="E28" s="15" t="s">
        <v>634</v>
      </c>
      <c r="F28" s="654" t="s">
        <v>630</v>
      </c>
      <c r="G28" s="648">
        <v>0.30322176867</v>
      </c>
      <c r="H28" s="504">
        <v>338080219.91000003</v>
      </c>
      <c r="I28" s="597"/>
    </row>
    <row r="29" spans="2:13" s="636" customFormat="1" ht="11.5" x14ac:dyDescent="0.25">
      <c r="B29" s="650"/>
      <c r="C29" s="651" t="s">
        <v>26</v>
      </c>
      <c r="D29" s="651"/>
      <c r="E29" s="596"/>
      <c r="F29" s="596"/>
      <c r="G29" s="652">
        <f>SUM(G9:G28)</f>
        <v>9.382005762066866</v>
      </c>
      <c r="H29" s="596">
        <f>SUM(H9:H28)</f>
        <v>10806312448.723999</v>
      </c>
      <c r="I29" s="596"/>
    </row>
    <row r="32" spans="2:13" x14ac:dyDescent="0.3">
      <c r="D32" s="128"/>
      <c r="E32" s="128"/>
    </row>
  </sheetData>
  <mergeCells count="10">
    <mergeCell ref="I25:I28"/>
    <mergeCell ref="C29:D29"/>
    <mergeCell ref="E29:F29"/>
    <mergeCell ref="H29:I29"/>
    <mergeCell ref="L6:S6"/>
    <mergeCell ref="I9:I10"/>
    <mergeCell ref="I11:I13"/>
    <mergeCell ref="I14:I16"/>
    <mergeCell ref="I17:I21"/>
    <mergeCell ref="I22:I23"/>
  </mergeCells>
  <pageMargins left="0.511811024" right="0.511811024" top="0.78740157499999996" bottom="0.78740157499999996" header="0.31496062000000002" footer="0.31496062000000002"/>
  <pageSetup paperSize="9" orientation="portrait" horizontalDpi="4294967293" verticalDpi="4294967293" r:id="rId1"/>
  <headerFooter>
    <oddFooter>&amp;C&amp;1#&amp;"Calibri"&amp;10&amp;K000000Pública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6BE73-FA4C-4C6B-99D8-5E3DD1D8B646}">
  <sheetPr codeName="Planilha18">
    <tabColor rgb="FFFFC000"/>
  </sheetPr>
  <dimension ref="A1:F21"/>
  <sheetViews>
    <sheetView showGridLines="0" zoomScale="70" zoomScaleNormal="70" workbookViewId="0">
      <pane xSplit="2" ySplit="5" topLeftCell="C6" activePane="bottomRight" state="frozen"/>
      <selection pane="topRight"/>
      <selection pane="bottomLeft"/>
      <selection pane="bottomRight" activeCell="D5" sqref="D5"/>
    </sheetView>
  </sheetViews>
  <sheetFormatPr defaultColWidth="9.1796875" defaultRowHeight="15.5" x14ac:dyDescent="0.35"/>
  <cols>
    <col min="1" max="1" width="1.453125" style="71" customWidth="1"/>
    <col min="2" max="2" width="61.54296875" style="56" customWidth="1"/>
    <col min="3" max="3" width="27" style="71" customWidth="1"/>
    <col min="4" max="4" width="25.81640625" style="22" customWidth="1"/>
    <col min="5" max="5" width="7.81640625" style="22" customWidth="1"/>
    <col min="6" max="6" width="20.08984375" style="149" bestFit="1" customWidth="1"/>
    <col min="7" max="16384" width="9.1796875" style="71"/>
  </cols>
  <sheetData>
    <row r="1" spans="1:6" ht="41.25" customHeight="1" x14ac:dyDescent="0.35">
      <c r="A1" s="166"/>
      <c r="C1" s="70"/>
      <c r="D1" s="18"/>
      <c r="E1" s="18"/>
    </row>
    <row r="2" spans="1:6" ht="18" x14ac:dyDescent="0.3">
      <c r="B2" s="57" t="s">
        <v>590</v>
      </c>
      <c r="C2" s="150"/>
      <c r="D2" s="20"/>
      <c r="E2" s="127"/>
    </row>
    <row r="3" spans="1:6" ht="14.25" customHeight="1" x14ac:dyDescent="0.35">
      <c r="C3" s="22"/>
      <c r="E3" s="71"/>
      <c r="F3" s="71"/>
    </row>
    <row r="4" spans="1:6" s="56" customFormat="1" x14ac:dyDescent="0.35">
      <c r="B4" s="167"/>
      <c r="C4" s="602" t="s">
        <v>672</v>
      </c>
      <c r="D4" s="602"/>
      <c r="F4" s="447" t="s">
        <v>13</v>
      </c>
    </row>
    <row r="5" spans="1:6" s="56" customFormat="1" x14ac:dyDescent="0.35">
      <c r="B5" s="225"/>
      <c r="C5" s="317" t="s">
        <v>526</v>
      </c>
      <c r="D5" s="318" t="s">
        <v>12</v>
      </c>
      <c r="F5" s="227" t="s">
        <v>492</v>
      </c>
    </row>
    <row r="6" spans="1:6" s="56" customFormat="1" ht="7.5" customHeight="1" x14ac:dyDescent="0.35">
      <c r="C6" s="448"/>
      <c r="D6" s="449"/>
    </row>
    <row r="7" spans="1:6" s="56" customFormat="1" x14ac:dyDescent="0.35">
      <c r="B7" s="168" t="s">
        <v>162</v>
      </c>
      <c r="C7" s="170"/>
      <c r="D7" s="169"/>
    </row>
    <row r="8" spans="1:6" s="56" customFormat="1" ht="14.25" customHeight="1" x14ac:dyDescent="0.35">
      <c r="B8" s="104"/>
      <c r="C8" s="172"/>
      <c r="D8" s="171"/>
    </row>
    <row r="9" spans="1:6" s="56" customFormat="1" x14ac:dyDescent="0.35">
      <c r="B9" s="319" t="s">
        <v>364</v>
      </c>
      <c r="C9" s="612">
        <v>41577</v>
      </c>
      <c r="D9" s="613">
        <v>42297</v>
      </c>
      <c r="E9" s="463"/>
      <c r="F9" s="614">
        <f>D9-C9</f>
        <v>720</v>
      </c>
    </row>
    <row r="10" spans="1:6" s="56" customFormat="1" x14ac:dyDescent="0.35">
      <c r="B10" s="104"/>
      <c r="C10" s="615"/>
      <c r="D10" s="616"/>
      <c r="E10" s="151"/>
      <c r="F10" s="617"/>
    </row>
    <row r="11" spans="1:6" s="238" customFormat="1" x14ac:dyDescent="0.35">
      <c r="B11" s="319" t="s">
        <v>365</v>
      </c>
      <c r="C11" s="612">
        <v>1417</v>
      </c>
      <c r="D11" s="613">
        <v>1550</v>
      </c>
      <c r="E11" s="618"/>
      <c r="F11" s="614">
        <f>D11-C11</f>
        <v>133</v>
      </c>
    </row>
    <row r="12" spans="1:6" s="238" customFormat="1" x14ac:dyDescent="0.35">
      <c r="B12" s="204"/>
      <c r="C12" s="440"/>
      <c r="D12" s="441"/>
      <c r="E12" s="618"/>
      <c r="F12" s="619"/>
    </row>
    <row r="13" spans="1:6" s="56" customFormat="1" x14ac:dyDescent="0.35">
      <c r="B13" s="319" t="s">
        <v>11</v>
      </c>
      <c r="C13" s="620">
        <v>160</v>
      </c>
      <c r="D13" s="621">
        <v>175.74674959402506</v>
      </c>
      <c r="E13" s="463"/>
      <c r="F13" s="614">
        <f>D13-C13</f>
        <v>15.746749594025061</v>
      </c>
    </row>
    <row r="14" spans="1:6" s="56" customFormat="1" x14ac:dyDescent="0.35">
      <c r="B14" s="450"/>
      <c r="C14" s="622"/>
      <c r="D14" s="623"/>
      <c r="E14" s="463"/>
      <c r="F14" s="624"/>
    </row>
    <row r="15" spans="1:6" s="56" customFormat="1" x14ac:dyDescent="0.35">
      <c r="B15" s="167" t="s">
        <v>366</v>
      </c>
      <c r="C15" s="620">
        <v>637</v>
      </c>
      <c r="D15" s="613">
        <v>867</v>
      </c>
      <c r="E15" s="463"/>
      <c r="F15" s="614">
        <f>D15-C15</f>
        <v>230</v>
      </c>
    </row>
    <row r="16" spans="1:6" s="56" customFormat="1" x14ac:dyDescent="0.35">
      <c r="B16" s="151"/>
      <c r="C16" s="625"/>
      <c r="D16" s="463"/>
      <c r="E16" s="463"/>
      <c r="F16" s="624"/>
    </row>
    <row r="17" spans="1:6" s="56" customFormat="1" x14ac:dyDescent="0.35">
      <c r="B17" s="451" t="s">
        <v>367</v>
      </c>
      <c r="C17" s="446">
        <v>29.64</v>
      </c>
      <c r="D17" s="463"/>
      <c r="E17" s="463"/>
      <c r="F17" s="624"/>
    </row>
    <row r="18" spans="1:6" s="56" customFormat="1" x14ac:dyDescent="0.35">
      <c r="B18" s="189"/>
      <c r="D18" s="32"/>
      <c r="E18" s="32"/>
      <c r="F18" s="452"/>
    </row>
    <row r="19" spans="1:6" s="463" customFormat="1" x14ac:dyDescent="0.35">
      <c r="A19" s="151"/>
      <c r="B19" s="462" t="s">
        <v>591</v>
      </c>
      <c r="C19" s="151"/>
      <c r="F19" s="464"/>
    </row>
    <row r="20" spans="1:6" s="32" customFormat="1" x14ac:dyDescent="0.35">
      <c r="A20" s="56"/>
      <c r="B20" s="151"/>
      <c r="C20" s="56"/>
      <c r="F20" s="452"/>
    </row>
    <row r="21" spans="1:6" s="32" customFormat="1" x14ac:dyDescent="0.35">
      <c r="A21" s="56"/>
      <c r="B21" s="56"/>
      <c r="C21" s="56"/>
      <c r="F21" s="452"/>
    </row>
  </sheetData>
  <mergeCells count="1">
    <mergeCell ref="C4:D4"/>
  </mergeCells>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D01D7-5FB3-4DA1-9F25-E3B6280360F9}">
  <sheetPr codeName="Planilha19">
    <tabColor rgb="FF28333C"/>
  </sheetPr>
  <dimension ref="A1:N19"/>
  <sheetViews>
    <sheetView showGridLines="0" zoomScale="80" zoomScaleNormal="80" workbookViewId="0">
      <selection activeCell="I21" sqref="I21"/>
    </sheetView>
  </sheetViews>
  <sheetFormatPr defaultRowHeight="14.5" x14ac:dyDescent="0.35"/>
  <sheetData>
    <row r="1" spans="1:14" ht="26" x14ac:dyDescent="0.35">
      <c r="A1" s="1"/>
      <c r="B1" s="5"/>
      <c r="C1" s="8"/>
    </row>
    <row r="4" spans="1:14" ht="15" customHeight="1" x14ac:dyDescent="0.35">
      <c r="C4" s="603" t="s">
        <v>677</v>
      </c>
      <c r="D4" s="604"/>
      <c r="E4" s="604"/>
      <c r="F4" s="604"/>
      <c r="G4" s="604"/>
      <c r="H4" s="604"/>
      <c r="I4" s="604"/>
      <c r="J4" s="604"/>
      <c r="K4" s="604"/>
      <c r="L4" s="604"/>
      <c r="M4" s="604"/>
      <c r="N4" s="605"/>
    </row>
    <row r="5" spans="1:14" x14ac:dyDescent="0.35">
      <c r="C5" s="606"/>
      <c r="D5" s="607"/>
      <c r="E5" s="607"/>
      <c r="F5" s="607"/>
      <c r="G5" s="607"/>
      <c r="H5" s="607"/>
      <c r="I5" s="607"/>
      <c r="J5" s="607"/>
      <c r="K5" s="607"/>
      <c r="L5" s="607"/>
      <c r="M5" s="607"/>
      <c r="N5" s="608"/>
    </row>
    <row r="6" spans="1:14" x14ac:dyDescent="0.35">
      <c r="C6" s="606"/>
      <c r="D6" s="607"/>
      <c r="E6" s="607"/>
      <c r="F6" s="607"/>
      <c r="G6" s="607"/>
      <c r="H6" s="607"/>
      <c r="I6" s="607"/>
      <c r="J6" s="607"/>
      <c r="K6" s="607"/>
      <c r="L6" s="607"/>
      <c r="M6" s="607"/>
      <c r="N6" s="608"/>
    </row>
    <row r="7" spans="1:14" x14ac:dyDescent="0.35">
      <c r="C7" s="606"/>
      <c r="D7" s="607"/>
      <c r="E7" s="607"/>
      <c r="F7" s="607"/>
      <c r="G7" s="607"/>
      <c r="H7" s="607"/>
      <c r="I7" s="607"/>
      <c r="J7" s="607"/>
      <c r="K7" s="607"/>
      <c r="L7" s="607"/>
      <c r="M7" s="607"/>
      <c r="N7" s="608"/>
    </row>
    <row r="8" spans="1:14" x14ac:dyDescent="0.35">
      <c r="C8" s="606"/>
      <c r="D8" s="607"/>
      <c r="E8" s="607"/>
      <c r="F8" s="607"/>
      <c r="G8" s="607"/>
      <c r="H8" s="607"/>
      <c r="I8" s="607"/>
      <c r="J8" s="607"/>
      <c r="K8" s="607"/>
      <c r="L8" s="607"/>
      <c r="M8" s="607"/>
      <c r="N8" s="608"/>
    </row>
    <row r="9" spans="1:14" x14ac:dyDescent="0.35">
      <c r="C9" s="606"/>
      <c r="D9" s="607"/>
      <c r="E9" s="607"/>
      <c r="F9" s="607"/>
      <c r="G9" s="607"/>
      <c r="H9" s="607"/>
      <c r="I9" s="607"/>
      <c r="J9" s="607"/>
      <c r="K9" s="607"/>
      <c r="L9" s="607"/>
      <c r="M9" s="607"/>
      <c r="N9" s="608"/>
    </row>
    <row r="10" spans="1:14" x14ac:dyDescent="0.35">
      <c r="C10" s="606"/>
      <c r="D10" s="607"/>
      <c r="E10" s="607"/>
      <c r="F10" s="607"/>
      <c r="G10" s="607"/>
      <c r="H10" s="607"/>
      <c r="I10" s="607"/>
      <c r="J10" s="607"/>
      <c r="K10" s="607"/>
      <c r="L10" s="607"/>
      <c r="M10" s="607"/>
      <c r="N10" s="608"/>
    </row>
    <row r="11" spans="1:14" x14ac:dyDescent="0.35">
      <c r="C11" s="606"/>
      <c r="D11" s="607"/>
      <c r="E11" s="607"/>
      <c r="F11" s="607"/>
      <c r="G11" s="607"/>
      <c r="H11" s="607"/>
      <c r="I11" s="607"/>
      <c r="J11" s="607"/>
      <c r="K11" s="607"/>
      <c r="L11" s="607"/>
      <c r="M11" s="607"/>
      <c r="N11" s="608"/>
    </row>
    <row r="12" spans="1:14" x14ac:dyDescent="0.35">
      <c r="C12" s="606"/>
      <c r="D12" s="607"/>
      <c r="E12" s="607"/>
      <c r="F12" s="607"/>
      <c r="G12" s="607"/>
      <c r="H12" s="607"/>
      <c r="I12" s="607"/>
      <c r="J12" s="607"/>
      <c r="K12" s="607"/>
      <c r="L12" s="607"/>
      <c r="M12" s="607"/>
      <c r="N12" s="608"/>
    </row>
    <row r="13" spans="1:14" x14ac:dyDescent="0.35">
      <c r="C13" s="606"/>
      <c r="D13" s="607"/>
      <c r="E13" s="607"/>
      <c r="F13" s="607"/>
      <c r="G13" s="607"/>
      <c r="H13" s="607"/>
      <c r="I13" s="607"/>
      <c r="J13" s="607"/>
      <c r="K13" s="607"/>
      <c r="L13" s="607"/>
      <c r="M13" s="607"/>
      <c r="N13" s="608"/>
    </row>
    <row r="14" spans="1:14" x14ac:dyDescent="0.35">
      <c r="C14" s="606"/>
      <c r="D14" s="607"/>
      <c r="E14" s="607"/>
      <c r="F14" s="607"/>
      <c r="G14" s="607"/>
      <c r="H14" s="607"/>
      <c r="I14" s="607"/>
      <c r="J14" s="607"/>
      <c r="K14" s="607"/>
      <c r="L14" s="607"/>
      <c r="M14" s="607"/>
      <c r="N14" s="608"/>
    </row>
    <row r="15" spans="1:14" x14ac:dyDescent="0.35">
      <c r="C15" s="606"/>
      <c r="D15" s="607"/>
      <c r="E15" s="607"/>
      <c r="F15" s="607"/>
      <c r="G15" s="607"/>
      <c r="H15" s="607"/>
      <c r="I15" s="607"/>
      <c r="J15" s="607"/>
      <c r="K15" s="607"/>
      <c r="L15" s="607"/>
      <c r="M15" s="607"/>
      <c r="N15" s="608"/>
    </row>
    <row r="16" spans="1:14" x14ac:dyDescent="0.35">
      <c r="C16" s="606"/>
      <c r="D16" s="607"/>
      <c r="E16" s="607"/>
      <c r="F16" s="607"/>
      <c r="G16" s="607"/>
      <c r="H16" s="607"/>
      <c r="I16" s="607"/>
      <c r="J16" s="607"/>
      <c r="K16" s="607"/>
      <c r="L16" s="607"/>
      <c r="M16" s="607"/>
      <c r="N16" s="608"/>
    </row>
    <row r="17" spans="3:14" x14ac:dyDescent="0.35">
      <c r="C17" s="606"/>
      <c r="D17" s="607"/>
      <c r="E17" s="607"/>
      <c r="F17" s="607"/>
      <c r="G17" s="607"/>
      <c r="H17" s="607"/>
      <c r="I17" s="607"/>
      <c r="J17" s="607"/>
      <c r="K17" s="607"/>
      <c r="L17" s="607"/>
      <c r="M17" s="607"/>
      <c r="N17" s="608"/>
    </row>
    <row r="18" spans="3:14" x14ac:dyDescent="0.35">
      <c r="C18" s="606"/>
      <c r="D18" s="607"/>
      <c r="E18" s="607"/>
      <c r="F18" s="607"/>
      <c r="G18" s="607"/>
      <c r="H18" s="607"/>
      <c r="I18" s="607"/>
      <c r="J18" s="607"/>
      <c r="K18" s="607"/>
      <c r="L18" s="607"/>
      <c r="M18" s="607"/>
      <c r="N18" s="608"/>
    </row>
    <row r="19" spans="3:14" x14ac:dyDescent="0.35">
      <c r="C19" s="609"/>
      <c r="D19" s="610"/>
      <c r="E19" s="610"/>
      <c r="F19" s="610"/>
      <c r="G19" s="610"/>
      <c r="H19" s="610"/>
      <c r="I19" s="610"/>
      <c r="J19" s="610"/>
      <c r="K19" s="610"/>
      <c r="L19" s="610"/>
      <c r="M19" s="610"/>
      <c r="N19" s="611"/>
    </row>
  </sheetData>
  <mergeCells count="1">
    <mergeCell ref="C4:N19"/>
  </mergeCells>
  <pageMargins left="0.511811024" right="0.511811024" top="0.78740157499999996" bottom="0.78740157499999996" header="0.31496062000000002" footer="0.31496062000000002"/>
  <pageSetup paperSize="9" orientation="portrait" verticalDpi="300" r:id="rId1"/>
  <headerFooter>
    <oddFooter>&amp;C&amp;1#&amp;"Calibri"&amp;10&amp;K000000Pública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0342D-7D47-44DB-81E3-B5F20A063600}">
  <sheetPr codeName="Planilha2">
    <tabColor rgb="FFFFC000"/>
  </sheetPr>
  <dimension ref="A1:AH38"/>
  <sheetViews>
    <sheetView showGridLines="0" zoomScale="70" zoomScaleNormal="70" workbookViewId="0">
      <pane xSplit="2" ySplit="5" topLeftCell="T20" activePane="bottomRight" state="frozen"/>
      <selection pane="topRight"/>
      <selection pane="bottomLeft"/>
      <selection pane="bottomRight" activeCell="AI20" sqref="AI20"/>
    </sheetView>
  </sheetViews>
  <sheetFormatPr defaultColWidth="9.1796875" defaultRowHeight="15.5" outlineLevelRow="1" outlineLevelCol="1" x14ac:dyDescent="0.35"/>
  <cols>
    <col min="1" max="1" width="2" customWidth="1"/>
    <col min="2" max="2" width="66.81640625" style="56" customWidth="1"/>
    <col min="3" max="5" width="10.7265625" style="38" customWidth="1" outlineLevel="1"/>
    <col min="6" max="6" width="10.7265625" style="39" customWidth="1" outlineLevel="1"/>
    <col min="7" max="9" width="10.7265625" style="38" customWidth="1" outlineLevel="1"/>
    <col min="10" max="10" width="10.7265625" style="39" customWidth="1" outlineLevel="1"/>
    <col min="11" max="13" width="10.7265625" style="38" customWidth="1" outlineLevel="1"/>
    <col min="14" max="14" width="10.7265625" style="39" customWidth="1" outlineLevel="1"/>
    <col min="15" max="17" width="10.7265625" style="38" customWidth="1" outlineLevel="1"/>
    <col min="18" max="18" width="10.7265625" style="39" customWidth="1" outlineLevel="1"/>
    <col min="19" max="21" width="10.7265625" style="38" customWidth="1"/>
    <col min="22" max="22" width="10.7265625" style="39" customWidth="1"/>
    <col min="23" max="25" width="9.54296875" style="38" bestFit="1" customWidth="1"/>
    <col min="27" max="27" width="0.453125" customWidth="1"/>
    <col min="32" max="32" width="0.453125" customWidth="1"/>
  </cols>
  <sheetData>
    <row r="1" spans="1:34" ht="41.25" customHeight="1" x14ac:dyDescent="0.35">
      <c r="A1" s="1"/>
      <c r="C1" s="34"/>
      <c r="D1" s="34"/>
      <c r="E1" s="34"/>
      <c r="F1" s="35"/>
      <c r="G1" s="34"/>
      <c r="H1" s="34"/>
      <c r="I1" s="34"/>
      <c r="J1" s="35"/>
      <c r="K1" s="34"/>
      <c r="L1" s="34"/>
      <c r="M1" s="34"/>
      <c r="N1" s="35"/>
      <c r="O1" s="34"/>
      <c r="P1" s="34"/>
      <c r="Q1" s="34"/>
      <c r="R1" s="35"/>
      <c r="S1" s="34"/>
      <c r="T1" s="34"/>
      <c r="U1" s="34"/>
      <c r="V1" s="35"/>
      <c r="W1" s="34"/>
      <c r="X1" s="34"/>
      <c r="Y1" s="34"/>
    </row>
    <row r="2" spans="1:34" ht="18" x14ac:dyDescent="0.35">
      <c r="B2" s="57" t="s">
        <v>0</v>
      </c>
      <c r="C2" s="36"/>
      <c r="D2" s="36"/>
      <c r="E2" s="36"/>
      <c r="F2" s="37"/>
      <c r="G2" s="36"/>
      <c r="H2" s="36"/>
      <c r="I2" s="36"/>
      <c r="J2" s="37"/>
      <c r="K2" s="36"/>
      <c r="L2" s="36"/>
      <c r="M2" s="36"/>
      <c r="N2" s="37"/>
      <c r="O2" s="36"/>
      <c r="P2" s="36"/>
      <c r="Q2" s="36"/>
      <c r="R2" s="37"/>
      <c r="S2" s="36"/>
      <c r="T2" s="36"/>
      <c r="U2" s="36"/>
      <c r="V2" s="37"/>
      <c r="W2" s="36"/>
      <c r="X2" s="36"/>
      <c r="Y2" s="36"/>
      <c r="Z2" s="36"/>
      <c r="AB2" s="36"/>
      <c r="AC2" s="36"/>
      <c r="AD2" s="36"/>
      <c r="AE2" s="36"/>
      <c r="AG2" s="36"/>
      <c r="AH2" s="36"/>
    </row>
    <row r="3" spans="1:34" ht="9.75" customHeight="1" x14ac:dyDescent="0.35">
      <c r="AB3" s="38"/>
      <c r="AC3" s="38"/>
      <c r="AD3" s="38"/>
      <c r="AE3" s="38"/>
      <c r="AG3" s="38"/>
      <c r="AH3" s="38"/>
    </row>
    <row r="4" spans="1:34" x14ac:dyDescent="0.35">
      <c r="B4" s="58"/>
      <c r="C4" s="40" t="s">
        <v>211</v>
      </c>
      <c r="D4" s="41" t="s">
        <v>212</v>
      </c>
      <c r="E4" s="41" t="s">
        <v>213</v>
      </c>
      <c r="F4" s="42" t="s">
        <v>195</v>
      </c>
      <c r="G4" s="40" t="s">
        <v>196</v>
      </c>
      <c r="H4" s="41" t="s">
        <v>197</v>
      </c>
      <c r="I4" s="41" t="s">
        <v>198</v>
      </c>
      <c r="J4" s="42" t="s">
        <v>199</v>
      </c>
      <c r="K4" s="41" t="s">
        <v>200</v>
      </c>
      <c r="L4" s="41" t="s">
        <v>201</v>
      </c>
      <c r="M4" s="41" t="s">
        <v>202</v>
      </c>
      <c r="N4" s="42" t="s">
        <v>203</v>
      </c>
      <c r="O4" s="41" t="s">
        <v>204</v>
      </c>
      <c r="P4" s="41" t="s">
        <v>205</v>
      </c>
      <c r="Q4" s="41" t="s">
        <v>206</v>
      </c>
      <c r="R4" s="42" t="s">
        <v>207</v>
      </c>
      <c r="S4" s="41" t="s">
        <v>208</v>
      </c>
      <c r="T4" s="41" t="s">
        <v>209</v>
      </c>
      <c r="U4" s="41" t="s">
        <v>210</v>
      </c>
      <c r="V4" s="42" t="s">
        <v>428</v>
      </c>
      <c r="W4" s="41" t="s">
        <v>435</v>
      </c>
      <c r="X4" s="41" t="s">
        <v>440</v>
      </c>
      <c r="Y4" s="41" t="s">
        <v>470</v>
      </c>
      <c r="Z4" s="41" t="s">
        <v>480</v>
      </c>
      <c r="AB4" s="41" t="s">
        <v>500</v>
      </c>
      <c r="AC4" s="41" t="s">
        <v>524</v>
      </c>
      <c r="AD4" s="41" t="s">
        <v>588</v>
      </c>
      <c r="AE4" s="41" t="s">
        <v>604</v>
      </c>
      <c r="AG4" s="41" t="s">
        <v>633</v>
      </c>
      <c r="AH4" s="41" t="s">
        <v>672</v>
      </c>
    </row>
    <row r="5" spans="1:34" x14ac:dyDescent="0.35">
      <c r="B5" s="59"/>
      <c r="C5" s="43" t="s">
        <v>37</v>
      </c>
      <c r="D5" s="43" t="s">
        <v>194</v>
      </c>
      <c r="E5" s="43" t="s">
        <v>471</v>
      </c>
      <c r="F5" s="44" t="s">
        <v>193</v>
      </c>
      <c r="G5" s="43" t="s">
        <v>37</v>
      </c>
      <c r="H5" s="43" t="s">
        <v>194</v>
      </c>
      <c r="I5" s="43" t="s">
        <v>471</v>
      </c>
      <c r="J5" s="44" t="s">
        <v>193</v>
      </c>
      <c r="K5" s="43" t="s">
        <v>37</v>
      </c>
      <c r="L5" s="43" t="s">
        <v>194</v>
      </c>
      <c r="M5" s="43" t="s">
        <v>471</v>
      </c>
      <c r="N5" s="44" t="s">
        <v>193</v>
      </c>
      <c r="O5" s="43" t="s">
        <v>37</v>
      </c>
      <c r="P5" s="43" t="s">
        <v>194</v>
      </c>
      <c r="Q5" s="43" t="s">
        <v>471</v>
      </c>
      <c r="R5" s="44" t="s">
        <v>193</v>
      </c>
      <c r="S5" s="43" t="s">
        <v>37</v>
      </c>
      <c r="T5" s="43" t="s">
        <v>194</v>
      </c>
      <c r="U5" s="43" t="s">
        <v>471</v>
      </c>
      <c r="V5" s="44" t="s">
        <v>193</v>
      </c>
      <c r="W5" s="43" t="s">
        <v>37</v>
      </c>
      <c r="X5" s="43" t="s">
        <v>194</v>
      </c>
      <c r="Y5" s="43" t="s">
        <v>471</v>
      </c>
      <c r="Z5" s="44" t="s">
        <v>193</v>
      </c>
      <c r="AB5" s="43" t="s">
        <v>37</v>
      </c>
      <c r="AC5" s="43" t="s">
        <v>194</v>
      </c>
      <c r="AD5" s="43" t="s">
        <v>471</v>
      </c>
      <c r="AE5" s="43" t="s">
        <v>193</v>
      </c>
      <c r="AG5" s="43" t="s">
        <v>37</v>
      </c>
      <c r="AH5" s="43" t="s">
        <v>673</v>
      </c>
    </row>
    <row r="6" spans="1:34" ht="8.25" customHeight="1" x14ac:dyDescent="0.35">
      <c r="C6" s="34"/>
      <c r="D6" s="34"/>
      <c r="E6" s="34"/>
      <c r="F6" s="35"/>
      <c r="G6" s="34"/>
      <c r="H6" s="34"/>
      <c r="I6" s="34"/>
      <c r="J6" s="35"/>
      <c r="K6" s="34"/>
      <c r="L6" s="34"/>
      <c r="M6" s="34"/>
      <c r="N6" s="35"/>
      <c r="O6" s="34"/>
      <c r="P6" s="34"/>
      <c r="Q6" s="34"/>
      <c r="R6" s="35"/>
      <c r="S6" s="34"/>
      <c r="T6" s="34"/>
      <c r="U6" s="34"/>
      <c r="V6" s="35"/>
      <c r="W6" s="34"/>
      <c r="X6" s="34"/>
      <c r="Y6" s="34"/>
    </row>
    <row r="7" spans="1:34" s="10" customFormat="1" ht="18" x14ac:dyDescent="0.4">
      <c r="B7" s="60" t="s">
        <v>60</v>
      </c>
      <c r="C7" s="45"/>
      <c r="D7" s="45"/>
      <c r="E7" s="45"/>
      <c r="F7" s="46"/>
      <c r="G7" s="45"/>
      <c r="H7" s="45"/>
      <c r="I7" s="45"/>
      <c r="J7" s="46"/>
      <c r="K7" s="45"/>
      <c r="L7" s="47"/>
      <c r="M7" s="47"/>
      <c r="N7" s="48"/>
      <c r="O7" s="47"/>
      <c r="P7" s="47"/>
      <c r="Q7" s="47"/>
      <c r="R7" s="48"/>
      <c r="S7" s="47"/>
      <c r="T7" s="49"/>
      <c r="U7" s="47"/>
      <c r="V7" s="48"/>
      <c r="W7" s="47"/>
      <c r="X7" s="47"/>
      <c r="Y7" s="47"/>
    </row>
    <row r="8" spans="1:34" s="11" customFormat="1" ht="19" x14ac:dyDescent="0.45">
      <c r="B8" s="61" t="s">
        <v>187</v>
      </c>
      <c r="C8" s="50">
        <f t="shared" ref="C8:T8" si="0">SUM(C9:C16)</f>
        <v>10337</v>
      </c>
      <c r="D8" s="50">
        <f t="shared" si="0"/>
        <v>10498</v>
      </c>
      <c r="E8" s="50">
        <f t="shared" si="0"/>
        <v>11312</v>
      </c>
      <c r="F8" s="51">
        <f t="shared" si="0"/>
        <v>11028</v>
      </c>
      <c r="G8" s="50">
        <f t="shared" si="0"/>
        <v>10109</v>
      </c>
      <c r="H8" s="50">
        <f t="shared" si="0"/>
        <v>10061</v>
      </c>
      <c r="I8" s="50">
        <f t="shared" si="0"/>
        <v>10966</v>
      </c>
      <c r="J8" s="51">
        <f t="shared" si="0"/>
        <v>10412</v>
      </c>
      <c r="K8" s="50">
        <f t="shared" si="0"/>
        <v>9765.0860805400007</v>
      </c>
      <c r="L8" s="50">
        <f t="shared" si="0"/>
        <v>9999.3182051899985</v>
      </c>
      <c r="M8" s="50">
        <f t="shared" si="0"/>
        <v>10487.218242605</v>
      </c>
      <c r="N8" s="51">
        <f t="shared" si="0"/>
        <v>9929.3889933789978</v>
      </c>
      <c r="O8" s="50">
        <f t="shared" si="0"/>
        <v>9190.614823115</v>
      </c>
      <c r="P8" s="50">
        <f t="shared" si="0"/>
        <v>7827.3905716190002</v>
      </c>
      <c r="Q8" s="50">
        <f t="shared" si="0"/>
        <v>9454.714122626996</v>
      </c>
      <c r="R8" s="51">
        <f t="shared" si="0"/>
        <v>10278.211521594005</v>
      </c>
      <c r="S8" s="50">
        <f t="shared" si="0"/>
        <v>9337.2269075779968</v>
      </c>
      <c r="T8" s="50">
        <f t="shared" si="0"/>
        <v>8858.9482907119982</v>
      </c>
      <c r="U8" s="50">
        <f>SUM(U9:U16)</f>
        <v>10326.170888744995</v>
      </c>
      <c r="V8" s="51">
        <f>SUM(V9:V16)</f>
        <v>9970.8013771759979</v>
      </c>
      <c r="W8" s="50">
        <f t="shared" ref="W8:Z8" si="1">SUM(W9:W16)</f>
        <v>8988.4289744429971</v>
      </c>
      <c r="X8" s="50">
        <f t="shared" si="1"/>
        <v>9212.1998172179974</v>
      </c>
      <c r="Y8" s="50">
        <f t="shared" si="1"/>
        <v>10303.108942052997</v>
      </c>
      <c r="Z8" s="461">
        <f t="shared" si="1"/>
        <v>10049.747080808997</v>
      </c>
      <c r="AB8" s="461">
        <f t="shared" ref="AB8:AE8" si="2">SUM(AB9:AB16)</f>
        <v>9323.2000000000007</v>
      </c>
      <c r="AC8" s="466">
        <f t="shared" si="2"/>
        <v>9024.8000000000011</v>
      </c>
      <c r="AD8" s="501">
        <f t="shared" si="2"/>
        <v>9410.2999999999993</v>
      </c>
      <c r="AE8" s="507">
        <f t="shared" si="2"/>
        <v>9173.3000000000011</v>
      </c>
      <c r="AG8" s="507">
        <f t="shared" ref="AG8" si="3">SUM(AG9:AG16)</f>
        <v>8599.1999999999989</v>
      </c>
      <c r="AH8" s="507">
        <f t="shared" ref="AH8" si="4">SUM(AH9:AH16)</f>
        <v>8819.5087737355007</v>
      </c>
    </row>
    <row r="9" spans="1:34" s="5" customFormat="1" x14ac:dyDescent="0.35">
      <c r="B9" s="62" t="s">
        <v>1</v>
      </c>
      <c r="C9" s="52">
        <v>4078.2287540000002</v>
      </c>
      <c r="D9" s="52">
        <v>4261.4080910000002</v>
      </c>
      <c r="E9" s="52">
        <v>4595.4819579999994</v>
      </c>
      <c r="F9" s="53">
        <v>4258.6044789999996</v>
      </c>
      <c r="G9" s="52">
        <v>4120.0059790000005</v>
      </c>
      <c r="H9" s="52">
        <v>4231.2740020000001</v>
      </c>
      <c r="I9" s="52">
        <v>4724.2091939999991</v>
      </c>
      <c r="J9" s="53">
        <v>4325.720472</v>
      </c>
      <c r="K9" s="52">
        <v>3986.6671820000001</v>
      </c>
      <c r="L9" s="52">
        <v>4284.117608999999</v>
      </c>
      <c r="M9" s="52">
        <v>4545.4120349999994</v>
      </c>
      <c r="N9" s="53">
        <v>3964.9541619999995</v>
      </c>
      <c r="O9" s="52">
        <v>3708.109993</v>
      </c>
      <c r="P9" s="52">
        <v>3703.3736429999999</v>
      </c>
      <c r="Q9" s="52">
        <v>4379.1872429999994</v>
      </c>
      <c r="R9" s="53">
        <v>4183.2000609829993</v>
      </c>
      <c r="S9" s="52">
        <v>4061.4580674499998</v>
      </c>
      <c r="T9" s="52">
        <v>4191.8420607069993</v>
      </c>
      <c r="U9" s="52">
        <v>4698.5289238109999</v>
      </c>
      <c r="V9" s="53">
        <v>4420.9892259800008</v>
      </c>
      <c r="W9" s="52">
        <v>4158.014042148</v>
      </c>
      <c r="X9" s="52">
        <v>4416.1130266040009</v>
      </c>
      <c r="Y9" s="52">
        <v>4901.6390527699996</v>
      </c>
      <c r="Z9" s="52">
        <v>4366.9561521959995</v>
      </c>
      <c r="AB9" s="52">
        <v>4186.1000000000004</v>
      </c>
      <c r="AC9" s="52">
        <v>4125.5</v>
      </c>
      <c r="AD9" s="52">
        <v>4449.8999999999996</v>
      </c>
      <c r="AE9" s="52">
        <v>4010.8</v>
      </c>
      <c r="AG9" s="52">
        <v>3637.5</v>
      </c>
      <c r="AH9" s="52">
        <v>4004.8939700000001</v>
      </c>
    </row>
    <row r="10" spans="1:34" s="5" customFormat="1" x14ac:dyDescent="0.35">
      <c r="B10" s="62" t="s">
        <v>188</v>
      </c>
      <c r="C10" s="52">
        <v>2716.7704779999999</v>
      </c>
      <c r="D10" s="52">
        <v>2761.6002389999999</v>
      </c>
      <c r="E10" s="52">
        <v>2700.946151000001</v>
      </c>
      <c r="F10" s="53">
        <v>2612.4564029999997</v>
      </c>
      <c r="G10" s="52">
        <v>2432.0845189999995</v>
      </c>
      <c r="H10" s="52">
        <v>2389.7863849999999</v>
      </c>
      <c r="I10" s="52">
        <v>2213.554619</v>
      </c>
      <c r="J10" s="53">
        <v>2327.6379189999998</v>
      </c>
      <c r="K10" s="52">
        <v>2187.2189239999998</v>
      </c>
      <c r="L10" s="52">
        <v>2241.549387</v>
      </c>
      <c r="M10" s="52">
        <v>2292.6838659999999</v>
      </c>
      <c r="N10" s="53">
        <v>2322.3103459999998</v>
      </c>
      <c r="O10" s="52">
        <v>2024.6812289999998</v>
      </c>
      <c r="P10" s="52">
        <v>1757.032944</v>
      </c>
      <c r="Q10" s="52">
        <v>2215.5408149999994</v>
      </c>
      <c r="R10" s="53">
        <v>2561.5636040679997</v>
      </c>
      <c r="S10" s="52">
        <v>2193.4564820000001</v>
      </c>
      <c r="T10" s="52">
        <v>2286.5304410829999</v>
      </c>
      <c r="U10" s="52">
        <v>2636.1527150369998</v>
      </c>
      <c r="V10" s="53">
        <v>2740.576660401</v>
      </c>
      <c r="W10" s="52">
        <v>2452.9218033019997</v>
      </c>
      <c r="X10" s="52">
        <v>2412.9074320880004</v>
      </c>
      <c r="Y10" s="52">
        <v>2887.450056181</v>
      </c>
      <c r="Z10" s="52">
        <v>3095.281500522</v>
      </c>
      <c r="AB10" s="52">
        <v>2841.6</v>
      </c>
      <c r="AC10" s="52">
        <v>2702.4</v>
      </c>
      <c r="AD10" s="52">
        <v>2588.9</v>
      </c>
      <c r="AE10" s="52">
        <v>2553.3000000000002</v>
      </c>
      <c r="AG10" s="52">
        <v>2331.9</v>
      </c>
      <c r="AH10" s="52">
        <v>2363.4102480000001</v>
      </c>
    </row>
    <row r="11" spans="1:34" s="5" customFormat="1" x14ac:dyDescent="0.35">
      <c r="B11" s="62" t="s">
        <v>189</v>
      </c>
      <c r="C11" s="52">
        <v>478.16573</v>
      </c>
      <c r="D11" s="52">
        <v>528.69154300000002</v>
      </c>
      <c r="E11" s="52">
        <v>640.07727999999986</v>
      </c>
      <c r="F11" s="53">
        <v>774.72035899999992</v>
      </c>
      <c r="G11" s="52">
        <v>699.144588</v>
      </c>
      <c r="H11" s="52">
        <v>732.795208</v>
      </c>
      <c r="I11" s="52">
        <v>909.58699599999989</v>
      </c>
      <c r="J11" s="53">
        <v>1018.2562760000001</v>
      </c>
      <c r="K11" s="52">
        <v>883.09998299999984</v>
      </c>
      <c r="L11" s="52">
        <v>942.87253600000008</v>
      </c>
      <c r="M11" s="52">
        <v>934.38731499999994</v>
      </c>
      <c r="N11" s="53">
        <v>996.64847100000009</v>
      </c>
      <c r="O11" s="52">
        <v>795.10633999999993</v>
      </c>
      <c r="P11" s="52">
        <v>595.8934549999999</v>
      </c>
      <c r="Q11" s="52">
        <v>877.11988900000006</v>
      </c>
      <c r="R11" s="53">
        <v>990.55775900000003</v>
      </c>
      <c r="S11" s="52">
        <v>893.41337106700007</v>
      </c>
      <c r="T11" s="52">
        <v>752.64091700000006</v>
      </c>
      <c r="U11" s="52">
        <v>652.510843282</v>
      </c>
      <c r="V11" s="53">
        <v>610.30175023200002</v>
      </c>
      <c r="W11" s="52">
        <v>642.60120499999994</v>
      </c>
      <c r="X11" s="52">
        <v>719.17604799999992</v>
      </c>
      <c r="Y11" s="52">
        <v>703.50794504800001</v>
      </c>
      <c r="Z11" s="52">
        <v>744.93825500000003</v>
      </c>
      <c r="AB11" s="52">
        <v>638.70000000000005</v>
      </c>
      <c r="AC11" s="52">
        <v>638.79999999999995</v>
      </c>
      <c r="AD11" s="52">
        <v>714.7</v>
      </c>
      <c r="AE11" s="52">
        <v>898.6</v>
      </c>
      <c r="AG11" s="52">
        <v>959.4</v>
      </c>
      <c r="AH11" s="52">
        <v>932.80305499999997</v>
      </c>
    </row>
    <row r="12" spans="1:34" s="5" customFormat="1" x14ac:dyDescent="0.35">
      <c r="B12" s="62" t="s">
        <v>190</v>
      </c>
      <c r="C12" s="52">
        <v>641.73396300000013</v>
      </c>
      <c r="D12" s="52">
        <v>564.41051600000003</v>
      </c>
      <c r="E12" s="52">
        <v>942.25902599999984</v>
      </c>
      <c r="F12" s="53">
        <v>889.91219300000012</v>
      </c>
      <c r="G12" s="52">
        <v>538.37289799999996</v>
      </c>
      <c r="H12" s="52">
        <v>355.35757799999999</v>
      </c>
      <c r="I12" s="52">
        <v>694.27937100000008</v>
      </c>
      <c r="J12" s="53">
        <v>424.83654200000001</v>
      </c>
      <c r="K12" s="52">
        <v>436.07129699999996</v>
      </c>
      <c r="L12" s="52">
        <v>396.48444599999999</v>
      </c>
      <c r="M12" s="52">
        <v>398.08033699999993</v>
      </c>
      <c r="N12" s="53">
        <v>398.591589</v>
      </c>
      <c r="O12" s="52">
        <v>382.68131399999999</v>
      </c>
      <c r="P12" s="52">
        <v>394.14159499999994</v>
      </c>
      <c r="Q12" s="52">
        <v>348.68069099999997</v>
      </c>
      <c r="R12" s="53">
        <v>701.83179498999993</v>
      </c>
      <c r="S12" s="52">
        <v>640.73741899899994</v>
      </c>
      <c r="T12" s="52">
        <v>654.36841600100001</v>
      </c>
      <c r="U12" s="52">
        <v>1155.5621760009999</v>
      </c>
      <c r="V12" s="53">
        <v>889.35220999599994</v>
      </c>
      <c r="W12" s="52">
        <v>390.38969399699999</v>
      </c>
      <c r="X12" s="52">
        <v>398.64823599900001</v>
      </c>
      <c r="Y12" s="52">
        <v>422.38860400399994</v>
      </c>
      <c r="Z12" s="52">
        <v>411.24251500100002</v>
      </c>
      <c r="AB12" s="52">
        <v>407.9</v>
      </c>
      <c r="AC12" s="52">
        <v>390.1</v>
      </c>
      <c r="AD12" s="52">
        <v>392.1</v>
      </c>
      <c r="AE12" s="52">
        <v>426.8</v>
      </c>
      <c r="AG12" s="52">
        <v>387.7</v>
      </c>
      <c r="AH12" s="52">
        <v>317.70678400100002</v>
      </c>
    </row>
    <row r="13" spans="1:34" s="5" customFormat="1" x14ac:dyDescent="0.35">
      <c r="B13" s="62" t="s">
        <v>523</v>
      </c>
      <c r="C13" s="52">
        <v>814.6126999999999</v>
      </c>
      <c r="D13" s="52">
        <v>830.01408000000004</v>
      </c>
      <c r="E13" s="52">
        <v>777.35105700000008</v>
      </c>
      <c r="F13" s="53">
        <v>840.41237699999988</v>
      </c>
      <c r="G13" s="52">
        <v>706.76139999999998</v>
      </c>
      <c r="H13" s="52">
        <v>774.52588399999991</v>
      </c>
      <c r="I13" s="52">
        <v>766.45574799999997</v>
      </c>
      <c r="J13" s="53">
        <v>734.4800479999999</v>
      </c>
      <c r="K13" s="52">
        <v>789.36573399999997</v>
      </c>
      <c r="L13" s="52">
        <v>740.32430199999999</v>
      </c>
      <c r="M13" s="52">
        <v>786.94779999999992</v>
      </c>
      <c r="N13" s="53">
        <v>752.30138299999987</v>
      </c>
      <c r="O13" s="52">
        <v>878.5742859999998</v>
      </c>
      <c r="P13" s="52">
        <v>652.35107199999993</v>
      </c>
      <c r="Q13" s="52">
        <v>873.459566</v>
      </c>
      <c r="R13" s="53">
        <v>855.29330999999991</v>
      </c>
      <c r="S13" s="52">
        <v>566.10642000000007</v>
      </c>
      <c r="T13" s="52">
        <v>177.09045999999998</v>
      </c>
      <c r="U13" s="52">
        <v>159.22253000000001</v>
      </c>
      <c r="V13" s="53">
        <v>130.95939999999999</v>
      </c>
      <c r="W13" s="52">
        <v>157.55895999999998</v>
      </c>
      <c r="X13" s="52">
        <v>97.814149999999998</v>
      </c>
      <c r="Y13" s="52">
        <v>123.14703999999999</v>
      </c>
      <c r="Z13" s="52">
        <v>127.97315000000002</v>
      </c>
      <c r="AB13" s="52">
        <v>93</v>
      </c>
      <c r="AC13" s="52">
        <v>57.1</v>
      </c>
      <c r="AD13" s="52">
        <v>79.400000000000006</v>
      </c>
      <c r="AE13" s="52">
        <v>85.5</v>
      </c>
      <c r="AG13" s="52">
        <v>34.299999999999997</v>
      </c>
      <c r="AH13" s="52">
        <v>6.25929</v>
      </c>
    </row>
    <row r="14" spans="1:34" s="5" customFormat="1" x14ac:dyDescent="0.35">
      <c r="B14" s="62" t="s">
        <v>191</v>
      </c>
      <c r="C14" s="52">
        <v>948.06063700000004</v>
      </c>
      <c r="D14" s="52">
        <v>893.580198</v>
      </c>
      <c r="E14" s="52">
        <v>970.78478599999983</v>
      </c>
      <c r="F14" s="53">
        <v>984.24351400000023</v>
      </c>
      <c r="G14" s="52">
        <v>988.72423600000002</v>
      </c>
      <c r="H14" s="52">
        <v>953.43270200000006</v>
      </c>
      <c r="I14" s="52">
        <v>1019.2500289999998</v>
      </c>
      <c r="J14" s="53">
        <v>945.90819699999997</v>
      </c>
      <c r="K14" s="52">
        <v>951.98466899999971</v>
      </c>
      <c r="L14" s="52">
        <v>847.29339099999993</v>
      </c>
      <c r="M14" s="52">
        <v>914.51503700000001</v>
      </c>
      <c r="N14" s="53">
        <v>905.27112899999997</v>
      </c>
      <c r="O14" s="52">
        <v>830.8152540000001</v>
      </c>
      <c r="P14" s="52">
        <v>149.92905800000003</v>
      </c>
      <c r="Q14" s="52">
        <v>381.57855899999998</v>
      </c>
      <c r="R14" s="53">
        <v>730.55582499999991</v>
      </c>
      <c r="S14" s="52">
        <v>730.552865</v>
      </c>
      <c r="T14" s="52">
        <v>565.98149100000001</v>
      </c>
      <c r="U14" s="52">
        <v>792.62428399999999</v>
      </c>
      <c r="V14" s="53">
        <v>957.54217999999992</v>
      </c>
      <c r="W14" s="52">
        <v>976.68318800000009</v>
      </c>
      <c r="X14" s="52">
        <v>951.48857399999997</v>
      </c>
      <c r="Y14" s="52">
        <v>1060.7732960000001</v>
      </c>
      <c r="Z14" s="52">
        <v>1118.1304399999999</v>
      </c>
      <c r="AB14" s="52">
        <v>957.9</v>
      </c>
      <c r="AC14" s="52">
        <v>920.9</v>
      </c>
      <c r="AD14" s="52">
        <v>994.9</v>
      </c>
      <c r="AE14" s="52">
        <v>1017.8</v>
      </c>
      <c r="AG14" s="52">
        <v>1080.2</v>
      </c>
      <c r="AH14" s="52">
        <v>1027.225261</v>
      </c>
    </row>
    <row r="15" spans="1:34" s="5" customFormat="1" x14ac:dyDescent="0.35">
      <c r="B15" s="62" t="s">
        <v>475</v>
      </c>
      <c r="C15" s="52"/>
      <c r="D15" s="52"/>
      <c r="E15" s="52"/>
      <c r="F15" s="53"/>
      <c r="G15" s="52"/>
      <c r="H15" s="52"/>
      <c r="I15" s="52"/>
      <c r="J15" s="53"/>
      <c r="K15" s="52">
        <v>73.679254987999997</v>
      </c>
      <c r="L15" s="52">
        <v>74.163605998999998</v>
      </c>
      <c r="M15" s="52">
        <v>69.729160555999997</v>
      </c>
      <c r="N15" s="53">
        <v>63.949333810999995</v>
      </c>
      <c r="O15" s="52">
        <v>63.309674514000001</v>
      </c>
      <c r="P15" s="52">
        <v>56.643944609000002</v>
      </c>
      <c r="Q15" s="52">
        <v>77.182298744999997</v>
      </c>
      <c r="R15" s="53">
        <v>69.902135136999988</v>
      </c>
      <c r="S15" s="52">
        <v>71.121636052999989</v>
      </c>
      <c r="T15" s="52">
        <v>63.513840564000006</v>
      </c>
      <c r="U15" s="52">
        <v>69.187196079000003</v>
      </c>
      <c r="V15" s="53">
        <v>63.434522561999998</v>
      </c>
      <c r="W15" s="52">
        <v>66.677116654000017</v>
      </c>
      <c r="X15" s="52">
        <v>64.840813784999995</v>
      </c>
      <c r="Y15" s="52">
        <v>62.095490859999998</v>
      </c>
      <c r="Z15" s="52">
        <v>63.438185534000006</v>
      </c>
      <c r="AB15" s="52">
        <v>66.099999999999994</v>
      </c>
      <c r="AC15" s="52">
        <v>68.099999999999994</v>
      </c>
      <c r="AD15" s="52">
        <v>66.8</v>
      </c>
      <c r="AE15" s="52">
        <v>59.8</v>
      </c>
      <c r="AG15" s="52">
        <v>62.9</v>
      </c>
      <c r="AH15" s="52">
        <v>71.824505153000004</v>
      </c>
    </row>
    <row r="16" spans="1:34" s="5" customFormat="1" x14ac:dyDescent="0.35">
      <c r="B16" s="62" t="s">
        <v>132</v>
      </c>
      <c r="C16" s="52">
        <v>659.42773800000032</v>
      </c>
      <c r="D16" s="52">
        <v>658.29533300000003</v>
      </c>
      <c r="E16" s="52">
        <v>685.09974200000033</v>
      </c>
      <c r="F16" s="53">
        <v>667.65067499999896</v>
      </c>
      <c r="G16" s="52">
        <v>623.90638000000035</v>
      </c>
      <c r="H16" s="52">
        <v>623.82824100000107</v>
      </c>
      <c r="I16" s="52">
        <v>638.66404300000067</v>
      </c>
      <c r="J16" s="53">
        <v>635.16054599999916</v>
      </c>
      <c r="K16" s="52">
        <v>456.99903655200251</v>
      </c>
      <c r="L16" s="52">
        <v>472.51292819100127</v>
      </c>
      <c r="M16" s="52">
        <v>545.46269204900273</v>
      </c>
      <c r="N16" s="53">
        <v>525.36257956799818</v>
      </c>
      <c r="O16" s="52">
        <v>507.33673260100113</v>
      </c>
      <c r="P16" s="52">
        <v>518.02486001000125</v>
      </c>
      <c r="Q16" s="52">
        <v>301.96506088199931</v>
      </c>
      <c r="R16" s="53">
        <v>185.30703241600713</v>
      </c>
      <c r="S16" s="52">
        <v>180.38064700899668</v>
      </c>
      <c r="T16" s="52">
        <v>166.98066435699911</v>
      </c>
      <c r="U16" s="52">
        <v>162.38222053499521</v>
      </c>
      <c r="V16" s="53">
        <v>157.64542800499839</v>
      </c>
      <c r="W16" s="52">
        <v>143.5829653419969</v>
      </c>
      <c r="X16" s="52">
        <v>151.21153674199741</v>
      </c>
      <c r="Y16" s="52">
        <v>142.10745718999897</v>
      </c>
      <c r="Z16" s="52">
        <v>121.78688255599627</v>
      </c>
      <c r="AB16" s="52">
        <v>131.9</v>
      </c>
      <c r="AC16" s="52">
        <v>121.9</v>
      </c>
      <c r="AD16" s="52">
        <v>123.6</v>
      </c>
      <c r="AE16" s="52">
        <v>120.7</v>
      </c>
      <c r="AG16" s="52">
        <v>105.3</v>
      </c>
      <c r="AH16" s="52">
        <v>95.385660581499906</v>
      </c>
    </row>
    <row r="17" spans="2:34" s="5" customFormat="1" ht="4.5" customHeight="1" x14ac:dyDescent="0.35">
      <c r="B17" s="62"/>
      <c r="C17" s="52"/>
      <c r="D17" s="52"/>
      <c r="E17" s="52"/>
      <c r="F17" s="53"/>
      <c r="G17" s="52"/>
      <c r="H17" s="52"/>
      <c r="I17" s="52"/>
      <c r="J17" s="53"/>
      <c r="K17" s="52"/>
      <c r="L17" s="52"/>
      <c r="M17" s="52"/>
      <c r="N17" s="53"/>
      <c r="O17" s="52"/>
      <c r="P17" s="52"/>
      <c r="Q17" s="52"/>
      <c r="R17" s="53"/>
      <c r="S17" s="52"/>
      <c r="T17" s="52"/>
      <c r="U17" s="52"/>
      <c r="V17" s="53"/>
      <c r="W17" s="52"/>
      <c r="X17" s="52"/>
      <c r="Y17" s="52"/>
      <c r="Z17" s="52"/>
      <c r="AB17" s="52"/>
      <c r="AC17" s="52"/>
      <c r="AD17" s="52"/>
      <c r="AE17" s="52"/>
      <c r="AG17" s="52"/>
      <c r="AH17" s="52"/>
    </row>
    <row r="18" spans="2:34" ht="18" customHeight="1" x14ac:dyDescent="0.4">
      <c r="B18" s="324" t="s">
        <v>434</v>
      </c>
      <c r="C18" s="45"/>
      <c r="D18" s="45"/>
      <c r="E18" s="45"/>
      <c r="F18" s="46"/>
      <c r="G18" s="45"/>
      <c r="H18" s="45"/>
      <c r="I18" s="45"/>
      <c r="J18" s="46"/>
      <c r="K18" s="45"/>
      <c r="L18" s="54"/>
      <c r="M18" s="54"/>
      <c r="N18" s="55"/>
      <c r="O18" s="54"/>
      <c r="P18" s="54"/>
      <c r="Q18" s="54"/>
      <c r="R18" s="55"/>
      <c r="S18" s="54"/>
      <c r="T18" s="49"/>
      <c r="U18" s="54"/>
      <c r="V18" s="55"/>
      <c r="W18" s="54"/>
      <c r="X18" s="54"/>
      <c r="Y18" s="54"/>
      <c r="Z18" s="54"/>
      <c r="AB18" s="54"/>
      <c r="AC18" s="54"/>
      <c r="AD18" s="54"/>
      <c r="AE18" s="54"/>
      <c r="AG18" s="54"/>
      <c r="AH18" s="54"/>
    </row>
    <row r="19" spans="2:34" s="6" customFormat="1" ht="19" outlineLevel="1" x14ac:dyDescent="0.45">
      <c r="B19" s="61" t="s">
        <v>187</v>
      </c>
      <c r="C19" s="50">
        <f>SUM(C20:C23)</f>
        <v>5501.0210850000003</v>
      </c>
      <c r="D19" s="50">
        <f t="shared" ref="D19:T19" si="5">SUM(D20:D23)</f>
        <v>5663.9296250000007</v>
      </c>
      <c r="E19" s="50">
        <f t="shared" si="5"/>
        <v>5883.0092950000007</v>
      </c>
      <c r="F19" s="51">
        <f t="shared" si="5"/>
        <v>5845.0611579999986</v>
      </c>
      <c r="G19" s="50">
        <f t="shared" si="5"/>
        <v>5441.0047960000011</v>
      </c>
      <c r="H19" s="50">
        <f t="shared" si="5"/>
        <v>5493.0122999999994</v>
      </c>
      <c r="I19" s="50">
        <f t="shared" si="5"/>
        <v>5740.9387230000002</v>
      </c>
      <c r="J19" s="51">
        <f t="shared" si="5"/>
        <v>5858.0537370000002</v>
      </c>
      <c r="K19" s="50">
        <f t="shared" si="5"/>
        <v>5299.8517649999985</v>
      </c>
      <c r="L19" s="50">
        <f t="shared" si="5"/>
        <v>5564.5866010000009</v>
      </c>
      <c r="M19" s="50">
        <f t="shared" si="5"/>
        <v>5753.6105329999991</v>
      </c>
      <c r="N19" s="51">
        <f t="shared" si="5"/>
        <v>5697.0402300000005</v>
      </c>
      <c r="O19" s="50">
        <f t="shared" si="5"/>
        <v>4956.162875</v>
      </c>
      <c r="P19" s="50">
        <f t="shared" si="5"/>
        <v>4428.1580079999994</v>
      </c>
      <c r="Q19" s="50">
        <f t="shared" si="5"/>
        <v>5611.3130999999994</v>
      </c>
      <c r="R19" s="51">
        <f t="shared" si="5"/>
        <v>6042.3402537499996</v>
      </c>
      <c r="S19" s="50">
        <f t="shared" si="5"/>
        <v>5430.0172448430003</v>
      </c>
      <c r="T19" s="50">
        <f t="shared" si="5"/>
        <v>5409.5825517429994</v>
      </c>
      <c r="U19" s="50">
        <f>SUM(U20:U23)</f>
        <v>5864.9281501609994</v>
      </c>
      <c r="V19" s="51">
        <f>SUM(V20:V23)</f>
        <v>5829.8353982939998</v>
      </c>
      <c r="W19" s="50">
        <f t="shared" ref="W19:Z19" si="6">SUM(W20:W23)</f>
        <v>5445.6173338210001</v>
      </c>
      <c r="X19" s="50">
        <f t="shared" si="6"/>
        <v>5655.1127807020011</v>
      </c>
      <c r="Y19" s="50">
        <f t="shared" si="6"/>
        <v>6357.4889778609995</v>
      </c>
      <c r="Z19" s="50">
        <f t="shared" si="6"/>
        <v>6328.662909572</v>
      </c>
      <c r="AB19" s="50">
        <f t="shared" ref="AB19:AE19" si="7">SUM(AB20:AB23)</f>
        <v>5831</v>
      </c>
      <c r="AC19" s="50">
        <f t="shared" si="7"/>
        <v>5660.6</v>
      </c>
      <c r="AD19" s="50">
        <f t="shared" si="7"/>
        <v>5803.4000000000005</v>
      </c>
      <c r="AE19" s="50">
        <f t="shared" si="7"/>
        <v>5776.7</v>
      </c>
      <c r="AG19" s="50">
        <f t="shared" ref="AG19" si="8">SUM(AG20:AG23)</f>
        <v>5315.9000000000005</v>
      </c>
      <c r="AH19" s="50">
        <f t="shared" ref="AH19" si="9">SUM(AH20:AH23)</f>
        <v>5497.7388172420006</v>
      </c>
    </row>
    <row r="20" spans="2:34" s="5" customFormat="1" outlineLevel="1" x14ac:dyDescent="0.35">
      <c r="B20" s="62" t="s">
        <v>1</v>
      </c>
      <c r="C20" s="52">
        <v>2205.3554470000004</v>
      </c>
      <c r="D20" s="52">
        <v>2275.4199610000001</v>
      </c>
      <c r="E20" s="52">
        <v>2442.037358</v>
      </c>
      <c r="F20" s="53">
        <v>2356.5824709999997</v>
      </c>
      <c r="G20" s="52">
        <v>2204.1274780000008</v>
      </c>
      <c r="H20" s="52">
        <v>2269.8517969999998</v>
      </c>
      <c r="I20" s="52">
        <v>2507.5424830000002</v>
      </c>
      <c r="J20" s="53">
        <v>2398.7550009999995</v>
      </c>
      <c r="K20" s="52">
        <v>2156.1870759999997</v>
      </c>
      <c r="L20" s="52">
        <v>2309.2027840000001</v>
      </c>
      <c r="M20" s="52">
        <v>2460.8453569999997</v>
      </c>
      <c r="N20" s="53">
        <v>2315.0777119999998</v>
      </c>
      <c r="O20" s="52">
        <v>2079.9782519999999</v>
      </c>
      <c r="P20" s="52">
        <v>2037.0347699999998</v>
      </c>
      <c r="Q20" s="52">
        <v>2475.9866699999998</v>
      </c>
      <c r="R20" s="53">
        <v>2444.4335066819999</v>
      </c>
      <c r="S20" s="52">
        <v>2301.811248776</v>
      </c>
      <c r="T20" s="52">
        <v>2331.7536946599998</v>
      </c>
      <c r="U20" s="52">
        <v>2537.0851408419999</v>
      </c>
      <c r="V20" s="53">
        <v>2435.0695706609999</v>
      </c>
      <c r="W20" s="52">
        <v>2310.2898915199999</v>
      </c>
      <c r="X20" s="52">
        <v>2483.0259596140004</v>
      </c>
      <c r="Y20" s="52">
        <v>2733.0558126419996</v>
      </c>
      <c r="Z20" s="52">
        <v>2468.99712705</v>
      </c>
      <c r="AB20" s="52">
        <v>2330.1999999999998</v>
      </c>
      <c r="AC20" s="52">
        <v>2300.8000000000002</v>
      </c>
      <c r="AD20" s="52">
        <v>2484.6999999999998</v>
      </c>
      <c r="AE20" s="52">
        <v>2309.1999999999998</v>
      </c>
      <c r="AG20" s="52">
        <v>2028.6</v>
      </c>
      <c r="AH20" s="52">
        <v>2213.5026290000001</v>
      </c>
    </row>
    <row r="21" spans="2:34" s="5" customFormat="1" outlineLevel="1" x14ac:dyDescent="0.35">
      <c r="B21" s="62" t="s">
        <v>188</v>
      </c>
      <c r="C21" s="52">
        <v>2698.7665079999997</v>
      </c>
      <c r="D21" s="52">
        <v>2742.689421</v>
      </c>
      <c r="E21" s="52">
        <v>2681.8532570000007</v>
      </c>
      <c r="F21" s="53">
        <v>2593.9133299999994</v>
      </c>
      <c r="G21" s="52">
        <v>2415.9436849999997</v>
      </c>
      <c r="H21" s="52">
        <v>2372.2077969999996</v>
      </c>
      <c r="I21" s="52">
        <v>2196.3922440000001</v>
      </c>
      <c r="J21" s="53">
        <v>2310.6129599999999</v>
      </c>
      <c r="K21" s="52">
        <v>2170.8428059999997</v>
      </c>
      <c r="L21" s="52">
        <v>2223.316781</v>
      </c>
      <c r="M21" s="52">
        <v>2271.9068609999999</v>
      </c>
      <c r="N21" s="53">
        <v>2300.7490470000002</v>
      </c>
      <c r="O21" s="52">
        <v>2003.4432829999998</v>
      </c>
      <c r="P21" s="52">
        <v>1740.9992830000001</v>
      </c>
      <c r="Q21" s="52">
        <v>2195.4185409999995</v>
      </c>
      <c r="R21" s="53">
        <v>2541.0904160679997</v>
      </c>
      <c r="S21" s="52">
        <v>2173.9446250000001</v>
      </c>
      <c r="T21" s="52">
        <v>2267.8079400829997</v>
      </c>
      <c r="U21" s="52">
        <v>2614.5501660370001</v>
      </c>
      <c r="V21" s="53">
        <v>2718.9767294010003</v>
      </c>
      <c r="W21" s="52">
        <v>2433.2044393010001</v>
      </c>
      <c r="X21" s="52">
        <v>2391.803273088</v>
      </c>
      <c r="Y21" s="52">
        <v>2867.920220171</v>
      </c>
      <c r="Z21" s="52">
        <v>3076.9335275220001</v>
      </c>
      <c r="AB21" s="52">
        <v>2819.7</v>
      </c>
      <c r="AC21" s="52">
        <v>2683</v>
      </c>
      <c r="AD21" s="52">
        <v>2569.9</v>
      </c>
      <c r="AE21" s="52">
        <v>2536.3000000000002</v>
      </c>
      <c r="AG21" s="52">
        <v>2299.5</v>
      </c>
      <c r="AH21" s="52">
        <v>2322.530581</v>
      </c>
    </row>
    <row r="22" spans="2:34" s="5" customFormat="1" outlineLevel="1" x14ac:dyDescent="0.35">
      <c r="B22" s="62" t="s">
        <v>189</v>
      </c>
      <c r="C22" s="52">
        <v>475.69913000000003</v>
      </c>
      <c r="D22" s="52">
        <v>526.22024299999998</v>
      </c>
      <c r="E22" s="52">
        <v>637.5186799999999</v>
      </c>
      <c r="F22" s="53">
        <v>772.06535699999995</v>
      </c>
      <c r="G22" s="52">
        <v>695.83363300000008</v>
      </c>
      <c r="H22" s="52">
        <v>727.95270600000003</v>
      </c>
      <c r="I22" s="52">
        <v>907.40399599999989</v>
      </c>
      <c r="J22" s="53">
        <v>1015.8857760000001</v>
      </c>
      <c r="K22" s="52">
        <v>880.62188299999991</v>
      </c>
      <c r="L22" s="52">
        <v>940.76703600000008</v>
      </c>
      <c r="M22" s="52">
        <v>931.95831499999997</v>
      </c>
      <c r="N22" s="53">
        <v>993.11347100000012</v>
      </c>
      <c r="O22" s="52">
        <v>791.94133999999997</v>
      </c>
      <c r="P22" s="52">
        <v>594.22395499999993</v>
      </c>
      <c r="Q22" s="52">
        <v>874.90788900000007</v>
      </c>
      <c r="R22" s="53">
        <v>987.41633100000001</v>
      </c>
      <c r="S22" s="52">
        <v>889.5613710670001</v>
      </c>
      <c r="T22" s="52">
        <v>749.52091700000005</v>
      </c>
      <c r="U22" s="52">
        <v>649.59284328199999</v>
      </c>
      <c r="V22" s="53">
        <v>606.58909823199997</v>
      </c>
      <c r="W22" s="52">
        <v>639.22300300000006</v>
      </c>
      <c r="X22" s="52">
        <v>716.78354800000011</v>
      </c>
      <c r="Y22" s="52">
        <v>700.31294504799996</v>
      </c>
      <c r="Z22" s="52">
        <v>740.73225500000001</v>
      </c>
      <c r="AB22" s="52">
        <v>633.5</v>
      </c>
      <c r="AC22" s="52">
        <v>635.70000000000005</v>
      </c>
      <c r="AD22" s="52">
        <v>710.7</v>
      </c>
      <c r="AE22" s="52">
        <v>894</v>
      </c>
      <c r="AG22" s="52">
        <v>954.5</v>
      </c>
      <c r="AH22" s="52">
        <v>929.43954999999994</v>
      </c>
    </row>
    <row r="23" spans="2:34" s="5" customFormat="1" outlineLevel="1" x14ac:dyDescent="0.35">
      <c r="B23" s="62" t="s">
        <v>132</v>
      </c>
      <c r="C23" s="52">
        <v>121.2</v>
      </c>
      <c r="D23" s="52">
        <v>119.6</v>
      </c>
      <c r="E23" s="52">
        <v>121.6</v>
      </c>
      <c r="F23" s="53">
        <v>122.5</v>
      </c>
      <c r="G23" s="52">
        <v>125.1</v>
      </c>
      <c r="H23" s="52">
        <v>123</v>
      </c>
      <c r="I23" s="52">
        <v>129.6</v>
      </c>
      <c r="J23" s="53">
        <v>132.80000000000001</v>
      </c>
      <c r="K23" s="52">
        <v>92.2</v>
      </c>
      <c r="L23" s="52">
        <v>91.3</v>
      </c>
      <c r="M23" s="52">
        <v>88.9</v>
      </c>
      <c r="N23" s="53">
        <v>88.1</v>
      </c>
      <c r="O23" s="52">
        <v>80.8</v>
      </c>
      <c r="P23" s="52">
        <v>55.9</v>
      </c>
      <c r="Q23" s="52">
        <v>65</v>
      </c>
      <c r="R23" s="53">
        <v>69.400000000000006</v>
      </c>
      <c r="S23" s="52">
        <v>64.7</v>
      </c>
      <c r="T23" s="52">
        <v>60.5</v>
      </c>
      <c r="U23" s="52">
        <v>63.7</v>
      </c>
      <c r="V23" s="53">
        <v>69.2</v>
      </c>
      <c r="W23" s="52">
        <v>62.9</v>
      </c>
      <c r="X23" s="52">
        <v>63.5</v>
      </c>
      <c r="Y23" s="52">
        <v>56.2</v>
      </c>
      <c r="Z23" s="52">
        <v>42</v>
      </c>
      <c r="AB23" s="52">
        <v>47.6</v>
      </c>
      <c r="AC23" s="52">
        <v>41.1</v>
      </c>
      <c r="AD23" s="52">
        <v>38.1</v>
      </c>
      <c r="AE23" s="52">
        <v>37.200000000000003</v>
      </c>
      <c r="AG23" s="52">
        <v>33.299999999999997</v>
      </c>
      <c r="AH23" s="52">
        <v>32.266057242000898</v>
      </c>
    </row>
    <row r="24" spans="2:34" s="5" customFormat="1" x14ac:dyDescent="0.35">
      <c r="B24" s="62"/>
      <c r="C24" s="52"/>
      <c r="D24" s="52"/>
      <c r="E24" s="52"/>
      <c r="F24" s="53"/>
      <c r="G24" s="52"/>
      <c r="H24" s="52"/>
      <c r="I24" s="52"/>
      <c r="J24" s="53"/>
      <c r="K24" s="52"/>
      <c r="L24" s="52"/>
      <c r="M24" s="52"/>
      <c r="N24" s="53"/>
      <c r="O24" s="52"/>
      <c r="P24" s="52"/>
      <c r="Q24" s="52"/>
      <c r="R24" s="53"/>
      <c r="S24" s="52"/>
      <c r="T24" s="52"/>
      <c r="U24" s="52"/>
      <c r="V24" s="53"/>
      <c r="W24" s="52"/>
      <c r="X24" s="52"/>
      <c r="Y24" s="52"/>
      <c r="Z24" s="52"/>
      <c r="AB24" s="52"/>
      <c r="AC24" s="52"/>
      <c r="AD24" s="52"/>
      <c r="AE24" s="52"/>
      <c r="AG24" s="52"/>
      <c r="AH24" s="52"/>
    </row>
    <row r="25" spans="2:34" ht="18" customHeight="1" x14ac:dyDescent="0.4">
      <c r="B25" s="60" t="s">
        <v>474</v>
      </c>
      <c r="C25" s="45"/>
      <c r="D25" s="45"/>
      <c r="E25" s="45"/>
      <c r="F25" s="46"/>
      <c r="G25" s="45"/>
      <c r="H25" s="45"/>
      <c r="I25" s="45"/>
      <c r="J25" s="46"/>
      <c r="K25" s="45"/>
      <c r="L25" s="54"/>
      <c r="M25" s="54"/>
      <c r="N25" s="55"/>
      <c r="O25" s="54"/>
      <c r="P25" s="54"/>
      <c r="Q25" s="54"/>
      <c r="R25" s="55"/>
      <c r="S25" s="54"/>
      <c r="T25" s="49"/>
      <c r="U25" s="54"/>
      <c r="V25" s="55"/>
      <c r="W25" s="54"/>
      <c r="X25" s="54"/>
      <c r="Y25" s="54"/>
      <c r="Z25" s="54"/>
      <c r="AB25" s="54"/>
      <c r="AC25" s="54"/>
      <c r="AD25" s="54"/>
      <c r="AE25" s="54"/>
      <c r="AG25" s="54"/>
      <c r="AH25" s="54"/>
    </row>
    <row r="26" spans="2:34" s="5" customFormat="1" outlineLevel="1" x14ac:dyDescent="0.35">
      <c r="B26" s="61" t="s">
        <v>187</v>
      </c>
      <c r="C26" s="50">
        <f>SUM(C27:C31)</f>
        <v>4836</v>
      </c>
      <c r="D26" s="50">
        <f t="shared" ref="D26:T26" si="10">SUM(D27:D31)</f>
        <v>4833.9999999999991</v>
      </c>
      <c r="E26" s="50">
        <f t="shared" si="10"/>
        <v>5429</v>
      </c>
      <c r="F26" s="51">
        <f t="shared" si="10"/>
        <v>5183</v>
      </c>
      <c r="G26" s="50">
        <f t="shared" si="10"/>
        <v>4668</v>
      </c>
      <c r="H26" s="50">
        <f t="shared" si="10"/>
        <v>4568</v>
      </c>
      <c r="I26" s="50">
        <f t="shared" si="10"/>
        <v>5225</v>
      </c>
      <c r="J26" s="51">
        <f t="shared" si="10"/>
        <v>4554</v>
      </c>
      <c r="K26" s="50">
        <f t="shared" si="10"/>
        <v>4465.3999999999996</v>
      </c>
      <c r="L26" s="50">
        <f t="shared" si="10"/>
        <v>4434.8</v>
      </c>
      <c r="M26" s="50">
        <f t="shared" si="10"/>
        <v>4733.5999999999995</v>
      </c>
      <c r="N26" s="51">
        <f t="shared" si="10"/>
        <v>4232.3999999999996</v>
      </c>
      <c r="O26" s="50">
        <f t="shared" si="10"/>
        <v>4234.4999999999991</v>
      </c>
      <c r="P26" s="50">
        <f t="shared" si="10"/>
        <v>3399.2000000000003</v>
      </c>
      <c r="Q26" s="50">
        <f t="shared" si="10"/>
        <v>3843.2999999999997</v>
      </c>
      <c r="R26" s="51">
        <f t="shared" si="10"/>
        <v>4235.6000000000004</v>
      </c>
      <c r="S26" s="50">
        <f t="shared" si="10"/>
        <v>3907.2</v>
      </c>
      <c r="T26" s="50">
        <f t="shared" si="10"/>
        <v>3449.5</v>
      </c>
      <c r="U26" s="50">
        <f>SUM(U27:U31)</f>
        <v>4461.2</v>
      </c>
      <c r="V26" s="51">
        <f>SUM(V27:V31)</f>
        <v>4141</v>
      </c>
      <c r="W26" s="50">
        <f t="shared" ref="W26:Z26" si="11">SUM(W27:W31)</f>
        <v>3542.8</v>
      </c>
      <c r="X26" s="50">
        <f t="shared" si="11"/>
        <v>3557</v>
      </c>
      <c r="Y26" s="50">
        <f t="shared" si="11"/>
        <v>3945.2</v>
      </c>
      <c r="Z26" s="50">
        <f t="shared" si="11"/>
        <v>3721.2000000000003</v>
      </c>
      <c r="AB26" s="50">
        <f t="shared" ref="AB26:AE26" si="12">SUM(AB27:AB31)</f>
        <v>3492.1000000000004</v>
      </c>
      <c r="AC26" s="50">
        <f t="shared" si="12"/>
        <v>3364.2999999999997</v>
      </c>
      <c r="AD26" s="50">
        <f t="shared" si="12"/>
        <v>3606.7999999999997</v>
      </c>
      <c r="AE26" s="50">
        <f t="shared" si="12"/>
        <v>3396.5</v>
      </c>
      <c r="AG26" s="50">
        <f t="shared" ref="AG26" si="13">SUM(AG27:AG31)</f>
        <v>3283.3</v>
      </c>
      <c r="AH26" s="50">
        <f t="shared" ref="AH26" si="14">SUM(AH27:AH31)</f>
        <v>3321.7444634935</v>
      </c>
    </row>
    <row r="27" spans="2:34" s="5" customFormat="1" outlineLevel="1" x14ac:dyDescent="0.35">
      <c r="B27" s="62" t="s">
        <v>1</v>
      </c>
      <c r="C27" s="52">
        <v>1871.085949</v>
      </c>
      <c r="D27" s="52">
        <v>1984.5833779999998</v>
      </c>
      <c r="E27" s="52">
        <v>2151.9454399999995</v>
      </c>
      <c r="F27" s="53">
        <v>1900.382836</v>
      </c>
      <c r="G27" s="52">
        <v>1914.6187600000003</v>
      </c>
      <c r="H27" s="52">
        <v>1960.2161020000001</v>
      </c>
      <c r="I27" s="52">
        <v>2215.2667700000002</v>
      </c>
      <c r="J27" s="53">
        <v>1925.855413</v>
      </c>
      <c r="K27" s="52">
        <v>1829.7</v>
      </c>
      <c r="L27" s="52">
        <v>1974.1</v>
      </c>
      <c r="M27" s="52">
        <v>2083.4</v>
      </c>
      <c r="N27" s="53">
        <v>1648</v>
      </c>
      <c r="O27" s="52">
        <v>1628.1</v>
      </c>
      <c r="P27" s="52">
        <v>1666.3</v>
      </c>
      <c r="Q27" s="52">
        <v>1903.3</v>
      </c>
      <c r="R27" s="53">
        <v>1738.8</v>
      </c>
      <c r="S27" s="52">
        <v>1759.6</v>
      </c>
      <c r="T27" s="52">
        <v>1860.1</v>
      </c>
      <c r="U27" s="52">
        <v>2161.4</v>
      </c>
      <c r="V27" s="53">
        <v>1985.9</v>
      </c>
      <c r="W27" s="52">
        <v>1847.7</v>
      </c>
      <c r="X27" s="52">
        <v>1933.1</v>
      </c>
      <c r="Y27" s="52">
        <v>2168.6</v>
      </c>
      <c r="Z27" s="52">
        <v>1898</v>
      </c>
      <c r="AB27" s="52">
        <v>1855.9</v>
      </c>
      <c r="AC27" s="52">
        <v>1824.7</v>
      </c>
      <c r="AD27" s="52">
        <v>1965.2</v>
      </c>
      <c r="AE27" s="52">
        <v>1701.6</v>
      </c>
      <c r="AG27" s="52">
        <v>1608.9</v>
      </c>
      <c r="AH27" s="539">
        <v>1791.3758479999997</v>
      </c>
    </row>
    <row r="28" spans="2:34" s="5" customFormat="1" outlineLevel="1" x14ac:dyDescent="0.35">
      <c r="B28" s="62" t="s">
        <v>497</v>
      </c>
      <c r="C28" s="52">
        <v>948.05554500000005</v>
      </c>
      <c r="D28" s="52">
        <v>893.57848300000001</v>
      </c>
      <c r="E28" s="52">
        <v>970.78349100000003</v>
      </c>
      <c r="F28" s="52">
        <v>984.24296100000004</v>
      </c>
      <c r="G28" s="52">
        <v>988.72359200000017</v>
      </c>
      <c r="H28" s="52">
        <v>953.43207800000005</v>
      </c>
      <c r="I28" s="52">
        <v>1019.2498009999999</v>
      </c>
      <c r="J28" s="52">
        <v>945.90784499999995</v>
      </c>
      <c r="K28" s="52">
        <v>952</v>
      </c>
      <c r="L28" s="52">
        <v>847.3</v>
      </c>
      <c r="M28" s="52">
        <v>914.5</v>
      </c>
      <c r="N28" s="52">
        <v>905.3</v>
      </c>
      <c r="O28" s="52">
        <v>830.8</v>
      </c>
      <c r="P28" s="52">
        <v>149.9</v>
      </c>
      <c r="Q28" s="52">
        <v>381.6</v>
      </c>
      <c r="R28" s="52">
        <v>730.6</v>
      </c>
      <c r="S28" s="52">
        <v>730.6</v>
      </c>
      <c r="T28" s="52">
        <v>566</v>
      </c>
      <c r="U28" s="52">
        <v>792.6</v>
      </c>
      <c r="V28" s="52">
        <v>957.5</v>
      </c>
      <c r="W28" s="52">
        <v>976.7</v>
      </c>
      <c r="X28" s="52">
        <v>951.5</v>
      </c>
      <c r="Y28" s="52">
        <v>1060.4000000000001</v>
      </c>
      <c r="Z28" s="52">
        <v>1118.0999999999999</v>
      </c>
      <c r="AB28" s="52">
        <v>957.9</v>
      </c>
      <c r="AC28" s="52">
        <v>920.9</v>
      </c>
      <c r="AD28" s="52">
        <v>994.9</v>
      </c>
      <c r="AE28" s="52">
        <v>1017.8</v>
      </c>
      <c r="AG28" s="52">
        <v>1080.2</v>
      </c>
      <c r="AH28" s="539">
        <v>1027.2252609999998</v>
      </c>
    </row>
    <row r="29" spans="2:34" s="5" customFormat="1" outlineLevel="1" x14ac:dyDescent="0.35">
      <c r="B29" s="62" t="s">
        <v>190</v>
      </c>
      <c r="C29" s="52">
        <v>641.73396300000013</v>
      </c>
      <c r="D29" s="52">
        <v>564.41051600000003</v>
      </c>
      <c r="E29" s="52">
        <v>942.25902599999984</v>
      </c>
      <c r="F29" s="53">
        <v>889.91219300000012</v>
      </c>
      <c r="G29" s="52">
        <v>538.37289799999996</v>
      </c>
      <c r="H29" s="52">
        <v>355.35757799999999</v>
      </c>
      <c r="I29" s="52">
        <v>694.27937100000008</v>
      </c>
      <c r="J29" s="53">
        <v>424.83654200000001</v>
      </c>
      <c r="K29" s="52">
        <v>436.1</v>
      </c>
      <c r="L29" s="52">
        <v>396.5</v>
      </c>
      <c r="M29" s="52">
        <v>398.1</v>
      </c>
      <c r="N29" s="53">
        <v>398.6</v>
      </c>
      <c r="O29" s="52">
        <v>382.7</v>
      </c>
      <c r="P29" s="52">
        <v>394.1</v>
      </c>
      <c r="Q29" s="52">
        <v>348.7</v>
      </c>
      <c r="R29" s="53">
        <v>701.8</v>
      </c>
      <c r="S29" s="52">
        <v>640</v>
      </c>
      <c r="T29" s="52">
        <v>654.4</v>
      </c>
      <c r="U29" s="52">
        <v>1155.5999999999999</v>
      </c>
      <c r="V29" s="53">
        <v>889.4</v>
      </c>
      <c r="W29" s="52">
        <v>390.4</v>
      </c>
      <c r="X29" s="52">
        <v>398.6</v>
      </c>
      <c r="Y29" s="52">
        <v>422.4</v>
      </c>
      <c r="Z29" s="52">
        <v>411.3</v>
      </c>
      <c r="AB29" s="52">
        <v>407.9</v>
      </c>
      <c r="AC29" s="52">
        <v>390.1</v>
      </c>
      <c r="AD29" s="52">
        <v>392.1</v>
      </c>
      <c r="AE29" s="52">
        <v>426.8</v>
      </c>
      <c r="AG29" s="52">
        <v>387.7</v>
      </c>
      <c r="AH29" s="539">
        <v>317.70678400100002</v>
      </c>
    </row>
    <row r="30" spans="2:34" s="5" customFormat="1" outlineLevel="1" x14ac:dyDescent="0.35">
      <c r="B30" s="62" t="s">
        <v>523</v>
      </c>
      <c r="C30" s="52">
        <v>814.6126999999999</v>
      </c>
      <c r="D30" s="52">
        <v>830.01408000000004</v>
      </c>
      <c r="E30" s="52">
        <v>777.35105700000008</v>
      </c>
      <c r="F30" s="53">
        <v>840.41237699999988</v>
      </c>
      <c r="G30" s="52">
        <v>706.76139999999998</v>
      </c>
      <c r="H30" s="52">
        <v>774.52588399999991</v>
      </c>
      <c r="I30" s="52">
        <v>766.45574799999997</v>
      </c>
      <c r="J30" s="53">
        <v>734.4800479999999</v>
      </c>
      <c r="K30" s="52">
        <v>789.4</v>
      </c>
      <c r="L30" s="52">
        <v>740.3</v>
      </c>
      <c r="M30" s="52">
        <v>786.9</v>
      </c>
      <c r="N30" s="53">
        <v>752.3</v>
      </c>
      <c r="O30" s="52">
        <v>878.6</v>
      </c>
      <c r="P30" s="52">
        <v>652.4</v>
      </c>
      <c r="Q30" s="52">
        <v>873.5</v>
      </c>
      <c r="R30" s="53">
        <v>855.3</v>
      </c>
      <c r="S30" s="52">
        <v>566.1</v>
      </c>
      <c r="T30" s="52">
        <v>177.1</v>
      </c>
      <c r="U30" s="52">
        <v>159.19999999999999</v>
      </c>
      <c r="V30" s="53">
        <v>131</v>
      </c>
      <c r="W30" s="52">
        <v>157.6</v>
      </c>
      <c r="X30" s="52">
        <v>97.8</v>
      </c>
      <c r="Y30" s="52">
        <v>123.1</v>
      </c>
      <c r="Z30" s="52">
        <v>128</v>
      </c>
      <c r="AB30" s="52">
        <v>93</v>
      </c>
      <c r="AC30" s="52">
        <v>57.1</v>
      </c>
      <c r="AD30" s="52">
        <v>79.400000000000006</v>
      </c>
      <c r="AE30" s="52">
        <v>85.5</v>
      </c>
      <c r="AG30" s="52">
        <v>34.299999999999997</v>
      </c>
      <c r="AH30" s="539">
        <v>6.25929</v>
      </c>
    </row>
    <row r="31" spans="2:34" s="5" customFormat="1" outlineLevel="1" x14ac:dyDescent="0.35">
      <c r="B31" s="62" t="s">
        <v>473</v>
      </c>
      <c r="C31" s="52">
        <v>560.511843</v>
      </c>
      <c r="D31" s="52">
        <v>561.413543</v>
      </c>
      <c r="E31" s="52">
        <v>586.660986000001</v>
      </c>
      <c r="F31" s="53">
        <v>568.04963299999997</v>
      </c>
      <c r="G31" s="52">
        <v>519.52334999999982</v>
      </c>
      <c r="H31" s="52">
        <v>524.46835799999997</v>
      </c>
      <c r="I31" s="52">
        <v>529.74831000000006</v>
      </c>
      <c r="J31" s="53">
        <v>522.92015200000003</v>
      </c>
      <c r="K31" s="52">
        <v>458.2</v>
      </c>
      <c r="L31" s="52">
        <v>476.6</v>
      </c>
      <c r="M31" s="52">
        <v>550.70000000000005</v>
      </c>
      <c r="N31" s="53">
        <v>528.20000000000005</v>
      </c>
      <c r="O31" s="52">
        <v>514.29999999999995</v>
      </c>
      <c r="P31" s="52">
        <v>536.5</v>
      </c>
      <c r="Q31" s="52">
        <v>336.2</v>
      </c>
      <c r="R31" s="53">
        <v>209.1</v>
      </c>
      <c r="S31" s="52">
        <v>210.9</v>
      </c>
      <c r="T31" s="52">
        <v>191.9</v>
      </c>
      <c r="U31" s="52">
        <v>192.4</v>
      </c>
      <c r="V31" s="53">
        <v>177.2</v>
      </c>
      <c r="W31" s="52">
        <v>170.4</v>
      </c>
      <c r="X31" s="52">
        <v>176</v>
      </c>
      <c r="Y31" s="52">
        <v>170.7</v>
      </c>
      <c r="Z31" s="52">
        <v>165.8</v>
      </c>
      <c r="AB31" s="52">
        <v>177.4</v>
      </c>
      <c r="AC31" s="52">
        <v>171.5</v>
      </c>
      <c r="AD31" s="52">
        <v>175.2</v>
      </c>
      <c r="AE31" s="52">
        <v>164.8</v>
      </c>
      <c r="AG31" s="52">
        <v>172.2</v>
      </c>
      <c r="AH31" s="539">
        <v>179.17728049250081</v>
      </c>
    </row>
    <row r="32" spans="2:34" s="5" customFormat="1" ht="8.5" customHeight="1" outlineLevel="1" x14ac:dyDescent="0.35">
      <c r="B32" s="62"/>
      <c r="C32" s="38"/>
      <c r="D32" s="38"/>
      <c r="E32" s="38"/>
      <c r="F32" s="39"/>
      <c r="G32" s="38"/>
      <c r="H32" s="38"/>
      <c r="I32" s="38"/>
      <c r="J32" s="39"/>
      <c r="K32" s="38"/>
      <c r="L32" s="38"/>
      <c r="M32" s="38"/>
      <c r="N32" s="39"/>
      <c r="O32" s="38"/>
      <c r="P32" s="38"/>
      <c r="Q32" s="38"/>
      <c r="R32" s="39"/>
      <c r="S32" s="38"/>
      <c r="T32" s="38"/>
      <c r="U32" s="38"/>
      <c r="V32" s="39"/>
      <c r="W32" s="38"/>
      <c r="X32" s="38"/>
      <c r="Y32" s="38"/>
      <c r="Z32" s="38"/>
      <c r="AB32" s="38"/>
      <c r="AC32" s="38"/>
      <c r="AD32" s="38"/>
      <c r="AE32" s="38"/>
      <c r="AG32" s="38"/>
    </row>
    <row r="33" spans="2:34" s="5" customFormat="1" outlineLevel="1" x14ac:dyDescent="0.35">
      <c r="B33" s="369" t="s">
        <v>192</v>
      </c>
      <c r="C33" s="38"/>
      <c r="D33" s="38"/>
      <c r="E33" s="38"/>
      <c r="F33" s="39"/>
      <c r="G33" s="38"/>
      <c r="H33" s="38"/>
      <c r="I33" s="38"/>
      <c r="J33" s="39"/>
      <c r="K33" s="38"/>
      <c r="L33" s="38"/>
      <c r="M33" s="38"/>
      <c r="N33" s="39"/>
      <c r="O33" s="38"/>
      <c r="P33" s="38"/>
      <c r="Q33" s="38"/>
      <c r="R33" s="39"/>
      <c r="S33" s="38"/>
      <c r="T33" s="38"/>
      <c r="U33" s="38"/>
      <c r="V33" s="39"/>
      <c r="W33" s="38"/>
      <c r="X33" s="38"/>
      <c r="Y33" s="38"/>
      <c r="Z33" s="38"/>
      <c r="AB33" s="38"/>
      <c r="AC33" s="38"/>
      <c r="AD33" s="38"/>
      <c r="AE33" s="38"/>
      <c r="AG33" s="38"/>
      <c r="AH33" s="38"/>
    </row>
    <row r="34" spans="2:34" s="5" customFormat="1" outlineLevel="1" x14ac:dyDescent="0.35">
      <c r="B34" s="370" t="s">
        <v>472</v>
      </c>
      <c r="C34" s="38"/>
      <c r="D34" s="38"/>
      <c r="E34" s="38"/>
      <c r="F34" s="39"/>
      <c r="G34" s="38"/>
      <c r="H34" s="38"/>
      <c r="I34" s="38"/>
      <c r="J34" s="39"/>
      <c r="K34" s="38"/>
      <c r="L34" s="38"/>
      <c r="M34" s="38"/>
      <c r="N34" s="39"/>
      <c r="O34" s="38"/>
      <c r="P34" s="38"/>
      <c r="Q34" s="38"/>
      <c r="R34" s="39"/>
      <c r="S34" s="38"/>
      <c r="T34" s="38"/>
      <c r="U34" s="38"/>
      <c r="V34" s="39"/>
      <c r="W34" s="38"/>
      <c r="X34" s="38"/>
      <c r="Y34" s="38"/>
      <c r="Z34" s="38"/>
      <c r="AB34" s="38"/>
      <c r="AC34" s="38"/>
      <c r="AD34" s="38"/>
      <c r="AE34" s="38"/>
      <c r="AG34" s="38"/>
      <c r="AH34" s="38"/>
    </row>
    <row r="35" spans="2:34" s="5" customFormat="1" ht="7.5" customHeight="1" x14ac:dyDescent="0.35">
      <c r="B35" s="56"/>
      <c r="C35" s="38"/>
      <c r="D35" s="38"/>
      <c r="E35" s="38"/>
      <c r="F35" s="39"/>
      <c r="G35" s="38"/>
      <c r="H35" s="38"/>
      <c r="I35" s="38"/>
      <c r="J35" s="39"/>
      <c r="K35" s="38"/>
      <c r="L35" s="38"/>
      <c r="M35" s="38"/>
      <c r="N35" s="39"/>
      <c r="O35" s="38"/>
      <c r="P35" s="38"/>
      <c r="Q35" s="38"/>
      <c r="R35" s="39"/>
      <c r="S35" s="38"/>
      <c r="T35" s="38"/>
      <c r="U35" s="38"/>
      <c r="V35" s="39"/>
      <c r="W35" s="38"/>
      <c r="X35" s="38"/>
      <c r="Y35" s="38"/>
      <c r="Z35" s="38"/>
      <c r="AB35" s="38"/>
      <c r="AC35" s="38"/>
      <c r="AD35" s="38"/>
      <c r="AE35" s="38"/>
      <c r="AG35" s="38"/>
      <c r="AH35" s="38"/>
    </row>
    <row r="36" spans="2:34" x14ac:dyDescent="0.35">
      <c r="X36"/>
      <c r="Y36"/>
      <c r="AB36" s="38"/>
      <c r="AC36" s="38"/>
      <c r="AD36" s="38"/>
      <c r="AE36" s="38"/>
      <c r="AG36" s="38"/>
      <c r="AH36" s="38"/>
    </row>
    <row r="37" spans="2:34" ht="14.5" x14ac:dyDescent="0.35">
      <c r="B37" s="130" t="s">
        <v>498</v>
      </c>
      <c r="C37" s="379">
        <f t="shared" ref="C37:Z37" si="15">C8</f>
        <v>10337</v>
      </c>
      <c r="D37" s="379">
        <f t="shared" si="15"/>
        <v>10498</v>
      </c>
      <c r="E37" s="379">
        <f t="shared" si="15"/>
        <v>11312</v>
      </c>
      <c r="F37" s="379">
        <f t="shared" si="15"/>
        <v>11028</v>
      </c>
      <c r="G37" s="379">
        <f t="shared" si="15"/>
        <v>10109</v>
      </c>
      <c r="H37" s="379">
        <f t="shared" si="15"/>
        <v>10061</v>
      </c>
      <c r="I37" s="379">
        <f t="shared" si="15"/>
        <v>10966</v>
      </c>
      <c r="J37" s="379">
        <f t="shared" si="15"/>
        <v>10412</v>
      </c>
      <c r="K37" s="379">
        <f t="shared" si="15"/>
        <v>9765.0860805400007</v>
      </c>
      <c r="L37" s="379">
        <f t="shared" si="15"/>
        <v>9999.3182051899985</v>
      </c>
      <c r="M37" s="379">
        <f t="shared" si="15"/>
        <v>10487.218242605</v>
      </c>
      <c r="N37" s="379">
        <f t="shared" si="15"/>
        <v>9929.3889933789978</v>
      </c>
      <c r="O37" s="379">
        <f t="shared" si="15"/>
        <v>9190.614823115</v>
      </c>
      <c r="P37" s="379">
        <f t="shared" si="15"/>
        <v>7827.3905716190002</v>
      </c>
      <c r="Q37" s="379">
        <f t="shared" si="15"/>
        <v>9454.714122626996</v>
      </c>
      <c r="R37" s="379">
        <f t="shared" si="15"/>
        <v>10278.211521594005</v>
      </c>
      <c r="S37" s="379">
        <f t="shared" si="15"/>
        <v>9337.2269075779968</v>
      </c>
      <c r="T37" s="379">
        <f t="shared" si="15"/>
        <v>8858.9482907119982</v>
      </c>
      <c r="U37" s="379">
        <f t="shared" si="15"/>
        <v>10326.170888744995</v>
      </c>
      <c r="V37" s="379">
        <f t="shared" si="15"/>
        <v>9970.8013771759979</v>
      </c>
      <c r="W37" s="379">
        <f t="shared" si="15"/>
        <v>8988.4289744429971</v>
      </c>
      <c r="X37" s="379">
        <f t="shared" si="15"/>
        <v>9212.1998172179974</v>
      </c>
      <c r="Y37" s="379">
        <f t="shared" si="15"/>
        <v>10303.108942052997</v>
      </c>
      <c r="Z37" s="379">
        <f t="shared" si="15"/>
        <v>10049.747080808997</v>
      </c>
      <c r="AB37" s="379">
        <f>AB8</f>
        <v>9323.2000000000007</v>
      </c>
      <c r="AC37" s="379">
        <f>AC8</f>
        <v>9024.8000000000011</v>
      </c>
      <c r="AD37" s="379">
        <f>AD8</f>
        <v>9410.2999999999993</v>
      </c>
      <c r="AE37" s="379">
        <f>AE8</f>
        <v>9173.3000000000011</v>
      </c>
      <c r="AG37" s="379">
        <f>AG8</f>
        <v>8599.1999999999989</v>
      </c>
      <c r="AH37" s="379">
        <f>AH8</f>
        <v>8819.5087737355007</v>
      </c>
    </row>
    <row r="38" spans="2:34" ht="14.5" x14ac:dyDescent="0.35">
      <c r="B38" s="442" t="s">
        <v>499</v>
      </c>
      <c r="C38" s="379">
        <f t="shared" ref="C38:Z38" si="16">C37-(C19+C26)</f>
        <v>-2.1085000000311993E-2</v>
      </c>
      <c r="D38" s="379">
        <f t="shared" si="16"/>
        <v>7.0374999999330612E-2</v>
      </c>
      <c r="E38" s="379">
        <f t="shared" si="16"/>
        <v>-9.2949999998381827E-3</v>
      </c>
      <c r="F38" s="379">
        <f t="shared" si="16"/>
        <v>-6.1157999998613377E-2</v>
      </c>
      <c r="G38" s="379">
        <f t="shared" si="16"/>
        <v>-4.7960000010789372E-3</v>
      </c>
      <c r="H38" s="379">
        <f t="shared" si="16"/>
        <v>-1.2299999998504063E-2</v>
      </c>
      <c r="I38" s="379">
        <f t="shared" si="16"/>
        <v>6.1277000000700355E-2</v>
      </c>
      <c r="J38" s="379">
        <f t="shared" si="16"/>
        <v>-5.3737000000182888E-2</v>
      </c>
      <c r="K38" s="379">
        <f t="shared" si="16"/>
        <v>-0.16568445999655523</v>
      </c>
      <c r="L38" s="379">
        <f t="shared" si="16"/>
        <v>-6.8395810003494262E-2</v>
      </c>
      <c r="M38" s="379">
        <f t="shared" si="16"/>
        <v>7.7096050026739249E-3</v>
      </c>
      <c r="N38" s="379">
        <f t="shared" si="16"/>
        <v>-5.1236621002317406E-2</v>
      </c>
      <c r="O38" s="379">
        <f t="shared" si="16"/>
        <v>-4.8051884998130845E-2</v>
      </c>
      <c r="P38" s="379">
        <f t="shared" si="16"/>
        <v>3.256361900093907E-2</v>
      </c>
      <c r="Q38" s="379">
        <f t="shared" si="16"/>
        <v>0.10102262699729181</v>
      </c>
      <c r="R38" s="379">
        <f t="shared" si="16"/>
        <v>0.27126784400570614</v>
      </c>
      <c r="S38" s="379">
        <f t="shared" si="16"/>
        <v>9.662734997618827E-3</v>
      </c>
      <c r="T38" s="379">
        <f t="shared" si="16"/>
        <v>-0.13426103100027831</v>
      </c>
      <c r="U38" s="379">
        <f t="shared" si="16"/>
        <v>4.2738583995742374E-2</v>
      </c>
      <c r="V38" s="379">
        <f t="shared" si="16"/>
        <v>-3.4021118000964634E-2</v>
      </c>
      <c r="W38" s="379">
        <f t="shared" si="16"/>
        <v>1.1640621996775735E-2</v>
      </c>
      <c r="X38" s="379">
        <f t="shared" si="16"/>
        <v>8.7036515995350783E-2</v>
      </c>
      <c r="Y38" s="379">
        <f t="shared" si="16"/>
        <v>0.41996419199858792</v>
      </c>
      <c r="Z38" s="379">
        <f t="shared" si="16"/>
        <v>-0.11582876300417411</v>
      </c>
      <c r="AB38" s="379">
        <f>AB37-(AB19+AB26)</f>
        <v>0.1000000000003638</v>
      </c>
      <c r="AC38" s="379">
        <f>AC37-(AC19+AC26)</f>
        <v>-9.9999999998544808E-2</v>
      </c>
      <c r="AD38" s="379">
        <f>AD37-(AD19+AD26)</f>
        <v>9.9999999998544808E-2</v>
      </c>
      <c r="AE38" s="379">
        <f>AE37-(AE19+AE26)</f>
        <v>0.1000000000003638</v>
      </c>
      <c r="AG38" s="379">
        <f>AG37-(AG19+AG26)</f>
        <v>0</v>
      </c>
      <c r="AH38" s="379">
        <f>AH37-(AH19+AH26)</f>
        <v>2.5492999999187305E-2</v>
      </c>
    </row>
  </sheetData>
  <phoneticPr fontId="96"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F00AD-BF94-4BC7-8311-F3A14344EA93}">
  <sheetPr codeName="Planilha4">
    <tabColor rgb="FFFFC000"/>
  </sheetPr>
  <dimension ref="A1:AH35"/>
  <sheetViews>
    <sheetView showGridLines="0" zoomScale="70" zoomScaleNormal="70" workbookViewId="0">
      <pane xSplit="2" ySplit="5" topLeftCell="T6" activePane="bottomRight" state="frozen"/>
      <selection pane="topRight"/>
      <selection pane="bottomLeft"/>
      <selection pane="bottomRight" activeCell="AI9" sqref="AI9"/>
    </sheetView>
  </sheetViews>
  <sheetFormatPr defaultColWidth="9.1796875" defaultRowHeight="15.5" outlineLevelCol="1" x14ac:dyDescent="0.35"/>
  <cols>
    <col min="1" max="1" width="2" customWidth="1"/>
    <col min="2" max="2" width="71.81640625" style="56" customWidth="1"/>
    <col min="3" max="3" width="10.7265625" style="99" customWidth="1" outlineLevel="1"/>
    <col min="4" max="5" width="10.7265625" style="38" customWidth="1" outlineLevel="1"/>
    <col min="6" max="6" width="10.7265625" style="39" customWidth="1" outlineLevel="1"/>
    <col min="7" max="9" width="10.7265625" style="38" customWidth="1" outlineLevel="1"/>
    <col min="10" max="10" width="10.7265625" style="39" customWidth="1" outlineLevel="1"/>
    <col min="11" max="13" width="10.7265625" style="38" customWidth="1" outlineLevel="1"/>
    <col min="14" max="14" width="10.7265625" style="39" customWidth="1" outlineLevel="1"/>
    <col min="15" max="17" width="10.7265625" style="38" customWidth="1" outlineLevel="1"/>
    <col min="18" max="18" width="10.7265625" style="39" customWidth="1" outlineLevel="1"/>
    <col min="19" max="21" width="10.7265625" style="38" customWidth="1"/>
    <col min="22" max="22" width="10.7265625" style="39" customWidth="1"/>
    <col min="23" max="25" width="10.7265625" style="38" customWidth="1"/>
    <col min="26" max="26" width="10.1796875" bestFit="1" customWidth="1"/>
    <col min="27" max="27" width="0.54296875" customWidth="1"/>
    <col min="28" max="31" width="10.7265625" style="38" customWidth="1"/>
    <col min="32" max="32" width="0.453125" customWidth="1"/>
    <col min="33" max="34" width="11.08984375" style="38" customWidth="1"/>
  </cols>
  <sheetData>
    <row r="1" spans="1:34" ht="41.25" customHeight="1" x14ac:dyDescent="0.35">
      <c r="A1" s="1"/>
      <c r="C1" s="72"/>
      <c r="D1" s="34"/>
      <c r="E1" s="34"/>
      <c r="F1" s="73"/>
      <c r="G1" s="34"/>
      <c r="H1" s="34"/>
      <c r="I1" s="34"/>
      <c r="J1" s="35"/>
      <c r="K1" s="34"/>
      <c r="L1" s="34"/>
      <c r="M1" s="34"/>
      <c r="N1" s="35"/>
      <c r="O1" s="34"/>
      <c r="P1" s="34"/>
      <c r="Q1" s="34"/>
      <c r="R1" s="35"/>
      <c r="S1" s="34"/>
      <c r="T1" s="34"/>
      <c r="U1" s="34"/>
      <c r="V1" s="35"/>
      <c r="W1" s="34"/>
      <c r="X1" s="34"/>
      <c r="Y1" s="34"/>
      <c r="AB1" s="34"/>
      <c r="AC1" s="34"/>
      <c r="AD1" s="34"/>
      <c r="AE1" s="34"/>
      <c r="AG1" s="34"/>
      <c r="AH1" s="34"/>
    </row>
    <row r="2" spans="1:34" ht="18" x14ac:dyDescent="0.35">
      <c r="B2" s="57" t="s">
        <v>186</v>
      </c>
      <c r="C2" s="74"/>
      <c r="D2" s="37"/>
      <c r="E2" s="37"/>
      <c r="F2" s="37"/>
      <c r="G2" s="36"/>
      <c r="H2" s="36"/>
      <c r="I2" s="36"/>
      <c r="J2" s="37"/>
      <c r="K2" s="36"/>
      <c r="L2" s="36"/>
      <c r="M2" s="36"/>
      <c r="N2" s="37"/>
      <c r="O2" s="36"/>
      <c r="P2" s="36"/>
      <c r="Q2" s="36"/>
      <c r="R2" s="37"/>
      <c r="S2" s="36"/>
      <c r="T2" s="36"/>
      <c r="U2" s="36"/>
      <c r="V2" s="37"/>
      <c r="W2" s="36"/>
      <c r="X2" s="36"/>
      <c r="Y2" s="36"/>
      <c r="Z2" s="36"/>
      <c r="AB2" s="36"/>
      <c r="AC2" s="36"/>
      <c r="AD2" s="36"/>
      <c r="AE2" s="36"/>
      <c r="AG2" s="36"/>
      <c r="AH2" s="36"/>
    </row>
    <row r="3" spans="1:34" ht="9.75" customHeight="1" x14ac:dyDescent="0.35">
      <c r="C3" s="39"/>
      <c r="D3" s="39"/>
      <c r="E3" s="39"/>
    </row>
    <row r="4" spans="1:34" x14ac:dyDescent="0.35">
      <c r="B4" s="58"/>
      <c r="C4" s="42">
        <v>2014</v>
      </c>
      <c r="D4" s="42">
        <v>2015</v>
      </c>
      <c r="E4" s="42">
        <v>2016</v>
      </c>
      <c r="F4" s="42">
        <v>2017</v>
      </c>
      <c r="G4" s="40" t="s">
        <v>196</v>
      </c>
      <c r="H4" s="41" t="s">
        <v>197</v>
      </c>
      <c r="I4" s="41" t="s">
        <v>198</v>
      </c>
      <c r="J4" s="42" t="s">
        <v>199</v>
      </c>
      <c r="K4" s="41" t="s">
        <v>200</v>
      </c>
      <c r="L4" s="41" t="s">
        <v>201</v>
      </c>
      <c r="M4" s="41" t="s">
        <v>202</v>
      </c>
      <c r="N4" s="42" t="s">
        <v>203</v>
      </c>
      <c r="O4" s="41" t="s">
        <v>204</v>
      </c>
      <c r="P4" s="41" t="s">
        <v>205</v>
      </c>
      <c r="Q4" s="41" t="s">
        <v>206</v>
      </c>
      <c r="R4" s="42" t="s">
        <v>207</v>
      </c>
      <c r="S4" s="41" t="s">
        <v>208</v>
      </c>
      <c r="T4" s="41" t="s">
        <v>209</v>
      </c>
      <c r="U4" s="41" t="s">
        <v>210</v>
      </c>
      <c r="V4" s="42" t="s">
        <v>428</v>
      </c>
      <c r="W4" s="41" t="s">
        <v>435</v>
      </c>
      <c r="X4" s="41" t="s">
        <v>440</v>
      </c>
      <c r="Y4" s="41" t="s">
        <v>470</v>
      </c>
      <c r="Z4" s="41" t="s">
        <v>480</v>
      </c>
      <c r="AB4" s="41" t="s">
        <v>500</v>
      </c>
      <c r="AC4" s="41" t="s">
        <v>524</v>
      </c>
      <c r="AD4" s="41" t="s">
        <v>588</v>
      </c>
      <c r="AE4" s="41" t="s">
        <v>604</v>
      </c>
      <c r="AG4" s="41" t="s">
        <v>633</v>
      </c>
      <c r="AH4" s="41" t="s">
        <v>672</v>
      </c>
    </row>
    <row r="5" spans="1:34" x14ac:dyDescent="0.35">
      <c r="B5" s="59"/>
      <c r="C5" s="44" t="s">
        <v>216</v>
      </c>
      <c r="D5" s="44" t="s">
        <v>216</v>
      </c>
      <c r="E5" s="44" t="s">
        <v>216</v>
      </c>
      <c r="F5" s="44" t="s">
        <v>216</v>
      </c>
      <c r="G5" s="43" t="s">
        <v>37</v>
      </c>
      <c r="H5" s="43" t="s">
        <v>194</v>
      </c>
      <c r="I5" s="43" t="s">
        <v>471</v>
      </c>
      <c r="J5" s="44" t="s">
        <v>193</v>
      </c>
      <c r="K5" s="43" t="s">
        <v>37</v>
      </c>
      <c r="L5" s="43" t="s">
        <v>194</v>
      </c>
      <c r="M5" s="43" t="s">
        <v>471</v>
      </c>
      <c r="N5" s="44" t="s">
        <v>193</v>
      </c>
      <c r="O5" s="43" t="s">
        <v>37</v>
      </c>
      <c r="P5" s="43" t="s">
        <v>194</v>
      </c>
      <c r="Q5" s="43" t="s">
        <v>471</v>
      </c>
      <c r="R5" s="44" t="s">
        <v>193</v>
      </c>
      <c r="S5" s="43" t="s">
        <v>37</v>
      </c>
      <c r="T5" s="43" t="s">
        <v>194</v>
      </c>
      <c r="U5" s="43" t="s">
        <v>471</v>
      </c>
      <c r="V5" s="44" t="s">
        <v>193</v>
      </c>
      <c r="W5" s="43" t="s">
        <v>37</v>
      </c>
      <c r="X5" s="43" t="s">
        <v>194</v>
      </c>
      <c r="Y5" s="43" t="s">
        <v>471</v>
      </c>
      <c r="Z5" s="44" t="s">
        <v>193</v>
      </c>
      <c r="AB5" s="43" t="s">
        <v>37</v>
      </c>
      <c r="AC5" s="43" t="s">
        <v>194</v>
      </c>
      <c r="AD5" s="43" t="s">
        <v>471</v>
      </c>
      <c r="AE5" s="44" t="s">
        <v>193</v>
      </c>
      <c r="AG5" s="43" t="s">
        <v>37</v>
      </c>
      <c r="AH5" s="43" t="s">
        <v>673</v>
      </c>
    </row>
    <row r="6" spans="1:34" ht="8.25" customHeight="1" x14ac:dyDescent="0.35">
      <c r="C6" s="34"/>
      <c r="D6" s="34"/>
      <c r="E6" s="34"/>
      <c r="F6" s="35"/>
      <c r="G6" s="34"/>
      <c r="H6" s="34"/>
      <c r="I6" s="34"/>
      <c r="J6" s="75"/>
      <c r="K6" s="34"/>
      <c r="L6" s="34"/>
      <c r="M6" s="34"/>
      <c r="N6" s="76"/>
      <c r="O6" s="34"/>
      <c r="P6" s="34"/>
      <c r="Q6" s="34"/>
      <c r="R6" s="76"/>
      <c r="S6" s="34"/>
      <c r="T6" s="34"/>
      <c r="U6" s="34"/>
      <c r="V6" s="76"/>
      <c r="W6" s="34"/>
      <c r="X6" s="34"/>
      <c r="Y6" s="34"/>
      <c r="AB6" s="34"/>
      <c r="AC6" s="34"/>
      <c r="AD6" s="34"/>
      <c r="AE6" s="34"/>
      <c r="AG6" s="34"/>
      <c r="AH6" s="34"/>
    </row>
    <row r="7" spans="1:34" s="10" customFormat="1" ht="18" x14ac:dyDescent="0.4">
      <c r="B7" s="60" t="s">
        <v>60</v>
      </c>
      <c r="C7" s="46"/>
      <c r="D7" s="46"/>
      <c r="E7" s="45"/>
      <c r="F7" s="45"/>
      <c r="G7" s="45"/>
      <c r="H7" s="45"/>
      <c r="I7" s="45"/>
      <c r="J7" s="46"/>
      <c r="K7" s="45"/>
      <c r="L7" s="47"/>
      <c r="M7" s="47"/>
      <c r="N7" s="46"/>
      <c r="O7" s="47"/>
      <c r="P7" s="47"/>
      <c r="Q7" s="47"/>
      <c r="R7" s="48"/>
      <c r="S7" s="47"/>
      <c r="T7" s="49"/>
      <c r="U7" s="47"/>
      <c r="V7" s="48"/>
      <c r="W7" s="47"/>
      <c r="X7" s="47"/>
      <c r="Y7" s="47"/>
      <c r="AB7" s="47"/>
      <c r="AC7" s="47"/>
      <c r="AD7" s="47"/>
      <c r="AE7" s="47"/>
      <c r="AG7" s="47"/>
      <c r="AH7" s="47"/>
    </row>
    <row r="8" spans="1:34" s="11" customFormat="1" ht="19" x14ac:dyDescent="0.45">
      <c r="B8" s="61" t="s">
        <v>135</v>
      </c>
      <c r="C8" s="77"/>
      <c r="D8" s="78"/>
      <c r="E8" s="78"/>
      <c r="F8" s="78"/>
      <c r="G8" s="50"/>
      <c r="H8" s="50"/>
      <c r="I8" s="50"/>
      <c r="J8" s="77"/>
      <c r="K8" s="50"/>
      <c r="L8" s="50"/>
      <c r="M8" s="50"/>
      <c r="N8" s="77"/>
      <c r="O8" s="50"/>
      <c r="P8" s="50"/>
      <c r="Q8" s="50"/>
      <c r="R8" s="77"/>
      <c r="S8" s="50"/>
      <c r="T8" s="50"/>
      <c r="U8" s="50"/>
      <c r="V8" s="77"/>
      <c r="W8" s="50"/>
      <c r="X8" s="50"/>
      <c r="Y8" s="50"/>
      <c r="Z8" s="432"/>
      <c r="AB8" s="50"/>
      <c r="AC8" s="50"/>
      <c r="AD8" s="50"/>
      <c r="AE8" s="50"/>
      <c r="AG8" s="50"/>
      <c r="AH8" s="50"/>
    </row>
    <row r="9" spans="1:34" s="5" customFormat="1" x14ac:dyDescent="0.35">
      <c r="B9" s="63" t="s">
        <v>40</v>
      </c>
      <c r="C9" s="79">
        <v>98528</v>
      </c>
      <c r="D9" s="80">
        <v>97280</v>
      </c>
      <c r="E9" s="80">
        <v>86637</v>
      </c>
      <c r="F9" s="80">
        <v>84567</v>
      </c>
      <c r="G9" s="81">
        <f>[18]DRE!$C$4</f>
        <v>22499</v>
      </c>
      <c r="H9" s="81">
        <v>23597</v>
      </c>
      <c r="I9" s="81">
        <f>[19]DRE!$D$4</f>
        <v>26455</v>
      </c>
      <c r="J9" s="79">
        <f>97770-SUM(G9:I9)</f>
        <v>25219</v>
      </c>
      <c r="K9" s="81">
        <v>22432</v>
      </c>
      <c r="L9" s="81">
        <v>24045</v>
      </c>
      <c r="M9" s="81">
        <v>24360</v>
      </c>
      <c r="N9" s="79">
        <v>24148</v>
      </c>
      <c r="O9" s="81">
        <v>21188</v>
      </c>
      <c r="P9" s="81">
        <v>14882</v>
      </c>
      <c r="Q9" s="81">
        <v>21137</v>
      </c>
      <c r="R9" s="79">
        <v>24294</v>
      </c>
      <c r="S9" s="81">
        <v>26133</v>
      </c>
      <c r="T9" s="81">
        <v>29023</v>
      </c>
      <c r="U9" s="81">
        <v>35694</v>
      </c>
      <c r="V9" s="79">
        <v>39271</v>
      </c>
      <c r="W9" s="81">
        <v>38381</v>
      </c>
      <c r="X9" s="81">
        <v>47154</v>
      </c>
      <c r="Y9" s="81">
        <v>50834</v>
      </c>
      <c r="Z9" s="81">
        <v>45077</v>
      </c>
      <c r="AB9" s="81">
        <v>39037</v>
      </c>
      <c r="AC9" s="81">
        <v>37184</v>
      </c>
      <c r="AD9" s="81">
        <v>43063</v>
      </c>
      <c r="AE9" s="81">
        <v>43663</v>
      </c>
      <c r="AG9" s="81">
        <v>39599</v>
      </c>
      <c r="AH9" s="540">
        <v>42109</v>
      </c>
    </row>
    <row r="10" spans="1:34" s="5" customFormat="1" x14ac:dyDescent="0.35">
      <c r="B10" s="64" t="s">
        <v>41</v>
      </c>
      <c r="C10" s="82">
        <v>-91237</v>
      </c>
      <c r="D10" s="83">
        <v>-89967</v>
      </c>
      <c r="E10" s="83">
        <v>-80172</v>
      </c>
      <c r="F10" s="83">
        <v>-78200</v>
      </c>
      <c r="G10" s="84">
        <f>[18]DRE!$C$5</f>
        <v>-20982</v>
      </c>
      <c r="H10" s="84">
        <v>-22281</v>
      </c>
      <c r="I10" s="84">
        <f>[19]DRE!$D$5</f>
        <v>-24936</v>
      </c>
      <c r="J10" s="82">
        <f>-91914-SUM(G10:I10)</f>
        <v>-23715</v>
      </c>
      <c r="K10" s="84">
        <v>-20842</v>
      </c>
      <c r="L10" s="84">
        <v>-22756</v>
      </c>
      <c r="M10" s="84">
        <v>-22966</v>
      </c>
      <c r="N10" s="82">
        <v>-22463</v>
      </c>
      <c r="O10" s="84">
        <v>-20242</v>
      </c>
      <c r="P10" s="84">
        <v>-14286</v>
      </c>
      <c r="Q10" s="84">
        <v>-19751</v>
      </c>
      <c r="R10" s="82">
        <v>-22765</v>
      </c>
      <c r="S10" s="84">
        <v>-24260</v>
      </c>
      <c r="T10" s="84">
        <v>-27750</v>
      </c>
      <c r="U10" s="84">
        <v>-34161</v>
      </c>
      <c r="V10" s="82">
        <v>-37099</v>
      </c>
      <c r="W10" s="84">
        <v>-36168</v>
      </c>
      <c r="X10" s="84">
        <v>-44495</v>
      </c>
      <c r="Y10" s="84">
        <v>-49782</v>
      </c>
      <c r="Z10" s="84">
        <v>-43512</v>
      </c>
      <c r="AB10" s="84">
        <v>-37679</v>
      </c>
      <c r="AC10" s="84">
        <v>-35648</v>
      </c>
      <c r="AD10" s="84">
        <v>-40001</v>
      </c>
      <c r="AE10" s="84">
        <v>-41258</v>
      </c>
      <c r="AG10" s="84">
        <v>-37488</v>
      </c>
      <c r="AH10" s="541">
        <v>-40097</v>
      </c>
    </row>
    <row r="11" spans="1:34" s="5" customFormat="1" x14ac:dyDescent="0.35">
      <c r="B11" s="65" t="s">
        <v>42</v>
      </c>
      <c r="C11" s="85">
        <v>7291</v>
      </c>
      <c r="D11" s="86">
        <v>7313</v>
      </c>
      <c r="E11" s="86">
        <v>6465</v>
      </c>
      <c r="F11" s="86">
        <v>6367</v>
      </c>
      <c r="G11" s="87">
        <f>[18]DRE!$C$6</f>
        <v>1517</v>
      </c>
      <c r="H11" s="87">
        <v>1316</v>
      </c>
      <c r="I11" s="87">
        <v>1519</v>
      </c>
      <c r="J11" s="85">
        <f>5856-SUM(G11:I11)</f>
        <v>1504</v>
      </c>
      <c r="K11" s="87">
        <v>1590</v>
      </c>
      <c r="L11" s="87">
        <v>1289</v>
      </c>
      <c r="M11" s="87">
        <v>1394</v>
      </c>
      <c r="N11" s="85">
        <v>1685</v>
      </c>
      <c r="O11" s="87">
        <v>946</v>
      </c>
      <c r="P11" s="87">
        <v>596</v>
      </c>
      <c r="Q11" s="87">
        <v>1386</v>
      </c>
      <c r="R11" s="85">
        <v>1529</v>
      </c>
      <c r="S11" s="87">
        <v>1873</v>
      </c>
      <c r="T11" s="87">
        <v>1273</v>
      </c>
      <c r="U11" s="87">
        <v>1533</v>
      </c>
      <c r="V11" s="85">
        <v>2172</v>
      </c>
      <c r="W11" s="87">
        <v>2213</v>
      </c>
      <c r="X11" s="87">
        <v>2659</v>
      </c>
      <c r="Y11" s="87">
        <v>1052</v>
      </c>
      <c r="Z11" s="87">
        <f>Z9+Z10</f>
        <v>1565</v>
      </c>
      <c r="AB11" s="87">
        <f>AB9+AB10</f>
        <v>1358</v>
      </c>
      <c r="AC11" s="87">
        <f>AC9+AC10</f>
        <v>1536</v>
      </c>
      <c r="AD11" s="87">
        <v>3062</v>
      </c>
      <c r="AE11" s="87">
        <v>2405</v>
      </c>
      <c r="AG11" s="87">
        <v>2111</v>
      </c>
      <c r="AH11" s="87">
        <f>SUM(AH9:AH10)</f>
        <v>2012</v>
      </c>
    </row>
    <row r="12" spans="1:34" s="5" customFormat="1" x14ac:dyDescent="0.35">
      <c r="B12" s="63" t="s">
        <v>43</v>
      </c>
      <c r="C12" s="53"/>
      <c r="D12" s="88"/>
      <c r="E12" s="88"/>
      <c r="F12" s="88"/>
      <c r="G12" s="52"/>
      <c r="H12" s="52"/>
      <c r="I12" s="52"/>
      <c r="J12" s="53"/>
      <c r="K12" s="52"/>
      <c r="L12" s="52"/>
      <c r="M12" s="52"/>
      <c r="N12" s="53"/>
      <c r="O12" s="52"/>
      <c r="P12" s="52"/>
      <c r="Q12" s="52"/>
      <c r="R12" s="53"/>
      <c r="S12" s="52"/>
      <c r="T12" s="52"/>
      <c r="U12" s="52"/>
      <c r="V12" s="53"/>
      <c r="W12" s="52"/>
      <c r="X12" s="52"/>
      <c r="Y12" s="52"/>
      <c r="Z12" s="52"/>
      <c r="AB12" s="52"/>
      <c r="AC12" s="52"/>
      <c r="AD12" s="52"/>
      <c r="AE12" s="52"/>
      <c r="AG12" s="52"/>
    </row>
    <row r="13" spans="1:34" s="5" customFormat="1" x14ac:dyDescent="0.35">
      <c r="B13" s="64" t="s">
        <v>44</v>
      </c>
      <c r="C13" s="89">
        <v>-4524</v>
      </c>
      <c r="D13" s="90">
        <v>-6454</v>
      </c>
      <c r="E13" s="90">
        <v>-3845</v>
      </c>
      <c r="F13" s="90">
        <v>-2952</v>
      </c>
      <c r="G13" s="91">
        <f>[18]DRE!$C$8</f>
        <v>-708</v>
      </c>
      <c r="H13" s="91">
        <v>-760</v>
      </c>
      <c r="I13" s="91">
        <v>-776</v>
      </c>
      <c r="J13" s="89">
        <f>-2927-SUM(G13:I13)</f>
        <v>-683</v>
      </c>
      <c r="K13" s="91">
        <v>-733</v>
      </c>
      <c r="L13" s="91">
        <v>-722</v>
      </c>
      <c r="M13" s="91">
        <v>-726</v>
      </c>
      <c r="N13" s="89">
        <v>-805</v>
      </c>
      <c r="O13" s="91">
        <v>-590</v>
      </c>
      <c r="P13" s="91">
        <v>-585</v>
      </c>
      <c r="Q13" s="91">
        <v>-535</v>
      </c>
      <c r="R13" s="89">
        <v>-592</v>
      </c>
      <c r="S13" s="91">
        <v>-556</v>
      </c>
      <c r="T13" s="91">
        <v>-585</v>
      </c>
      <c r="U13" s="91">
        <v>-615</v>
      </c>
      <c r="V13" s="89">
        <v>-618</v>
      </c>
      <c r="W13" s="91">
        <v>-588</v>
      </c>
      <c r="X13" s="91">
        <v>-642</v>
      </c>
      <c r="Y13" s="91">
        <v>-700</v>
      </c>
      <c r="Z13" s="91">
        <v>-716</v>
      </c>
      <c r="AB13" s="91">
        <v>-671</v>
      </c>
      <c r="AC13" s="91">
        <v>-671</v>
      </c>
      <c r="AD13" s="91">
        <v>-690</v>
      </c>
      <c r="AE13" s="91">
        <v>-682</v>
      </c>
      <c r="AG13" s="91">
        <v>-668</v>
      </c>
      <c r="AH13" s="91">
        <v>-674</v>
      </c>
    </row>
    <row r="14" spans="1:34" s="5" customFormat="1" ht="18.75" customHeight="1" x14ac:dyDescent="0.35">
      <c r="B14" s="64" t="s">
        <v>45</v>
      </c>
      <c r="C14" s="89">
        <v>0</v>
      </c>
      <c r="D14" s="90">
        <v>0</v>
      </c>
      <c r="E14" s="90">
        <v>0</v>
      </c>
      <c r="F14" s="90">
        <v>0</v>
      </c>
      <c r="G14" s="91">
        <v>0</v>
      </c>
      <c r="H14" s="91">
        <v>0</v>
      </c>
      <c r="I14" s="91">
        <v>0</v>
      </c>
      <c r="J14" s="89">
        <v>0</v>
      </c>
      <c r="K14" s="91">
        <v>0</v>
      </c>
      <c r="L14" s="91">
        <v>0</v>
      </c>
      <c r="M14" s="91">
        <v>-7</v>
      </c>
      <c r="N14" s="89">
        <v>-24</v>
      </c>
      <c r="O14" s="91">
        <v>-33</v>
      </c>
      <c r="P14" s="91">
        <v>0</v>
      </c>
      <c r="Q14" s="91">
        <v>4</v>
      </c>
      <c r="R14" s="89">
        <v>39</v>
      </c>
      <c r="S14" s="91">
        <v>-173</v>
      </c>
      <c r="T14" s="91">
        <v>10</v>
      </c>
      <c r="U14" s="91">
        <v>-64</v>
      </c>
      <c r="V14" s="89">
        <v>-62</v>
      </c>
      <c r="W14" s="91">
        <v>8</v>
      </c>
      <c r="X14" s="91">
        <v>14</v>
      </c>
      <c r="Y14" s="91">
        <v>-38</v>
      </c>
      <c r="Z14" s="91">
        <v>24</v>
      </c>
      <c r="AB14" s="91">
        <v>-1</v>
      </c>
      <c r="AC14" s="91">
        <v>-26</v>
      </c>
      <c r="AD14" s="91">
        <v>-39</v>
      </c>
      <c r="AE14" s="91">
        <v>7</v>
      </c>
      <c r="AG14" s="91">
        <v>2</v>
      </c>
      <c r="AH14" s="91">
        <v>30</v>
      </c>
    </row>
    <row r="15" spans="1:34" s="5" customFormat="1" ht="18.75" customHeight="1" x14ac:dyDescent="0.35">
      <c r="B15" s="64" t="s">
        <v>46</v>
      </c>
      <c r="C15" s="89">
        <v>-748</v>
      </c>
      <c r="D15" s="90">
        <v>-820</v>
      </c>
      <c r="E15" s="90">
        <v>-828</v>
      </c>
      <c r="F15" s="90">
        <v>-835</v>
      </c>
      <c r="G15" s="91">
        <f>[18]DRE!$C$9</f>
        <v>-190</v>
      </c>
      <c r="H15" s="91">
        <v>-198</v>
      </c>
      <c r="I15" s="91">
        <v>-194</v>
      </c>
      <c r="J15" s="89">
        <f>-786-SUM(G15:I15)</f>
        <v>-204</v>
      </c>
      <c r="K15" s="91">
        <v>-195</v>
      </c>
      <c r="L15" s="91">
        <v>-190</v>
      </c>
      <c r="M15" s="91">
        <v>-200</v>
      </c>
      <c r="N15" s="89">
        <v>-283</v>
      </c>
      <c r="O15" s="91">
        <v>-145</v>
      </c>
      <c r="P15" s="91">
        <v>-138</v>
      </c>
      <c r="Q15" s="91">
        <v>-152</v>
      </c>
      <c r="R15" s="89">
        <v>-22</v>
      </c>
      <c r="S15" s="91">
        <v>-149</v>
      </c>
      <c r="T15" s="91">
        <v>-168</v>
      </c>
      <c r="U15" s="91">
        <v>-187</v>
      </c>
      <c r="V15" s="89">
        <v>-130</v>
      </c>
      <c r="W15" s="91">
        <v>-160</v>
      </c>
      <c r="X15" s="91">
        <v>-183</v>
      </c>
      <c r="Y15" s="91">
        <v>-197</v>
      </c>
      <c r="Z15" s="91">
        <v>-203</v>
      </c>
      <c r="AB15" s="91">
        <v>-205</v>
      </c>
      <c r="AC15" s="91">
        <v>-170</v>
      </c>
      <c r="AD15" s="91">
        <v>-197</v>
      </c>
      <c r="AE15" s="91">
        <v>-232</v>
      </c>
      <c r="AG15" s="91">
        <v>-224</v>
      </c>
      <c r="AH15" s="91">
        <v>-238</v>
      </c>
    </row>
    <row r="16" spans="1:34" s="5" customFormat="1" ht="18.75" customHeight="1" x14ac:dyDescent="0.35">
      <c r="B16" s="64" t="s">
        <v>47</v>
      </c>
      <c r="C16" s="89">
        <v>-160</v>
      </c>
      <c r="D16" s="90">
        <v>-208</v>
      </c>
      <c r="E16" s="90">
        <v>-137</v>
      </c>
      <c r="F16" s="90">
        <v>-172</v>
      </c>
      <c r="G16" s="91">
        <f>[18]DRE!$C$10</f>
        <v>-27</v>
      </c>
      <c r="H16" s="91">
        <v>-22</v>
      </c>
      <c r="I16" s="91">
        <v>-209</v>
      </c>
      <c r="J16" s="89">
        <f>-315-SUM(G16:I16)</f>
        <v>-57</v>
      </c>
      <c r="K16" s="91">
        <v>-37</v>
      </c>
      <c r="L16" s="91">
        <v>-13</v>
      </c>
      <c r="M16" s="91">
        <v>-36</v>
      </c>
      <c r="N16" s="89">
        <v>-22</v>
      </c>
      <c r="O16" s="91">
        <v>-41</v>
      </c>
      <c r="P16" s="91">
        <v>-17</v>
      </c>
      <c r="Q16" s="91">
        <v>-58</v>
      </c>
      <c r="R16" s="89">
        <v>-31</v>
      </c>
      <c r="S16" s="91">
        <v>-65</v>
      </c>
      <c r="T16" s="91">
        <v>-22</v>
      </c>
      <c r="U16" s="91">
        <v>-224</v>
      </c>
      <c r="V16" s="89">
        <v>-34</v>
      </c>
      <c r="W16" s="91">
        <v>-35</v>
      </c>
      <c r="X16" s="91">
        <v>-16</v>
      </c>
      <c r="Y16" s="91">
        <v>-14</v>
      </c>
      <c r="Z16" s="91">
        <v>-35</v>
      </c>
      <c r="AB16" s="91">
        <v>-29</v>
      </c>
      <c r="AC16" s="91">
        <v>-19</v>
      </c>
      <c r="AD16" s="91">
        <v>-23</v>
      </c>
      <c r="AE16" s="91">
        <v>-67</v>
      </c>
      <c r="AG16" s="91">
        <v>-35</v>
      </c>
      <c r="AH16" s="91">
        <v>-25</v>
      </c>
    </row>
    <row r="17" spans="2:34" s="5" customFormat="1" ht="18.75" customHeight="1" x14ac:dyDescent="0.35">
      <c r="B17" s="64" t="s">
        <v>48</v>
      </c>
      <c r="C17" s="89">
        <v>-601</v>
      </c>
      <c r="D17" s="90">
        <v>-1470</v>
      </c>
      <c r="E17" s="90">
        <v>-1669</v>
      </c>
      <c r="F17" s="90">
        <v>-284</v>
      </c>
      <c r="G17" s="91">
        <f>[18]DRE!$C$11</f>
        <v>-135</v>
      </c>
      <c r="H17" s="91">
        <v>-162</v>
      </c>
      <c r="I17" s="91">
        <v>1082</v>
      </c>
      <c r="J17" s="89">
        <f>559-SUM(G17:I17)</f>
        <v>-226</v>
      </c>
      <c r="K17" s="91">
        <v>-137</v>
      </c>
      <c r="L17" s="91">
        <v>-64</v>
      </c>
      <c r="M17" s="91">
        <v>72</v>
      </c>
      <c r="N17" s="89">
        <v>-525</v>
      </c>
      <c r="O17" s="91">
        <v>364</v>
      </c>
      <c r="P17" s="91">
        <v>400</v>
      </c>
      <c r="Q17" s="91">
        <v>-120</v>
      </c>
      <c r="R17" s="89">
        <v>2352</v>
      </c>
      <c r="S17" s="91">
        <v>-60</v>
      </c>
      <c r="T17" s="91">
        <v>165</v>
      </c>
      <c r="U17" s="91">
        <v>-20</v>
      </c>
      <c r="V17" s="89">
        <v>-800</v>
      </c>
      <c r="W17" s="91">
        <v>-464</v>
      </c>
      <c r="X17" s="91">
        <v>-167</v>
      </c>
      <c r="Y17" s="91">
        <v>145</v>
      </c>
      <c r="Z17" s="91">
        <v>443</v>
      </c>
      <c r="AB17" s="91">
        <v>-23</v>
      </c>
      <c r="AC17" s="91">
        <v>-100</v>
      </c>
      <c r="AD17" s="91">
        <v>19</v>
      </c>
      <c r="AE17" s="91">
        <v>3037</v>
      </c>
      <c r="AG17" s="91">
        <v>443</v>
      </c>
      <c r="AH17" s="91">
        <v>37</v>
      </c>
    </row>
    <row r="18" spans="2:34" s="5" customFormat="1" ht="9" customHeight="1" x14ac:dyDescent="0.35">
      <c r="B18" s="64"/>
      <c r="C18" s="53"/>
      <c r="D18" s="88"/>
      <c r="E18" s="88"/>
      <c r="F18" s="88"/>
      <c r="G18" s="52"/>
      <c r="H18" s="52"/>
      <c r="I18" s="52"/>
      <c r="J18" s="53"/>
      <c r="K18" s="52"/>
      <c r="L18" s="52"/>
      <c r="M18" s="52"/>
      <c r="N18" s="53"/>
      <c r="O18" s="52"/>
      <c r="P18" s="52"/>
      <c r="Q18" s="52"/>
      <c r="R18" s="53"/>
      <c r="S18" s="52"/>
      <c r="T18" s="52"/>
      <c r="U18" s="52"/>
      <c r="V18" s="53"/>
      <c r="W18" s="52"/>
      <c r="X18" s="52"/>
      <c r="Y18" s="52"/>
      <c r="Z18" s="52"/>
      <c r="AB18" s="52"/>
      <c r="AC18" s="52"/>
      <c r="AD18" s="52"/>
      <c r="AE18" s="52"/>
      <c r="AG18" s="52"/>
      <c r="AH18" s="52"/>
    </row>
    <row r="19" spans="2:34" s="5" customFormat="1" ht="36.75" customHeight="1" x14ac:dyDescent="0.35">
      <c r="B19" s="321" t="s">
        <v>485</v>
      </c>
      <c r="C19" s="85">
        <v>1258</v>
      </c>
      <c r="D19" s="86">
        <v>-1639</v>
      </c>
      <c r="E19" s="86">
        <v>-14</v>
      </c>
      <c r="F19" s="86">
        <v>2124</v>
      </c>
      <c r="G19" s="87">
        <f>[18]DRE!$C$13</f>
        <v>457</v>
      </c>
      <c r="H19" s="87">
        <v>174</v>
      </c>
      <c r="I19" s="87">
        <v>1422</v>
      </c>
      <c r="J19" s="85">
        <f>2387-SUM(G19:I19)</f>
        <v>334</v>
      </c>
      <c r="K19" s="87">
        <v>488</v>
      </c>
      <c r="L19" s="87">
        <v>300</v>
      </c>
      <c r="M19" s="87">
        <v>497</v>
      </c>
      <c r="N19" s="85">
        <v>26</v>
      </c>
      <c r="O19" s="87">
        <v>501</v>
      </c>
      <c r="P19" s="87">
        <v>256</v>
      </c>
      <c r="Q19" s="87">
        <v>525</v>
      </c>
      <c r="R19" s="85">
        <v>3275</v>
      </c>
      <c r="S19" s="87">
        <v>870</v>
      </c>
      <c r="T19" s="87">
        <v>673</v>
      </c>
      <c r="U19" s="87">
        <v>423</v>
      </c>
      <c r="V19" s="85">
        <v>528</v>
      </c>
      <c r="W19" s="87">
        <v>974</v>
      </c>
      <c r="X19" s="87">
        <v>1665</v>
      </c>
      <c r="Y19" s="87">
        <v>248</v>
      </c>
      <c r="Z19" s="87">
        <f>Z11+Z13+Z14+Z15+Z16+Z17</f>
        <v>1078</v>
      </c>
      <c r="AB19" s="87">
        <f>AB11+AB13+AB14+AB15+AB16+AB17</f>
        <v>429</v>
      </c>
      <c r="AC19" s="87">
        <f>AC11+AC13+AC14+AC15+AC16+AC17</f>
        <v>550</v>
      </c>
      <c r="AD19" s="87">
        <f>AD11+AD13+AD14+AD15+AD16+AD17</f>
        <v>2132</v>
      </c>
      <c r="AE19" s="87">
        <f>AE11+AE13+AE14+AE15+AE16+AE17</f>
        <v>4468</v>
      </c>
      <c r="AG19" s="87">
        <v>1629</v>
      </c>
      <c r="AH19" s="87">
        <f>SUM(AH11:AH18)</f>
        <v>1142</v>
      </c>
    </row>
    <row r="20" spans="2:34" s="5" customFormat="1" x14ac:dyDescent="0.35">
      <c r="B20" s="66" t="s">
        <v>49</v>
      </c>
      <c r="C20" s="53"/>
      <c r="D20" s="88"/>
      <c r="E20" s="88"/>
      <c r="F20" s="88"/>
      <c r="G20" s="52"/>
      <c r="H20" s="52"/>
      <c r="I20" s="52"/>
      <c r="J20" s="53"/>
      <c r="K20" s="52"/>
      <c r="L20" s="52"/>
      <c r="M20" s="52"/>
      <c r="N20" s="53"/>
      <c r="O20" s="52"/>
      <c r="P20" s="52"/>
      <c r="Q20" s="52"/>
      <c r="R20" s="53"/>
      <c r="S20" s="52"/>
      <c r="T20" s="52"/>
      <c r="U20" s="52"/>
      <c r="V20" s="53"/>
      <c r="W20" s="52"/>
      <c r="X20" s="52"/>
      <c r="Y20" s="52"/>
      <c r="Z20" s="52"/>
      <c r="AB20" s="52"/>
      <c r="AC20" s="52"/>
      <c r="AD20" s="52"/>
      <c r="AE20" s="52"/>
      <c r="AG20" s="52"/>
      <c r="AH20" s="52"/>
    </row>
    <row r="21" spans="2:34" s="5" customFormat="1" x14ac:dyDescent="0.35">
      <c r="B21" s="64" t="s">
        <v>50</v>
      </c>
      <c r="C21" s="89">
        <v>-802</v>
      </c>
      <c r="D21" s="90">
        <v>-1597</v>
      </c>
      <c r="E21" s="90">
        <v>-1893</v>
      </c>
      <c r="F21" s="90">
        <v>-1231</v>
      </c>
      <c r="G21" s="91">
        <f>[18]DRE!$C$15</f>
        <v>-94</v>
      </c>
      <c r="H21" s="91">
        <v>-83</v>
      </c>
      <c r="I21" s="91">
        <v>-136</v>
      </c>
      <c r="J21" s="89">
        <f>-419-SUM(G21:I21)</f>
        <v>-106</v>
      </c>
      <c r="K21" s="91">
        <v>-112</v>
      </c>
      <c r="L21" s="91">
        <v>-118</v>
      </c>
      <c r="M21" s="91">
        <v>-117</v>
      </c>
      <c r="N21" s="89">
        <v>-102</v>
      </c>
      <c r="O21" s="91">
        <v>-99</v>
      </c>
      <c r="P21" s="91">
        <v>-103</v>
      </c>
      <c r="Q21" s="91">
        <v>-90</v>
      </c>
      <c r="R21" s="89">
        <v>-93</v>
      </c>
      <c r="S21" s="91">
        <v>-91</v>
      </c>
      <c r="T21" s="91">
        <v>-95</v>
      </c>
      <c r="U21" s="91">
        <v>-148</v>
      </c>
      <c r="V21" s="89">
        <v>-196</v>
      </c>
      <c r="W21" s="91">
        <v>-231</v>
      </c>
      <c r="X21" s="91">
        <v>-328</v>
      </c>
      <c r="Y21" s="91">
        <v>-354</v>
      </c>
      <c r="Z21" s="91">
        <v>-414</v>
      </c>
      <c r="AB21" s="91">
        <v>-406</v>
      </c>
      <c r="AC21" s="91">
        <v>-370</v>
      </c>
      <c r="AD21" s="91">
        <v>-386</v>
      </c>
      <c r="AE21" s="91">
        <v>-340</v>
      </c>
      <c r="AG21" s="91">
        <v>-316</v>
      </c>
      <c r="AH21" s="91">
        <v>-343</v>
      </c>
    </row>
    <row r="22" spans="2:34" s="11" customFormat="1" ht="19" x14ac:dyDescent="0.45">
      <c r="B22" s="64" t="s">
        <v>51</v>
      </c>
      <c r="C22" s="89">
        <v>387</v>
      </c>
      <c r="D22" s="90">
        <v>505</v>
      </c>
      <c r="E22" s="90">
        <v>682</v>
      </c>
      <c r="F22" s="90">
        <v>376</v>
      </c>
      <c r="G22" s="91">
        <f>[18]DRE!$C$16</f>
        <v>84</v>
      </c>
      <c r="H22" s="91">
        <v>364</v>
      </c>
      <c r="I22" s="91">
        <v>554</v>
      </c>
      <c r="J22" s="89">
        <f>2959-SUM(G22:I22)</f>
        <v>1957</v>
      </c>
      <c r="K22" s="91">
        <v>397</v>
      </c>
      <c r="L22" s="91">
        <v>397</v>
      </c>
      <c r="M22" s="91">
        <v>1683</v>
      </c>
      <c r="N22" s="89">
        <v>91</v>
      </c>
      <c r="O22" s="91">
        <v>77</v>
      </c>
      <c r="P22" s="91">
        <v>95</v>
      </c>
      <c r="Q22" s="91">
        <v>120</v>
      </c>
      <c r="R22" s="89">
        <v>158</v>
      </c>
      <c r="S22" s="91">
        <v>116</v>
      </c>
      <c r="T22" s="91">
        <v>105</v>
      </c>
      <c r="U22" s="91">
        <v>214</v>
      </c>
      <c r="V22" s="89">
        <v>1208</v>
      </c>
      <c r="W22" s="91">
        <v>177</v>
      </c>
      <c r="X22" s="91">
        <v>236</v>
      </c>
      <c r="Y22" s="91">
        <v>150</v>
      </c>
      <c r="Z22" s="91">
        <v>134</v>
      </c>
      <c r="AB22" s="91">
        <v>234</v>
      </c>
      <c r="AC22" s="91">
        <v>211</v>
      </c>
      <c r="AD22" s="91">
        <v>244</v>
      </c>
      <c r="AE22" s="91">
        <v>249</v>
      </c>
      <c r="AG22" s="91">
        <v>189</v>
      </c>
      <c r="AH22" s="91">
        <v>304</v>
      </c>
    </row>
    <row r="23" spans="2:34" s="9" customFormat="1" x14ac:dyDescent="0.35">
      <c r="B23" s="64" t="s">
        <v>52</v>
      </c>
      <c r="C23" s="89">
        <v>705</v>
      </c>
      <c r="D23" s="90">
        <v>793</v>
      </c>
      <c r="E23" s="90">
        <v>589</v>
      </c>
      <c r="F23" s="90">
        <v>298</v>
      </c>
      <c r="G23" s="91">
        <f>[18]DRE!$C$17</f>
        <v>-36</v>
      </c>
      <c r="H23" s="91">
        <v>-12</v>
      </c>
      <c r="I23" s="91">
        <v>-65</v>
      </c>
      <c r="J23" s="89">
        <f>-117-SUM(G23:I23)</f>
        <v>-4</v>
      </c>
      <c r="K23" s="91">
        <v>-13</v>
      </c>
      <c r="L23" s="91">
        <v>-91</v>
      </c>
      <c r="M23" s="91">
        <v>-9</v>
      </c>
      <c r="N23" s="89">
        <v>-16</v>
      </c>
      <c r="O23" s="91">
        <v>-74</v>
      </c>
      <c r="P23" s="91">
        <v>85</v>
      </c>
      <c r="Q23" s="91">
        <v>-8</v>
      </c>
      <c r="R23" s="89">
        <v>196</v>
      </c>
      <c r="S23" s="91">
        <v>-143</v>
      </c>
      <c r="T23" s="91">
        <v>-83</v>
      </c>
      <c r="U23" s="91">
        <v>-114</v>
      </c>
      <c r="V23" s="89">
        <v>-205</v>
      </c>
      <c r="W23" s="91">
        <v>-395</v>
      </c>
      <c r="X23" s="91">
        <v>-522</v>
      </c>
      <c r="Y23" s="91">
        <v>-360</v>
      </c>
      <c r="Z23" s="91">
        <v>-124</v>
      </c>
      <c r="AB23" s="91">
        <v>-108</v>
      </c>
      <c r="AC23" s="91">
        <v>-182</v>
      </c>
      <c r="AD23" s="91">
        <v>-271</v>
      </c>
      <c r="AE23" s="91">
        <v>41</v>
      </c>
      <c r="AG23" s="91">
        <v>-207</v>
      </c>
      <c r="AH23" s="91">
        <v>-174</v>
      </c>
    </row>
    <row r="24" spans="2:34" s="5" customFormat="1" ht="8.25" customHeight="1" x14ac:dyDescent="0.35">
      <c r="B24" s="64"/>
      <c r="C24" s="89"/>
      <c r="D24" s="90"/>
      <c r="E24" s="90"/>
      <c r="F24" s="90"/>
      <c r="G24" s="91"/>
      <c r="H24" s="91"/>
      <c r="I24" s="91"/>
      <c r="J24" s="89"/>
      <c r="K24" s="91"/>
      <c r="L24" s="91"/>
      <c r="M24" s="91"/>
      <c r="N24" s="89"/>
      <c r="O24" s="91"/>
      <c r="P24" s="91"/>
      <c r="Q24" s="91"/>
      <c r="R24" s="89"/>
      <c r="S24" s="91"/>
      <c r="T24" s="91"/>
      <c r="U24" s="91"/>
      <c r="V24" s="89"/>
      <c r="W24" s="91"/>
      <c r="X24" s="91"/>
      <c r="Y24" s="91"/>
      <c r="Z24" s="91"/>
      <c r="AB24" s="91"/>
      <c r="AC24" s="91"/>
      <c r="AD24" s="91"/>
      <c r="AE24" s="91"/>
      <c r="AG24" s="91"/>
      <c r="AH24" s="91"/>
    </row>
    <row r="25" spans="2:34" s="5" customFormat="1" x14ac:dyDescent="0.35">
      <c r="B25" s="63" t="s">
        <v>53</v>
      </c>
      <c r="C25" s="89">
        <v>-2</v>
      </c>
      <c r="D25" s="90">
        <v>3</v>
      </c>
      <c r="E25" s="90">
        <v>-1</v>
      </c>
      <c r="F25" s="90">
        <v>-2</v>
      </c>
      <c r="G25" s="91">
        <f>[18]DRE!$C$19</f>
        <v>-1</v>
      </c>
      <c r="H25" s="91">
        <v>0</v>
      </c>
      <c r="I25" s="91">
        <v>-1</v>
      </c>
      <c r="J25" s="89">
        <f>-1-SUM(G25:I25)</f>
        <v>1</v>
      </c>
      <c r="K25" s="91">
        <v>1</v>
      </c>
      <c r="L25" s="91">
        <v>0</v>
      </c>
      <c r="M25" s="91">
        <v>0</v>
      </c>
      <c r="N25" s="89">
        <v>1</v>
      </c>
      <c r="O25" s="91">
        <v>-1</v>
      </c>
      <c r="P25" s="91">
        <v>-1</v>
      </c>
      <c r="Q25" s="91">
        <v>-1</v>
      </c>
      <c r="R25" s="89">
        <v>12</v>
      </c>
      <c r="S25" s="91">
        <v>7</v>
      </c>
      <c r="T25" s="91">
        <v>2</v>
      </c>
      <c r="U25" s="91">
        <v>76</v>
      </c>
      <c r="V25" s="89">
        <v>27</v>
      </c>
      <c r="W25" s="91">
        <v>17</v>
      </c>
      <c r="X25" s="91">
        <v>14</v>
      </c>
      <c r="Y25" s="91">
        <v>16</v>
      </c>
      <c r="Z25" s="91">
        <v>-51</v>
      </c>
      <c r="AB25" s="91">
        <v>-2</v>
      </c>
      <c r="AC25" s="91">
        <v>-26</v>
      </c>
      <c r="AD25" s="91">
        <v>-49</v>
      </c>
      <c r="AE25" s="91">
        <v>41</v>
      </c>
      <c r="AG25" s="91">
        <v>-71</v>
      </c>
      <c r="AH25" s="91">
        <v>79</v>
      </c>
    </row>
    <row r="26" spans="2:34" s="5" customFormat="1" x14ac:dyDescent="0.35">
      <c r="B26" s="65" t="s">
        <v>54</v>
      </c>
      <c r="C26" s="85">
        <v>1546</v>
      </c>
      <c r="D26" s="86">
        <v>-1935</v>
      </c>
      <c r="E26" s="86">
        <v>-637</v>
      </c>
      <c r="F26" s="86">
        <v>1565</v>
      </c>
      <c r="G26" s="87">
        <f>[18]DRE!$C$20</f>
        <v>410</v>
      </c>
      <c r="H26" s="87">
        <v>443</v>
      </c>
      <c r="I26" s="87">
        <v>1774</v>
      </c>
      <c r="J26" s="85">
        <f>4809-SUM(G26:I26)</f>
        <v>2182</v>
      </c>
      <c r="K26" s="87">
        <v>761</v>
      </c>
      <c r="L26" s="87">
        <v>488</v>
      </c>
      <c r="M26" s="87">
        <v>2054</v>
      </c>
      <c r="N26" s="85">
        <v>0</v>
      </c>
      <c r="O26" s="87">
        <v>404</v>
      </c>
      <c r="P26" s="87">
        <v>332</v>
      </c>
      <c r="Q26" s="87">
        <v>546</v>
      </c>
      <c r="R26" s="85">
        <v>3548</v>
      </c>
      <c r="S26" s="87">
        <v>759</v>
      </c>
      <c r="T26" s="87">
        <v>602</v>
      </c>
      <c r="U26" s="87">
        <v>451</v>
      </c>
      <c r="V26" s="85">
        <v>1362</v>
      </c>
      <c r="W26" s="87">
        <v>542</v>
      </c>
      <c r="X26" s="87">
        <v>1065</v>
      </c>
      <c r="Y26" s="87">
        <v>-300</v>
      </c>
      <c r="Z26" s="87">
        <f>SUM(Z19:Z25)</f>
        <v>623</v>
      </c>
      <c r="AB26" s="87">
        <f>SUM(AB19:AB25)</f>
        <v>147</v>
      </c>
      <c r="AC26" s="87">
        <f>SUM(AC19:AC25)</f>
        <v>183</v>
      </c>
      <c r="AD26" s="87">
        <f>SUM(AD19:AD25)</f>
        <v>1670</v>
      </c>
      <c r="AE26" s="87">
        <f>SUM(AE19:AE25)</f>
        <v>4459</v>
      </c>
      <c r="AG26" s="87">
        <v>1224</v>
      </c>
      <c r="AH26" s="87">
        <f>SUM(AH19:AH25)</f>
        <v>1008</v>
      </c>
    </row>
    <row r="27" spans="2:34" s="5" customFormat="1" ht="18.75" customHeight="1" x14ac:dyDescent="0.35">
      <c r="B27" s="67" t="s">
        <v>55</v>
      </c>
      <c r="C27" s="53"/>
      <c r="D27" s="88"/>
      <c r="E27" s="88"/>
      <c r="F27" s="88"/>
      <c r="G27" s="52"/>
      <c r="H27" s="52"/>
      <c r="I27" s="52"/>
      <c r="J27" s="53"/>
      <c r="K27" s="52"/>
      <c r="L27" s="52"/>
      <c r="M27" s="52"/>
      <c r="N27" s="53"/>
      <c r="O27" s="52"/>
      <c r="P27" s="52"/>
      <c r="Q27" s="52"/>
      <c r="R27" s="53"/>
      <c r="S27" s="52"/>
      <c r="T27" s="52"/>
      <c r="U27" s="52"/>
      <c r="V27" s="53"/>
      <c r="W27" s="52"/>
      <c r="X27" s="52"/>
      <c r="Y27" s="52"/>
      <c r="Z27" s="52"/>
      <c r="AB27" s="52"/>
      <c r="AC27" s="52"/>
      <c r="AD27" s="52"/>
      <c r="AE27" s="52"/>
      <c r="AG27" s="52"/>
      <c r="AH27" s="52"/>
    </row>
    <row r="28" spans="2:34" s="5" customFormat="1" ht="18.75" customHeight="1" x14ac:dyDescent="0.35">
      <c r="B28" s="64" t="s">
        <v>56</v>
      </c>
      <c r="C28" s="89">
        <v>-881</v>
      </c>
      <c r="D28" s="90">
        <v>-815</v>
      </c>
      <c r="E28" s="90">
        <v>-307</v>
      </c>
      <c r="F28" s="90">
        <v>-196</v>
      </c>
      <c r="G28" s="91">
        <f>[18]DRE!$C$22</f>
        <v>-1</v>
      </c>
      <c r="H28" s="91">
        <v>0</v>
      </c>
      <c r="I28" s="91">
        <v>0</v>
      </c>
      <c r="J28" s="89">
        <f>-126-SUM(G28:I28)</f>
        <v>-125</v>
      </c>
      <c r="K28" s="91">
        <v>-302</v>
      </c>
      <c r="L28" s="91">
        <v>-49</v>
      </c>
      <c r="M28" s="91">
        <v>-764</v>
      </c>
      <c r="N28" s="89">
        <v>101</v>
      </c>
      <c r="O28" s="91">
        <v>-29</v>
      </c>
      <c r="P28" s="91">
        <v>-242</v>
      </c>
      <c r="Q28" s="91">
        <v>-280</v>
      </c>
      <c r="R28" s="89">
        <v>-380</v>
      </c>
      <c r="S28" s="91">
        <v>-433</v>
      </c>
      <c r="T28" s="91">
        <v>-284</v>
      </c>
      <c r="U28" s="91">
        <v>135</v>
      </c>
      <c r="V28" s="89">
        <v>-285</v>
      </c>
      <c r="W28" s="91">
        <v>-163</v>
      </c>
      <c r="X28" s="91">
        <v>-456</v>
      </c>
      <c r="Y28" s="91">
        <v>-21</v>
      </c>
      <c r="Z28" s="91">
        <v>-71</v>
      </c>
      <c r="AB28" s="91">
        <v>-29</v>
      </c>
      <c r="AC28" s="91">
        <v>-248</v>
      </c>
      <c r="AD28" s="91">
        <v>-483</v>
      </c>
      <c r="AE28" s="91">
        <v>-1053</v>
      </c>
      <c r="AG28" s="91">
        <v>-451</v>
      </c>
      <c r="AH28" s="542">
        <v>-47</v>
      </c>
    </row>
    <row r="29" spans="2:34" s="5" customFormat="1" ht="18.75" customHeight="1" x14ac:dyDescent="0.35">
      <c r="B29" s="64" t="s">
        <v>57</v>
      </c>
      <c r="C29" s="89">
        <v>458</v>
      </c>
      <c r="D29" s="90">
        <v>1589</v>
      </c>
      <c r="E29" s="90">
        <v>629</v>
      </c>
      <c r="F29" s="90">
        <v>-218</v>
      </c>
      <c r="G29" s="91">
        <f>[18]DRE!$C$23</f>
        <v>-162</v>
      </c>
      <c r="H29" s="91">
        <v>-180</v>
      </c>
      <c r="I29" s="91">
        <v>-696</v>
      </c>
      <c r="J29" s="89">
        <f>-1490-SUM(G29:I29)</f>
        <v>-452</v>
      </c>
      <c r="K29" s="91">
        <v>18</v>
      </c>
      <c r="L29" s="91">
        <v>-137</v>
      </c>
      <c r="M29" s="91">
        <v>46</v>
      </c>
      <c r="N29" s="89">
        <v>-5</v>
      </c>
      <c r="O29" s="91">
        <v>-141</v>
      </c>
      <c r="P29" s="91">
        <v>98</v>
      </c>
      <c r="Q29" s="91">
        <v>69</v>
      </c>
      <c r="R29" s="89">
        <v>-20</v>
      </c>
      <c r="S29" s="91">
        <v>166</v>
      </c>
      <c r="T29" s="91">
        <v>64</v>
      </c>
      <c r="U29" s="91">
        <v>12</v>
      </c>
      <c r="V29" s="89">
        <v>-52</v>
      </c>
      <c r="W29" s="91">
        <v>-54</v>
      </c>
      <c r="X29" s="91">
        <v>98</v>
      </c>
      <c r="Y29" s="91">
        <v>260</v>
      </c>
      <c r="Z29" s="91">
        <v>14</v>
      </c>
      <c r="AB29" s="91">
        <v>-37</v>
      </c>
      <c r="AC29" s="91">
        <v>198</v>
      </c>
      <c r="AD29" s="91">
        <v>68</v>
      </c>
      <c r="AE29" s="91">
        <v>-109</v>
      </c>
      <c r="AG29" s="91">
        <v>16</v>
      </c>
      <c r="AH29" s="543">
        <v>-94</v>
      </c>
    </row>
    <row r="30" spans="2:34" s="5" customFormat="1" ht="8.25" customHeight="1" x14ac:dyDescent="0.35">
      <c r="B30" s="67"/>
      <c r="C30" s="92"/>
      <c r="D30" s="93"/>
      <c r="E30" s="93"/>
      <c r="F30" s="93"/>
      <c r="G30" s="94"/>
      <c r="H30" s="94"/>
      <c r="I30" s="94"/>
      <c r="J30" s="92"/>
      <c r="K30" s="94"/>
      <c r="L30" s="94"/>
      <c r="M30" s="94"/>
      <c r="N30" s="92"/>
      <c r="O30" s="94"/>
      <c r="P30" s="94"/>
      <c r="Q30" s="94"/>
      <c r="R30" s="92"/>
      <c r="S30" s="94"/>
      <c r="T30" s="94"/>
      <c r="U30" s="94"/>
      <c r="V30" s="92"/>
      <c r="W30" s="94"/>
      <c r="X30" s="94"/>
      <c r="Y30" s="94"/>
      <c r="Z30" s="94"/>
      <c r="AB30" s="94"/>
      <c r="AC30" s="94"/>
      <c r="AD30" s="94"/>
      <c r="AE30" s="94"/>
      <c r="AG30" s="94"/>
      <c r="AH30" s="94"/>
    </row>
    <row r="31" spans="2:34" s="5" customFormat="1" x14ac:dyDescent="0.35">
      <c r="B31" s="65" t="s">
        <v>612</v>
      </c>
      <c r="C31" s="85">
        <v>1123</v>
      </c>
      <c r="D31" s="86">
        <v>-1161</v>
      </c>
      <c r="E31" s="86">
        <v>-315</v>
      </c>
      <c r="F31" s="86">
        <v>1151</v>
      </c>
      <c r="G31" s="87">
        <f>[18]DRE!$C$25</f>
        <v>247</v>
      </c>
      <c r="H31" s="87">
        <v>263</v>
      </c>
      <c r="I31" s="87">
        <v>1078</v>
      </c>
      <c r="J31" s="85">
        <f>3193-SUM(G31:I31)</f>
        <v>1605</v>
      </c>
      <c r="K31" s="87">
        <v>477</v>
      </c>
      <c r="L31" s="87">
        <v>302</v>
      </c>
      <c r="M31" s="87">
        <v>1336</v>
      </c>
      <c r="N31" s="85">
        <v>96</v>
      </c>
      <c r="O31" s="87">
        <v>234</v>
      </c>
      <c r="P31" s="87">
        <v>188</v>
      </c>
      <c r="Q31" s="87">
        <v>335</v>
      </c>
      <c r="R31" s="85">
        <v>3148</v>
      </c>
      <c r="S31" s="87">
        <v>492</v>
      </c>
      <c r="T31" s="87">
        <v>382</v>
      </c>
      <c r="U31" s="87">
        <v>598</v>
      </c>
      <c r="V31" s="85">
        <v>1025</v>
      </c>
      <c r="W31" s="87">
        <v>325</v>
      </c>
      <c r="X31" s="87">
        <v>707</v>
      </c>
      <c r="Y31" s="87">
        <v>-61</v>
      </c>
      <c r="Z31" s="87">
        <f>SUM(Z26:Z29)</f>
        <v>566</v>
      </c>
      <c r="AB31" s="87">
        <f>SUM(AB26:AB29)</f>
        <v>81</v>
      </c>
      <c r="AC31" s="87">
        <f>SUM(AC26:AC29)</f>
        <v>133</v>
      </c>
      <c r="AD31" s="87">
        <f>SUM(AD26:AD29)</f>
        <v>1255</v>
      </c>
      <c r="AE31" s="87">
        <v>3297</v>
      </c>
      <c r="AG31" s="87">
        <v>789</v>
      </c>
      <c r="AH31" s="87">
        <f>SUM(AH26:AH30)</f>
        <v>867</v>
      </c>
    </row>
    <row r="32" spans="2:34" x14ac:dyDescent="0.35">
      <c r="B32" s="68" t="s">
        <v>58</v>
      </c>
      <c r="C32" s="95">
        <f t="shared" ref="C32:I32" si="0">C31/1165</f>
        <v>0.96394849785407721</v>
      </c>
      <c r="D32" s="96">
        <f t="shared" si="0"/>
        <v>-0.99656652360515019</v>
      </c>
      <c r="E32" s="96">
        <f t="shared" si="0"/>
        <v>-0.27038626609442062</v>
      </c>
      <c r="F32" s="96">
        <f t="shared" si="0"/>
        <v>0.98798283261802577</v>
      </c>
      <c r="G32" s="97">
        <f t="shared" si="0"/>
        <v>0.21201716738197424</v>
      </c>
      <c r="H32" s="97">
        <f t="shared" si="0"/>
        <v>0.22575107296137339</v>
      </c>
      <c r="I32" s="97">
        <f t="shared" si="0"/>
        <v>0.92532188841201712</v>
      </c>
      <c r="J32" s="95">
        <f t="shared" ref="J32:U32" si="1">J31/1165</f>
        <v>1.3776824034334765</v>
      </c>
      <c r="K32" s="97">
        <f t="shared" si="1"/>
        <v>0.40944206008583689</v>
      </c>
      <c r="L32" s="97">
        <f t="shared" si="1"/>
        <v>0.2592274678111588</v>
      </c>
      <c r="M32" s="97">
        <f t="shared" si="1"/>
        <v>1.1467811158798282</v>
      </c>
      <c r="N32" s="98">
        <f t="shared" si="1"/>
        <v>8.2403433476394852E-2</v>
      </c>
      <c r="O32" s="97">
        <f t="shared" si="1"/>
        <v>0.20085836909871244</v>
      </c>
      <c r="P32" s="97">
        <f t="shared" si="1"/>
        <v>0.16137339055793992</v>
      </c>
      <c r="Q32" s="97">
        <f t="shared" si="1"/>
        <v>0.28755364806866951</v>
      </c>
      <c r="R32" s="98">
        <f t="shared" si="1"/>
        <v>2.702145922746781</v>
      </c>
      <c r="S32" s="97">
        <f t="shared" si="1"/>
        <v>0.42231759656652362</v>
      </c>
      <c r="T32" s="97">
        <f t="shared" si="1"/>
        <v>0.3278969957081545</v>
      </c>
      <c r="U32" s="97">
        <f t="shared" si="1"/>
        <v>0.51330472103004288</v>
      </c>
      <c r="V32" s="98">
        <v>0.87982832618025753</v>
      </c>
      <c r="W32" s="98">
        <f t="shared" ref="W32" si="2">W31/1165</f>
        <v>0.27896995708154504</v>
      </c>
      <c r="X32" s="98">
        <v>0.6068669527896996</v>
      </c>
      <c r="Y32" s="98">
        <v>-5.2360515021459227E-2</v>
      </c>
      <c r="Z32" s="98">
        <f t="shared" ref="Z32" si="3">Z31/1165</f>
        <v>0.48583690987124462</v>
      </c>
      <c r="AB32" s="98">
        <f t="shared" ref="AB32:AE32" si="4">AB31/1165</f>
        <v>6.9527896995708161E-2</v>
      </c>
      <c r="AC32" s="98">
        <f t="shared" si="4"/>
        <v>0.11416309012875536</v>
      </c>
      <c r="AD32" s="98">
        <f t="shared" si="4"/>
        <v>1.0772532188841202</v>
      </c>
      <c r="AE32" s="98">
        <f t="shared" si="4"/>
        <v>2.8300429184549358</v>
      </c>
      <c r="AG32" s="98">
        <f>AG31/1119</f>
        <v>0.70509383378016088</v>
      </c>
      <c r="AH32" s="98">
        <f>AH31/1119</f>
        <v>0.77479892761394098</v>
      </c>
    </row>
    <row r="33" spans="2:22" x14ac:dyDescent="0.35">
      <c r="B33" s="69"/>
      <c r="F33" s="38"/>
      <c r="J33" s="38"/>
      <c r="N33" s="38"/>
      <c r="R33" s="38"/>
      <c r="V33" s="38"/>
    </row>
    <row r="34" spans="2:22" x14ac:dyDescent="0.35">
      <c r="B34" s="67" t="s">
        <v>59</v>
      </c>
      <c r="F34" s="38"/>
      <c r="J34" s="38"/>
      <c r="N34" s="38"/>
      <c r="R34" s="38"/>
      <c r="V34" s="38"/>
    </row>
    <row r="35" spans="2:22" x14ac:dyDescent="0.35">
      <c r="F35" s="38"/>
      <c r="J35" s="38"/>
      <c r="N35" s="38"/>
      <c r="R35" s="38"/>
      <c r="V35" s="38"/>
    </row>
  </sheetData>
  <phoneticPr fontId="96"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C39F8-BF88-49A6-84DA-7CEC7E27D1D0}">
  <sheetPr codeName="Planilha5">
    <tabColor rgb="FFFFC000"/>
  </sheetPr>
  <dimension ref="A1:AH78"/>
  <sheetViews>
    <sheetView showGridLines="0" zoomScale="70" zoomScaleNormal="70" workbookViewId="0">
      <pane xSplit="2" ySplit="5" topLeftCell="U75" activePane="bottomRight" state="frozen"/>
      <selection pane="topRight"/>
      <selection pane="bottomLeft"/>
      <selection pane="bottomRight"/>
    </sheetView>
  </sheetViews>
  <sheetFormatPr defaultColWidth="9.1796875" defaultRowHeight="15.5" outlineLevelCol="1" x14ac:dyDescent="0.35"/>
  <cols>
    <col min="1" max="1" width="2" customWidth="1"/>
    <col min="2" max="2" width="68.81640625" style="56" customWidth="1"/>
    <col min="3" max="3" width="11.1796875" style="99" customWidth="1" outlineLevel="1"/>
    <col min="4" max="5" width="11.1796875" style="38" customWidth="1" outlineLevel="1"/>
    <col min="6" max="6" width="11.1796875" style="39" customWidth="1" outlineLevel="1"/>
    <col min="7" max="9" width="11.1796875" style="38" customWidth="1" outlineLevel="1"/>
    <col min="10" max="10" width="11.1796875" style="39" customWidth="1" outlineLevel="1"/>
    <col min="11" max="13" width="11.1796875" style="38" customWidth="1" outlineLevel="1"/>
    <col min="14" max="14" width="11.1796875" style="39" customWidth="1" outlineLevel="1"/>
    <col min="15" max="17" width="11.1796875" style="38" customWidth="1" outlineLevel="1"/>
    <col min="18" max="18" width="11.1796875" style="39" customWidth="1" outlineLevel="1"/>
    <col min="19" max="21" width="11.1796875" style="38" customWidth="1"/>
    <col min="22" max="22" width="11.1796875" style="39" customWidth="1"/>
    <col min="23" max="25" width="11.1796875" style="38" customWidth="1"/>
    <col min="26" max="26" width="10.1796875" bestFit="1" customWidth="1"/>
    <col min="27" max="27" width="1.08984375" customWidth="1"/>
    <col min="28" max="31" width="11.1796875" style="38" customWidth="1"/>
    <col min="32" max="32" width="0.6328125" customWidth="1"/>
    <col min="33" max="34" width="11.1796875" style="38" customWidth="1"/>
  </cols>
  <sheetData>
    <row r="1" spans="1:34" ht="41.25" customHeight="1" x14ac:dyDescent="0.35">
      <c r="A1" s="1"/>
      <c r="C1" s="72"/>
      <c r="D1" s="34"/>
      <c r="E1" s="34"/>
      <c r="F1" s="35"/>
      <c r="G1" s="34"/>
      <c r="H1" s="34"/>
      <c r="I1" s="34"/>
      <c r="J1" s="35"/>
      <c r="K1" s="34"/>
      <c r="L1" s="34"/>
      <c r="M1" s="34"/>
      <c r="N1" s="35"/>
      <c r="O1" s="34"/>
      <c r="P1" s="34"/>
      <c r="Q1" s="34"/>
      <c r="R1" s="35"/>
      <c r="S1" s="34"/>
      <c r="T1" s="34"/>
      <c r="U1" s="34"/>
      <c r="V1" s="35"/>
      <c r="W1" s="34"/>
      <c r="X1" s="34"/>
      <c r="Y1" s="34"/>
      <c r="AB1" s="34"/>
      <c r="AC1" s="34"/>
      <c r="AD1" s="34"/>
      <c r="AE1" s="34"/>
      <c r="AG1" s="34"/>
      <c r="AH1" s="34"/>
    </row>
    <row r="2" spans="1:34" ht="18" x14ac:dyDescent="0.35">
      <c r="B2" s="57" t="s">
        <v>217</v>
      </c>
      <c r="C2" s="74"/>
      <c r="D2" s="74"/>
      <c r="E2" s="74"/>
      <c r="F2" s="74"/>
      <c r="G2" s="36"/>
      <c r="H2" s="36"/>
      <c r="I2" s="36"/>
      <c r="J2" s="74"/>
      <c r="K2" s="36"/>
      <c r="L2" s="36"/>
      <c r="M2" s="36"/>
      <c r="N2" s="74"/>
      <c r="O2" s="36"/>
      <c r="P2" s="36"/>
      <c r="Q2" s="36"/>
      <c r="R2" s="74"/>
      <c r="S2" s="36"/>
      <c r="T2" s="36"/>
      <c r="U2" s="36"/>
      <c r="V2" s="74"/>
      <c r="W2" s="36"/>
      <c r="X2" s="36"/>
      <c r="Y2" s="36"/>
      <c r="Z2" s="36"/>
      <c r="AB2" s="36"/>
      <c r="AC2" s="36"/>
      <c r="AD2" s="36"/>
      <c r="AE2" s="36"/>
      <c r="AG2" s="36"/>
      <c r="AH2" s="36"/>
    </row>
    <row r="3" spans="1:34" ht="9.75" customHeight="1" x14ac:dyDescent="0.35">
      <c r="C3" s="39"/>
      <c r="D3" s="39"/>
      <c r="E3" s="39"/>
    </row>
    <row r="4" spans="1:34" x14ac:dyDescent="0.35">
      <c r="B4" s="58"/>
      <c r="C4" s="42">
        <v>2014</v>
      </c>
      <c r="D4" s="42">
        <v>2015</v>
      </c>
      <c r="E4" s="42">
        <v>2016</v>
      </c>
      <c r="F4" s="42">
        <v>2017</v>
      </c>
      <c r="G4" s="40" t="s">
        <v>196</v>
      </c>
      <c r="H4" s="41" t="s">
        <v>197</v>
      </c>
      <c r="I4" s="41" t="s">
        <v>198</v>
      </c>
      <c r="J4" s="42" t="s">
        <v>199</v>
      </c>
      <c r="K4" s="41" t="s">
        <v>200</v>
      </c>
      <c r="L4" s="41" t="s">
        <v>201</v>
      </c>
      <c r="M4" s="41" t="s">
        <v>202</v>
      </c>
      <c r="N4" s="42" t="s">
        <v>203</v>
      </c>
      <c r="O4" s="41" t="s">
        <v>204</v>
      </c>
      <c r="P4" s="41" t="s">
        <v>205</v>
      </c>
      <c r="Q4" s="41" t="s">
        <v>206</v>
      </c>
      <c r="R4" s="42" t="s">
        <v>207</v>
      </c>
      <c r="S4" s="41" t="s">
        <v>208</v>
      </c>
      <c r="T4" s="41" t="s">
        <v>209</v>
      </c>
      <c r="U4" s="41" t="s">
        <v>210</v>
      </c>
      <c r="V4" s="42" t="s">
        <v>428</v>
      </c>
      <c r="W4" s="41" t="s">
        <v>435</v>
      </c>
      <c r="X4" s="41" t="s">
        <v>440</v>
      </c>
      <c r="Y4" s="41" t="s">
        <v>470</v>
      </c>
      <c r="Z4" s="41" t="s">
        <v>480</v>
      </c>
      <c r="AB4" s="41" t="s">
        <v>500</v>
      </c>
      <c r="AC4" s="41" t="s">
        <v>524</v>
      </c>
      <c r="AD4" s="41" t="s">
        <v>588</v>
      </c>
      <c r="AE4" s="41" t="s">
        <v>604</v>
      </c>
      <c r="AG4" s="41" t="s">
        <v>633</v>
      </c>
      <c r="AH4" s="41" t="s">
        <v>672</v>
      </c>
    </row>
    <row r="5" spans="1:34" x14ac:dyDescent="0.35">
      <c r="B5" s="59"/>
      <c r="C5" s="367">
        <v>40542</v>
      </c>
      <c r="D5" s="367">
        <v>40907</v>
      </c>
      <c r="E5" s="367">
        <v>41273</v>
      </c>
      <c r="F5" s="367">
        <v>41638</v>
      </c>
      <c r="G5" s="368">
        <v>41728</v>
      </c>
      <c r="H5" s="368">
        <v>41819</v>
      </c>
      <c r="I5" s="368">
        <v>41911</v>
      </c>
      <c r="J5" s="367">
        <v>42003</v>
      </c>
      <c r="K5" s="368">
        <v>42093</v>
      </c>
      <c r="L5" s="368">
        <v>42184</v>
      </c>
      <c r="M5" s="368">
        <v>42276</v>
      </c>
      <c r="N5" s="367">
        <v>42368</v>
      </c>
      <c r="O5" s="368">
        <v>42459</v>
      </c>
      <c r="P5" s="368">
        <v>42550</v>
      </c>
      <c r="Q5" s="368">
        <v>42642</v>
      </c>
      <c r="R5" s="367">
        <v>42734</v>
      </c>
      <c r="S5" s="368">
        <v>42824</v>
      </c>
      <c r="T5" s="368">
        <v>42915</v>
      </c>
      <c r="U5" s="368">
        <v>43007</v>
      </c>
      <c r="V5" s="367">
        <v>43099</v>
      </c>
      <c r="W5" s="368">
        <v>43189</v>
      </c>
      <c r="X5" s="368">
        <v>43280</v>
      </c>
      <c r="Y5" s="368">
        <v>43372</v>
      </c>
      <c r="Z5" s="367">
        <v>43464</v>
      </c>
      <c r="AB5" s="368">
        <v>43554</v>
      </c>
      <c r="AC5" s="368">
        <v>43645</v>
      </c>
      <c r="AD5" s="368">
        <v>43737</v>
      </c>
      <c r="AE5" s="368">
        <v>43829</v>
      </c>
      <c r="AG5" s="368">
        <v>43920</v>
      </c>
      <c r="AH5" s="368">
        <v>44011</v>
      </c>
    </row>
    <row r="6" spans="1:34" ht="8.25" customHeight="1" x14ac:dyDescent="0.35">
      <c r="C6" s="76"/>
      <c r="D6" s="76"/>
      <c r="E6" s="76"/>
      <c r="F6" s="76"/>
      <c r="G6" s="75"/>
      <c r="H6" s="34"/>
      <c r="I6" s="34"/>
      <c r="J6" s="76"/>
      <c r="K6" s="34"/>
      <c r="L6" s="34"/>
      <c r="M6" s="34"/>
      <c r="N6" s="76"/>
      <c r="O6" s="34"/>
      <c r="P6" s="34"/>
      <c r="Q6" s="34"/>
      <c r="R6" s="76"/>
      <c r="S6" s="34"/>
      <c r="T6" s="34"/>
      <c r="U6" s="34"/>
      <c r="V6" s="76"/>
      <c r="W6" s="34"/>
      <c r="X6" s="34"/>
      <c r="Y6" s="34"/>
      <c r="AB6" s="34"/>
      <c r="AC6" s="34"/>
      <c r="AD6" s="34"/>
      <c r="AE6" s="34"/>
      <c r="AG6" s="34"/>
      <c r="AH6" s="34"/>
    </row>
    <row r="7" spans="1:34" s="10" customFormat="1" ht="18" x14ac:dyDescent="0.4">
      <c r="B7" s="60" t="s">
        <v>61</v>
      </c>
      <c r="C7" s="110"/>
      <c r="D7" s="110"/>
      <c r="E7" s="110"/>
      <c r="F7" s="110"/>
      <c r="G7" s="45"/>
      <c r="H7" s="45"/>
      <c r="I7" s="45"/>
      <c r="J7" s="110"/>
      <c r="K7" s="45"/>
      <c r="L7" s="47"/>
      <c r="M7" s="47"/>
      <c r="N7" s="110"/>
      <c r="O7" s="47"/>
      <c r="P7" s="47"/>
      <c r="Q7" s="47"/>
      <c r="R7" s="110"/>
      <c r="S7" s="47"/>
      <c r="T7" s="49"/>
      <c r="U7" s="47"/>
      <c r="V7" s="110"/>
      <c r="W7" s="47"/>
      <c r="X7" s="47"/>
      <c r="Y7" s="47"/>
      <c r="AB7" s="34"/>
      <c r="AC7" s="34"/>
      <c r="AD7" s="34"/>
      <c r="AE7" s="34"/>
      <c r="AG7" s="34"/>
      <c r="AH7" s="34"/>
    </row>
    <row r="8" spans="1:34" s="11" customFormat="1" ht="19" x14ac:dyDescent="0.45">
      <c r="B8" s="100" t="s">
        <v>135</v>
      </c>
      <c r="C8" s="111">
        <f t="shared" ref="C8:W8" si="0">C10+C22</f>
        <v>27619</v>
      </c>
      <c r="D8" s="111">
        <f t="shared" si="0"/>
        <v>31241</v>
      </c>
      <c r="E8" s="111">
        <f t="shared" si="0"/>
        <v>31398</v>
      </c>
      <c r="F8" s="111">
        <f t="shared" si="0"/>
        <v>23762</v>
      </c>
      <c r="G8" s="112">
        <f t="shared" si="0"/>
        <v>23372</v>
      </c>
      <c r="H8" s="112">
        <f t="shared" si="0"/>
        <v>23634</v>
      </c>
      <c r="I8" s="112">
        <f t="shared" si="0"/>
        <v>23833</v>
      </c>
      <c r="J8" s="111">
        <f t="shared" si="0"/>
        <v>25345</v>
      </c>
      <c r="K8" s="112">
        <f t="shared" si="0"/>
        <v>26669</v>
      </c>
      <c r="L8" s="112">
        <f t="shared" si="0"/>
        <v>24771</v>
      </c>
      <c r="M8" s="112">
        <f t="shared" si="0"/>
        <v>26685</v>
      </c>
      <c r="N8" s="111">
        <f t="shared" si="0"/>
        <v>25866</v>
      </c>
      <c r="O8" s="112">
        <f t="shared" si="0"/>
        <v>28823</v>
      </c>
      <c r="P8" s="112">
        <f t="shared" si="0"/>
        <v>27669</v>
      </c>
      <c r="Q8" s="112">
        <f t="shared" si="0"/>
        <v>27763</v>
      </c>
      <c r="R8" s="111">
        <f t="shared" si="0"/>
        <v>28327</v>
      </c>
      <c r="S8" s="112">
        <f t="shared" si="0"/>
        <v>29259</v>
      </c>
      <c r="T8" s="112">
        <f t="shared" si="0"/>
        <v>28564</v>
      </c>
      <c r="U8" s="112">
        <f t="shared" si="0"/>
        <v>29562</v>
      </c>
      <c r="V8" s="111">
        <f t="shared" si="0"/>
        <v>33884</v>
      </c>
      <c r="W8" s="112">
        <f t="shared" si="0"/>
        <v>36852</v>
      </c>
      <c r="X8" s="112">
        <v>39526</v>
      </c>
      <c r="Y8" s="112">
        <v>39525</v>
      </c>
      <c r="Z8" s="433">
        <f>Z10+Z22</f>
        <v>41110</v>
      </c>
      <c r="AB8" s="112">
        <v>40229</v>
      </c>
      <c r="AC8" s="112">
        <f>AC10+AC22</f>
        <v>39590</v>
      </c>
      <c r="AD8" s="112">
        <f>AD10+AD22</f>
        <v>40978</v>
      </c>
      <c r="AE8" s="112">
        <f>AE10+AE22</f>
        <v>43481</v>
      </c>
      <c r="AG8" s="112">
        <f>AG10+AG22</f>
        <v>43158</v>
      </c>
      <c r="AH8" s="112">
        <f>AH10+AH22</f>
        <v>44303</v>
      </c>
    </row>
    <row r="9" spans="1:34" s="11" customFormat="1" ht="6.75" customHeight="1" x14ac:dyDescent="0.45">
      <c r="B9" s="101"/>
      <c r="C9" s="92"/>
      <c r="D9" s="92"/>
      <c r="E9" s="92"/>
      <c r="F9" s="92"/>
      <c r="G9" s="94"/>
      <c r="H9" s="94"/>
      <c r="I9" s="94"/>
      <c r="J9" s="92"/>
      <c r="K9" s="94"/>
      <c r="L9" s="94"/>
      <c r="M9" s="94"/>
      <c r="N9" s="92"/>
      <c r="O9" s="94"/>
      <c r="P9" s="94"/>
      <c r="Q9" s="94"/>
      <c r="R9" s="92"/>
      <c r="S9" s="94"/>
      <c r="T9" s="94"/>
      <c r="U9" s="94"/>
      <c r="V9" s="92"/>
      <c r="W9" s="94"/>
      <c r="X9" s="94"/>
      <c r="Y9" s="94"/>
      <c r="Z9" s="94"/>
      <c r="AB9" s="94"/>
      <c r="AC9" s="94"/>
      <c r="AD9" s="94"/>
      <c r="AE9" s="94"/>
      <c r="AG9" s="94"/>
      <c r="AH9" s="94"/>
    </row>
    <row r="10" spans="1:34" s="13" customFormat="1" x14ac:dyDescent="0.35">
      <c r="B10" s="102" t="s">
        <v>56</v>
      </c>
      <c r="C10" s="113">
        <v>11272</v>
      </c>
      <c r="D10" s="113">
        <v>12844</v>
      </c>
      <c r="E10" s="113">
        <v>12289</v>
      </c>
      <c r="F10" s="113">
        <v>10703</v>
      </c>
      <c r="G10" s="114">
        <f>SUM(G11:G20)</f>
        <v>10418</v>
      </c>
      <c r="H10" s="114">
        <f>SUM(H11:H20)</f>
        <v>10875</v>
      </c>
      <c r="I10" s="114">
        <f>SUM(I11:I20)</f>
        <v>11722</v>
      </c>
      <c r="J10" s="113">
        <v>12803</v>
      </c>
      <c r="K10" s="114">
        <f>SUM(K11:K20)</f>
        <v>13229</v>
      </c>
      <c r="L10" s="114">
        <f>SUM(L11:L21)</f>
        <v>11612</v>
      </c>
      <c r="M10" s="114">
        <f>SUM(M11:M20)</f>
        <v>13345</v>
      </c>
      <c r="N10" s="113">
        <v>12225</v>
      </c>
      <c r="O10" s="114">
        <v>15068</v>
      </c>
      <c r="P10" s="114">
        <v>13944</v>
      </c>
      <c r="Q10" s="114">
        <v>13571</v>
      </c>
      <c r="R10" s="113">
        <v>13351</v>
      </c>
      <c r="S10" s="114">
        <v>14690</v>
      </c>
      <c r="T10" s="114">
        <v>14457</v>
      </c>
      <c r="U10" s="114">
        <v>15205</v>
      </c>
      <c r="V10" s="113">
        <v>17760</v>
      </c>
      <c r="W10" s="114">
        <f>SUM(W11:W20)</f>
        <v>18964</v>
      </c>
      <c r="X10" s="114">
        <v>21046</v>
      </c>
      <c r="Y10" s="114">
        <v>20444</v>
      </c>
      <c r="Z10" s="114">
        <f>SUM(Z11:Z20)</f>
        <v>22244</v>
      </c>
      <c r="AB10" s="114">
        <v>21543</v>
      </c>
      <c r="AC10" s="114">
        <f>SUM(AC11:AC20)</f>
        <v>20373</v>
      </c>
      <c r="AD10" s="114">
        <f>SUM(AD11:AD20)</f>
        <v>22271</v>
      </c>
      <c r="AE10" s="114">
        <f>SUM(AE11:AE20)</f>
        <v>23599</v>
      </c>
      <c r="AG10" s="114">
        <f>SUM(AG11:AG20)</f>
        <v>23079</v>
      </c>
      <c r="AH10" s="114">
        <f>SUM(AH11:AH20)</f>
        <v>24764</v>
      </c>
    </row>
    <row r="11" spans="1:34" s="7" customFormat="1" x14ac:dyDescent="0.25">
      <c r="B11" s="124" t="s">
        <v>62</v>
      </c>
      <c r="C11" s="115">
        <v>742</v>
      </c>
      <c r="D11" s="115">
        <v>810</v>
      </c>
      <c r="E11" s="115">
        <v>655</v>
      </c>
      <c r="F11" s="115">
        <v>483</v>
      </c>
      <c r="G11" s="116">
        <v>1105</v>
      </c>
      <c r="H11" s="116">
        <v>1352</v>
      </c>
      <c r="I11" s="116">
        <v>1500</v>
      </c>
      <c r="J11" s="115">
        <v>3057</v>
      </c>
      <c r="K11" s="116">
        <v>3849</v>
      </c>
      <c r="L11" s="116">
        <v>1885</v>
      </c>
      <c r="M11" s="116">
        <v>3909</v>
      </c>
      <c r="N11" s="115">
        <v>2362</v>
      </c>
      <c r="O11" s="116">
        <v>5997</v>
      </c>
      <c r="P11" s="116">
        <v>5307</v>
      </c>
      <c r="Q11" s="116">
        <v>4476</v>
      </c>
      <c r="R11" s="115">
        <v>3358</v>
      </c>
      <c r="S11" s="116">
        <v>3893</v>
      </c>
      <c r="T11" s="116">
        <v>2311</v>
      </c>
      <c r="U11" s="116">
        <v>2030</v>
      </c>
      <c r="V11" s="115">
        <v>3625</v>
      </c>
      <c r="W11" s="116">
        <v>4309</v>
      </c>
      <c r="X11" s="116">
        <v>2759</v>
      </c>
      <c r="Y11" s="116">
        <v>3113</v>
      </c>
      <c r="Z11" s="116">
        <v>4145</v>
      </c>
      <c r="AB11" s="116">
        <v>5816</v>
      </c>
      <c r="AC11" s="116">
        <v>5662</v>
      </c>
      <c r="AD11" s="116">
        <v>6436</v>
      </c>
      <c r="AE11" s="116">
        <v>6666</v>
      </c>
      <c r="AG11" s="116">
        <v>5476</v>
      </c>
      <c r="AH11" s="116">
        <v>8225</v>
      </c>
    </row>
    <row r="12" spans="1:34" s="7" customFormat="1" x14ac:dyDescent="0.25">
      <c r="B12" s="124" t="s">
        <v>63</v>
      </c>
      <c r="C12" s="115">
        <v>6863</v>
      </c>
      <c r="D12" s="115">
        <v>8114</v>
      </c>
      <c r="E12" s="115">
        <v>7679</v>
      </c>
      <c r="F12" s="115">
        <v>5528</v>
      </c>
      <c r="G12" s="116">
        <v>4894</v>
      </c>
      <c r="H12" s="116">
        <v>4878</v>
      </c>
      <c r="I12" s="116">
        <v>5336</v>
      </c>
      <c r="J12" s="115">
        <v>5327</v>
      </c>
      <c r="K12" s="116">
        <v>4992</v>
      </c>
      <c r="L12" s="116">
        <v>5128</v>
      </c>
      <c r="M12" s="116">
        <v>4602</v>
      </c>
      <c r="N12" s="115">
        <v>4475</v>
      </c>
      <c r="O12" s="116">
        <v>3805</v>
      </c>
      <c r="P12" s="116">
        <v>3696</v>
      </c>
      <c r="Q12" s="116">
        <v>3696</v>
      </c>
      <c r="R12" s="115">
        <v>3997</v>
      </c>
      <c r="S12" s="116">
        <v>4062</v>
      </c>
      <c r="T12" s="116">
        <v>4620</v>
      </c>
      <c r="U12" s="116">
        <v>5563</v>
      </c>
      <c r="V12" s="115">
        <v>5587</v>
      </c>
      <c r="W12" s="116">
        <v>5589</v>
      </c>
      <c r="X12" s="116">
        <v>6713</v>
      </c>
      <c r="Y12" s="116">
        <v>5585</v>
      </c>
      <c r="Z12" s="116">
        <v>6931</v>
      </c>
      <c r="AB12" s="116">
        <v>6142</v>
      </c>
      <c r="AC12" s="116">
        <v>5027</v>
      </c>
      <c r="AD12" s="116">
        <v>6265</v>
      </c>
      <c r="AE12" s="116">
        <v>6135</v>
      </c>
      <c r="AG12" s="116">
        <v>6043</v>
      </c>
      <c r="AH12" s="116">
        <v>5877</v>
      </c>
    </row>
    <row r="13" spans="1:34" s="7" customFormat="1" x14ac:dyDescent="0.25">
      <c r="B13" s="124" t="s">
        <v>64</v>
      </c>
      <c r="C13" s="115">
        <v>2606</v>
      </c>
      <c r="D13" s="115">
        <v>2843</v>
      </c>
      <c r="E13" s="115">
        <v>2678</v>
      </c>
      <c r="F13" s="115">
        <v>3245</v>
      </c>
      <c r="G13" s="116">
        <v>3076</v>
      </c>
      <c r="H13" s="116">
        <v>3154</v>
      </c>
      <c r="I13" s="116">
        <v>3313</v>
      </c>
      <c r="J13" s="115">
        <v>2923</v>
      </c>
      <c r="K13" s="116">
        <v>2878</v>
      </c>
      <c r="L13" s="116">
        <v>3030</v>
      </c>
      <c r="M13" s="116">
        <v>3053</v>
      </c>
      <c r="N13" s="115">
        <v>3412</v>
      </c>
      <c r="O13" s="116">
        <v>2996</v>
      </c>
      <c r="P13" s="116">
        <v>2347</v>
      </c>
      <c r="Q13" s="116">
        <v>2948</v>
      </c>
      <c r="R13" s="115">
        <v>3545</v>
      </c>
      <c r="S13" s="116">
        <v>3561</v>
      </c>
      <c r="T13" s="116">
        <v>4637</v>
      </c>
      <c r="U13" s="116">
        <v>4814</v>
      </c>
      <c r="V13" s="115">
        <v>5674</v>
      </c>
      <c r="W13" s="116">
        <v>6176</v>
      </c>
      <c r="X13" s="116">
        <v>8433</v>
      </c>
      <c r="Y13" s="116">
        <v>7984</v>
      </c>
      <c r="Z13" s="116">
        <v>6753</v>
      </c>
      <c r="AB13" s="116">
        <v>5571</v>
      </c>
      <c r="AC13" s="116">
        <v>5731</v>
      </c>
      <c r="AD13" s="116">
        <v>6327</v>
      </c>
      <c r="AE13" s="116">
        <v>5954</v>
      </c>
      <c r="AG13" s="116">
        <v>7108</v>
      </c>
      <c r="AH13" s="116">
        <v>6264</v>
      </c>
    </row>
    <row r="14" spans="1:34" s="7" customFormat="1" x14ac:dyDescent="0.25">
      <c r="B14" s="124" t="s">
        <v>65</v>
      </c>
      <c r="C14" s="115">
        <v>140</v>
      </c>
      <c r="D14" s="115">
        <v>112</v>
      </c>
      <c r="E14" s="115">
        <v>62</v>
      </c>
      <c r="F14" s="115">
        <v>74</v>
      </c>
      <c r="G14" s="116">
        <v>34</v>
      </c>
      <c r="H14" s="116">
        <v>21</v>
      </c>
      <c r="I14" s="116">
        <v>35</v>
      </c>
      <c r="J14" s="115">
        <v>12</v>
      </c>
      <c r="K14" s="116">
        <v>25</v>
      </c>
      <c r="L14" s="116">
        <v>10</v>
      </c>
      <c r="M14" s="116">
        <v>23</v>
      </c>
      <c r="N14" s="115">
        <v>29</v>
      </c>
      <c r="O14" s="116">
        <v>38</v>
      </c>
      <c r="P14" s="116">
        <v>34</v>
      </c>
      <c r="Q14" s="116">
        <v>18</v>
      </c>
      <c r="R14" s="115">
        <v>55</v>
      </c>
      <c r="S14" s="116">
        <v>22</v>
      </c>
      <c r="T14" s="116">
        <v>16</v>
      </c>
      <c r="U14" s="116">
        <v>61</v>
      </c>
      <c r="V14" s="115">
        <v>47</v>
      </c>
      <c r="W14" s="116">
        <v>289</v>
      </c>
      <c r="X14" s="116">
        <v>146</v>
      </c>
      <c r="Y14" s="116">
        <v>150</v>
      </c>
      <c r="Z14" s="116">
        <v>183</v>
      </c>
      <c r="AB14" s="116">
        <v>87</v>
      </c>
      <c r="AC14" s="116">
        <v>342</v>
      </c>
      <c r="AD14" s="116">
        <v>164</v>
      </c>
      <c r="AE14" s="116">
        <v>288</v>
      </c>
      <c r="AG14" s="116">
        <v>397</v>
      </c>
      <c r="AH14" s="116">
        <v>280</v>
      </c>
    </row>
    <row r="15" spans="1:34" s="7" customFormat="1" x14ac:dyDescent="0.25">
      <c r="B15" s="124" t="s">
        <v>66</v>
      </c>
      <c r="C15" s="115">
        <v>0</v>
      </c>
      <c r="D15" s="115">
        <v>0</v>
      </c>
      <c r="E15" s="115">
        <v>219</v>
      </c>
      <c r="F15" s="115">
        <v>151</v>
      </c>
      <c r="G15" s="116">
        <v>166</v>
      </c>
      <c r="H15" s="116">
        <v>177</v>
      </c>
      <c r="I15" s="116">
        <v>106</v>
      </c>
      <c r="J15" s="115">
        <v>13</v>
      </c>
      <c r="K15" s="116">
        <v>3</v>
      </c>
      <c r="L15" s="116">
        <v>43</v>
      </c>
      <c r="M15" s="116">
        <v>4</v>
      </c>
      <c r="N15" s="115">
        <v>224</v>
      </c>
      <c r="O15" s="116">
        <v>286</v>
      </c>
      <c r="P15" s="116">
        <v>227</v>
      </c>
      <c r="Q15" s="116">
        <v>109</v>
      </c>
      <c r="R15" s="115">
        <v>126</v>
      </c>
      <c r="S15" s="116">
        <v>126</v>
      </c>
      <c r="T15" s="116">
        <v>126</v>
      </c>
      <c r="U15" s="116">
        <v>126</v>
      </c>
      <c r="V15" s="115">
        <v>143</v>
      </c>
      <c r="W15" s="116">
        <v>14</v>
      </c>
      <c r="X15" s="116">
        <v>15</v>
      </c>
      <c r="Y15" s="116">
        <v>14</v>
      </c>
      <c r="Z15" s="116">
        <v>11</v>
      </c>
      <c r="AB15" s="116">
        <v>32</v>
      </c>
      <c r="AC15" s="116">
        <v>32</v>
      </c>
      <c r="AD15" s="116">
        <v>19</v>
      </c>
      <c r="AE15" s="116">
        <v>17</v>
      </c>
      <c r="AG15" s="116">
        <v>18</v>
      </c>
      <c r="AH15" s="116">
        <v>50</v>
      </c>
    </row>
    <row r="16" spans="1:34" s="7" customFormat="1" x14ac:dyDescent="0.25">
      <c r="B16" s="124" t="s">
        <v>67</v>
      </c>
      <c r="C16" s="115">
        <v>502</v>
      </c>
      <c r="D16" s="115">
        <v>424</v>
      </c>
      <c r="E16" s="115">
        <v>372</v>
      </c>
      <c r="F16" s="115">
        <v>522</v>
      </c>
      <c r="G16" s="116">
        <v>438</v>
      </c>
      <c r="H16" s="116">
        <v>556</v>
      </c>
      <c r="I16" s="116">
        <v>697</v>
      </c>
      <c r="J16" s="115">
        <v>722</v>
      </c>
      <c r="K16" s="116">
        <v>768</v>
      </c>
      <c r="L16" s="116">
        <v>748</v>
      </c>
      <c r="M16" s="116">
        <v>914</v>
      </c>
      <c r="N16" s="115">
        <v>906</v>
      </c>
      <c r="O16" s="116">
        <v>1017</v>
      </c>
      <c r="P16" s="116">
        <v>1529</v>
      </c>
      <c r="Q16" s="116">
        <v>1525</v>
      </c>
      <c r="R16" s="115">
        <v>1417</v>
      </c>
      <c r="S16" s="116">
        <v>2098</v>
      </c>
      <c r="T16" s="116">
        <v>1857</v>
      </c>
      <c r="U16" s="116">
        <v>1603</v>
      </c>
      <c r="V16" s="115">
        <v>1701</v>
      </c>
      <c r="W16" s="116">
        <v>1383</v>
      </c>
      <c r="X16" s="116">
        <v>1840</v>
      </c>
      <c r="Y16" s="116">
        <v>1845</v>
      </c>
      <c r="Z16" s="116">
        <v>2690</v>
      </c>
      <c r="AB16" s="116">
        <v>2619</v>
      </c>
      <c r="AC16" s="116">
        <v>2306</v>
      </c>
      <c r="AD16" s="116">
        <v>2138</v>
      </c>
      <c r="AE16" s="116">
        <v>3625</v>
      </c>
      <c r="AG16" s="116">
        <v>3134</v>
      </c>
      <c r="AH16" s="116">
        <v>3032</v>
      </c>
    </row>
    <row r="17" spans="2:34" s="7" customFormat="1" x14ac:dyDescent="0.25">
      <c r="B17" s="124" t="s">
        <v>68</v>
      </c>
      <c r="C17" s="115">
        <v>0</v>
      </c>
      <c r="D17" s="115">
        <v>0</v>
      </c>
      <c r="E17" s="115">
        <v>540</v>
      </c>
      <c r="F17" s="115">
        <v>514</v>
      </c>
      <c r="G17" s="116">
        <v>531</v>
      </c>
      <c r="H17" s="116">
        <v>546</v>
      </c>
      <c r="I17" s="116">
        <v>557</v>
      </c>
      <c r="J17" s="115">
        <v>591</v>
      </c>
      <c r="K17" s="116">
        <v>545</v>
      </c>
      <c r="L17" s="116">
        <v>575</v>
      </c>
      <c r="M17" s="116">
        <v>583</v>
      </c>
      <c r="N17" s="115">
        <v>604</v>
      </c>
      <c r="O17" s="116">
        <v>602</v>
      </c>
      <c r="P17" s="116">
        <v>601</v>
      </c>
      <c r="Q17" s="116">
        <v>550</v>
      </c>
      <c r="R17" s="115">
        <v>592</v>
      </c>
      <c r="S17" s="116">
        <v>593</v>
      </c>
      <c r="T17" s="116">
        <v>658</v>
      </c>
      <c r="U17" s="116">
        <v>652</v>
      </c>
      <c r="V17" s="115">
        <v>541</v>
      </c>
      <c r="W17" s="116">
        <v>571</v>
      </c>
      <c r="X17" s="116">
        <v>576</v>
      </c>
      <c r="Y17" s="116">
        <v>566</v>
      </c>
      <c r="Z17" s="116">
        <v>575</v>
      </c>
      <c r="AB17" s="116">
        <v>568</v>
      </c>
      <c r="AC17" s="116">
        <v>589</v>
      </c>
      <c r="AD17" s="116">
        <v>591</v>
      </c>
      <c r="AE17" s="116">
        <v>575</v>
      </c>
      <c r="AG17" s="116">
        <v>547</v>
      </c>
      <c r="AH17" s="116">
        <v>527</v>
      </c>
    </row>
    <row r="18" spans="2:34" s="7" customFormat="1" x14ac:dyDescent="0.25">
      <c r="B18" s="124" t="s">
        <v>69</v>
      </c>
      <c r="C18" s="115">
        <v>380</v>
      </c>
      <c r="D18" s="115">
        <v>498</v>
      </c>
      <c r="E18" s="115">
        <v>47</v>
      </c>
      <c r="F18" s="115">
        <v>40</v>
      </c>
      <c r="G18" s="116">
        <v>61</v>
      </c>
      <c r="H18" s="116">
        <v>60</v>
      </c>
      <c r="I18" s="116">
        <v>60</v>
      </c>
      <c r="J18" s="115">
        <v>45</v>
      </c>
      <c r="K18" s="116">
        <v>48</v>
      </c>
      <c r="L18" s="116">
        <v>51</v>
      </c>
      <c r="M18" s="116">
        <v>49</v>
      </c>
      <c r="N18" s="115">
        <v>56</v>
      </c>
      <c r="O18" s="116">
        <v>63</v>
      </c>
      <c r="P18" s="116">
        <v>65</v>
      </c>
      <c r="Q18" s="116">
        <v>59</v>
      </c>
      <c r="R18" s="115">
        <v>60</v>
      </c>
      <c r="S18" s="116">
        <v>94</v>
      </c>
      <c r="T18" s="116">
        <v>100</v>
      </c>
      <c r="U18" s="116">
        <v>92</v>
      </c>
      <c r="V18" s="115">
        <v>131</v>
      </c>
      <c r="W18" s="116">
        <v>124</v>
      </c>
      <c r="X18" s="116">
        <v>117</v>
      </c>
      <c r="Y18" s="116">
        <v>102</v>
      </c>
      <c r="Z18" s="116">
        <v>98</v>
      </c>
      <c r="AB18" s="116">
        <v>111</v>
      </c>
      <c r="AC18" s="116">
        <v>130</v>
      </c>
      <c r="AD18" s="116">
        <v>119</v>
      </c>
      <c r="AE18" s="116">
        <v>106</v>
      </c>
      <c r="AG18" s="116">
        <v>109</v>
      </c>
      <c r="AH18" s="116">
        <v>130</v>
      </c>
    </row>
    <row r="19" spans="2:34" s="7" customFormat="1" x14ac:dyDescent="0.25">
      <c r="B19" s="124" t="s">
        <v>70</v>
      </c>
      <c r="C19" s="115">
        <v>0</v>
      </c>
      <c r="D19" s="115">
        <v>0</v>
      </c>
      <c r="E19" s="115">
        <v>0</v>
      </c>
      <c r="F19" s="115">
        <v>0</v>
      </c>
      <c r="G19" s="116">
        <v>0</v>
      </c>
      <c r="H19" s="116">
        <v>0</v>
      </c>
      <c r="I19" s="116">
        <v>0</v>
      </c>
      <c r="J19" s="115">
        <v>0</v>
      </c>
      <c r="K19" s="116">
        <v>0</v>
      </c>
      <c r="L19" s="116">
        <v>0</v>
      </c>
      <c r="M19" s="116">
        <v>0</v>
      </c>
      <c r="N19" s="115">
        <v>9</v>
      </c>
      <c r="O19" s="116">
        <v>175</v>
      </c>
      <c r="P19" s="116">
        <v>16</v>
      </c>
      <c r="Q19" s="116">
        <v>91</v>
      </c>
      <c r="R19" s="115">
        <v>19</v>
      </c>
      <c r="S19" s="116">
        <v>108</v>
      </c>
      <c r="T19" s="116">
        <v>41</v>
      </c>
      <c r="U19" s="116">
        <v>112</v>
      </c>
      <c r="V19" s="115">
        <v>97</v>
      </c>
      <c r="W19" s="116">
        <v>28</v>
      </c>
      <c r="X19" s="116">
        <v>210</v>
      </c>
      <c r="Y19" s="116">
        <v>126</v>
      </c>
      <c r="Z19" s="116">
        <v>66</v>
      </c>
      <c r="AB19" s="116">
        <v>68</v>
      </c>
      <c r="AC19" s="116">
        <v>62</v>
      </c>
      <c r="AD19" s="116">
        <v>113</v>
      </c>
      <c r="AE19" s="116">
        <v>142</v>
      </c>
      <c r="AG19" s="116">
        <v>149</v>
      </c>
      <c r="AH19" s="116">
        <v>250</v>
      </c>
    </row>
    <row r="20" spans="2:34" s="7" customFormat="1" x14ac:dyDescent="0.25">
      <c r="B20" s="124" t="s">
        <v>71</v>
      </c>
      <c r="C20" s="115">
        <v>39</v>
      </c>
      <c r="D20" s="115">
        <v>43</v>
      </c>
      <c r="E20" s="115">
        <v>37</v>
      </c>
      <c r="F20" s="115">
        <v>146</v>
      </c>
      <c r="G20" s="116">
        <v>113</v>
      </c>
      <c r="H20" s="116">
        <v>131</v>
      </c>
      <c r="I20" s="116">
        <v>118</v>
      </c>
      <c r="J20" s="115">
        <v>113</v>
      </c>
      <c r="K20" s="116">
        <v>121</v>
      </c>
      <c r="L20" s="116">
        <v>142</v>
      </c>
      <c r="M20" s="116">
        <v>208</v>
      </c>
      <c r="N20" s="115">
        <v>148</v>
      </c>
      <c r="O20" s="116">
        <v>89</v>
      </c>
      <c r="P20" s="116">
        <v>122</v>
      </c>
      <c r="Q20" s="116">
        <v>99</v>
      </c>
      <c r="R20" s="115">
        <v>182</v>
      </c>
      <c r="S20" s="116">
        <v>133</v>
      </c>
      <c r="T20" s="116">
        <v>91</v>
      </c>
      <c r="U20" s="116">
        <v>152</v>
      </c>
      <c r="V20" s="115">
        <v>214</v>
      </c>
      <c r="W20" s="116">
        <v>481</v>
      </c>
      <c r="X20" s="116">
        <v>237</v>
      </c>
      <c r="Y20" s="116">
        <v>959</v>
      </c>
      <c r="Z20" s="116">
        <v>792</v>
      </c>
      <c r="AB20" s="116">
        <v>529</v>
      </c>
      <c r="AC20" s="116">
        <v>492</v>
      </c>
      <c r="AD20" s="116">
        <v>99</v>
      </c>
      <c r="AE20" s="116">
        <v>91</v>
      </c>
      <c r="AG20" s="116">
        <v>98</v>
      </c>
      <c r="AH20" s="116">
        <v>129</v>
      </c>
    </row>
    <row r="21" spans="2:34" s="7" customFormat="1" ht="5.25" customHeight="1" x14ac:dyDescent="0.35">
      <c r="B21" s="103"/>
      <c r="C21" s="117"/>
      <c r="D21" s="117"/>
      <c r="E21" s="117"/>
      <c r="F21" s="117"/>
      <c r="G21" s="118"/>
      <c r="H21" s="118"/>
      <c r="I21" s="118"/>
      <c r="J21" s="117"/>
      <c r="K21" s="118"/>
      <c r="L21" s="118"/>
      <c r="M21" s="118"/>
      <c r="N21" s="117"/>
      <c r="O21" s="118"/>
      <c r="P21" s="118"/>
      <c r="Q21" s="118"/>
      <c r="R21" s="117"/>
      <c r="S21" s="118"/>
      <c r="T21" s="118"/>
      <c r="U21" s="118"/>
      <c r="V21" s="117"/>
      <c r="W21" s="118"/>
      <c r="X21" s="118"/>
      <c r="Y21" s="118"/>
      <c r="Z21" s="118"/>
      <c r="AB21" s="118"/>
      <c r="AC21" s="118"/>
      <c r="AD21" s="118"/>
      <c r="AE21" s="118"/>
      <c r="AG21" s="118"/>
      <c r="AH21" s="118"/>
    </row>
    <row r="22" spans="2:34" s="13" customFormat="1" x14ac:dyDescent="0.35">
      <c r="B22" s="102" t="s">
        <v>72</v>
      </c>
      <c r="C22" s="113">
        <v>16347</v>
      </c>
      <c r="D22" s="113">
        <v>18397</v>
      </c>
      <c r="E22" s="113">
        <v>19109</v>
      </c>
      <c r="F22" s="113">
        <v>13059</v>
      </c>
      <c r="G22" s="114">
        <f>SUM(G23:G35)</f>
        <v>12954</v>
      </c>
      <c r="H22" s="114">
        <f>SUM(H23:H35)</f>
        <v>12759</v>
      </c>
      <c r="I22" s="114">
        <f>SUM(I23:I35)</f>
        <v>12111</v>
      </c>
      <c r="J22" s="113">
        <v>12542</v>
      </c>
      <c r="K22" s="114">
        <f>SUM(K23:K35)</f>
        <v>13440</v>
      </c>
      <c r="L22" s="114">
        <f>SUM(L23:L35)</f>
        <v>13159</v>
      </c>
      <c r="M22" s="114">
        <f>SUM(M23:M35)</f>
        <v>13340</v>
      </c>
      <c r="N22" s="113">
        <v>13641</v>
      </c>
      <c r="O22" s="114">
        <v>13755</v>
      </c>
      <c r="P22" s="114">
        <v>13725</v>
      </c>
      <c r="Q22" s="114">
        <v>14192</v>
      </c>
      <c r="R22" s="113">
        <v>14976</v>
      </c>
      <c r="S22" s="114">
        <v>14569</v>
      </c>
      <c r="T22" s="114">
        <v>14107</v>
      </c>
      <c r="U22" s="114">
        <v>14357</v>
      </c>
      <c r="V22" s="113">
        <v>16124</v>
      </c>
      <c r="W22" s="113">
        <f>SUM(W23:W35)</f>
        <v>17888</v>
      </c>
      <c r="X22" s="113">
        <v>18480</v>
      </c>
      <c r="Y22" s="113">
        <v>19081</v>
      </c>
      <c r="Z22" s="113">
        <f>SUM(Z23:Z35)</f>
        <v>18866</v>
      </c>
      <c r="AB22" s="113">
        <v>18686</v>
      </c>
      <c r="AC22" s="113">
        <f>SUM(AC23:AC35)</f>
        <v>19217</v>
      </c>
      <c r="AD22" s="113">
        <f>SUM(AD23:AD35)</f>
        <v>18707</v>
      </c>
      <c r="AE22" s="113">
        <f>SUM(AE23:AE35)</f>
        <v>19882</v>
      </c>
      <c r="AG22" s="113">
        <f>SUM(AG23:AG35)</f>
        <v>20079</v>
      </c>
      <c r="AH22" s="113">
        <f>SUM(AH23:AH35)</f>
        <v>19539</v>
      </c>
    </row>
    <row r="23" spans="2:34" s="7" customFormat="1" x14ac:dyDescent="0.25">
      <c r="B23" s="124" t="s">
        <v>223</v>
      </c>
      <c r="C23" s="115">
        <v>23</v>
      </c>
      <c r="D23" s="115">
        <v>28</v>
      </c>
      <c r="E23" s="115">
        <v>0</v>
      </c>
      <c r="F23" s="115">
        <v>0</v>
      </c>
      <c r="G23" s="116">
        <v>0</v>
      </c>
      <c r="H23" s="116">
        <v>0</v>
      </c>
      <c r="I23" s="116">
        <v>0</v>
      </c>
      <c r="J23" s="115">
        <v>0</v>
      </c>
      <c r="K23" s="116">
        <v>0</v>
      </c>
      <c r="L23" s="116">
        <v>0</v>
      </c>
      <c r="M23" s="116">
        <v>0</v>
      </c>
      <c r="N23" s="115">
        <v>0</v>
      </c>
      <c r="O23" s="116">
        <v>0</v>
      </c>
      <c r="P23" s="116">
        <v>0</v>
      </c>
      <c r="Q23" s="116">
        <v>0</v>
      </c>
      <c r="R23" s="115">
        <v>0</v>
      </c>
      <c r="S23" s="116">
        <v>0</v>
      </c>
      <c r="T23" s="116">
        <v>0</v>
      </c>
      <c r="U23" s="116">
        <v>0</v>
      </c>
      <c r="V23" s="115">
        <v>2018</v>
      </c>
      <c r="W23" s="116">
        <v>0</v>
      </c>
      <c r="X23" s="116">
        <v>0</v>
      </c>
      <c r="Y23" s="116">
        <v>0</v>
      </c>
      <c r="Z23" s="116">
        <v>0</v>
      </c>
      <c r="AB23" s="116">
        <v>0</v>
      </c>
      <c r="AC23" s="116">
        <v>0</v>
      </c>
      <c r="AD23" s="116">
        <v>0</v>
      </c>
      <c r="AE23" s="116">
        <v>0</v>
      </c>
      <c r="AG23" s="116">
        <v>0</v>
      </c>
      <c r="AH23" s="116">
        <v>0</v>
      </c>
    </row>
    <row r="24" spans="2:34" s="7" customFormat="1" x14ac:dyDescent="0.25">
      <c r="B24" s="124" t="s">
        <v>63</v>
      </c>
      <c r="C24" s="115">
        <v>6051</v>
      </c>
      <c r="D24" s="115">
        <v>6206</v>
      </c>
      <c r="E24" s="115">
        <v>6250</v>
      </c>
      <c r="F24" s="115">
        <v>376</v>
      </c>
      <c r="G24" s="116">
        <v>374</v>
      </c>
      <c r="H24" s="116">
        <v>375</v>
      </c>
      <c r="I24" s="116">
        <v>362</v>
      </c>
      <c r="J24" s="115">
        <v>1155</v>
      </c>
      <c r="K24" s="116">
        <v>994</v>
      </c>
      <c r="L24" s="116">
        <v>835</v>
      </c>
      <c r="M24" s="116">
        <v>723</v>
      </c>
      <c r="N24" s="115">
        <v>592</v>
      </c>
      <c r="O24" s="116">
        <v>472</v>
      </c>
      <c r="P24" s="116">
        <v>415</v>
      </c>
      <c r="Q24" s="116">
        <v>688</v>
      </c>
      <c r="R24" s="115">
        <v>752</v>
      </c>
      <c r="S24" s="116">
        <v>747</v>
      </c>
      <c r="T24" s="116">
        <v>636</v>
      </c>
      <c r="U24" s="116">
        <v>540</v>
      </c>
      <c r="V24" s="115">
        <v>526</v>
      </c>
      <c r="W24" s="116">
        <v>638</v>
      </c>
      <c r="X24" s="116">
        <v>574</v>
      </c>
      <c r="Y24" s="116">
        <v>458</v>
      </c>
      <c r="Z24" s="116">
        <v>574</v>
      </c>
      <c r="AA24" s="12"/>
      <c r="AB24" s="116">
        <v>488</v>
      </c>
      <c r="AC24" s="116">
        <v>500</v>
      </c>
      <c r="AD24" s="116">
        <v>417</v>
      </c>
      <c r="AE24" s="116">
        <v>391</v>
      </c>
      <c r="AG24" s="116">
        <v>364</v>
      </c>
      <c r="AH24" s="116">
        <v>373</v>
      </c>
    </row>
    <row r="25" spans="2:34" s="7" customFormat="1" x14ac:dyDescent="0.25">
      <c r="B25" s="124" t="s">
        <v>73</v>
      </c>
      <c r="C25" s="115">
        <v>871</v>
      </c>
      <c r="D25" s="115">
        <v>798</v>
      </c>
      <c r="E25" s="115">
        <v>950</v>
      </c>
      <c r="F25" s="115">
        <v>1000</v>
      </c>
      <c r="G25" s="116">
        <v>1017</v>
      </c>
      <c r="H25" s="116">
        <v>1041</v>
      </c>
      <c r="I25" s="116">
        <v>1052</v>
      </c>
      <c r="J25" s="115">
        <v>1051</v>
      </c>
      <c r="K25" s="116">
        <v>1105</v>
      </c>
      <c r="L25" s="116">
        <v>1121</v>
      </c>
      <c r="M25" s="116">
        <v>1155</v>
      </c>
      <c r="N25" s="115">
        <v>1173</v>
      </c>
      <c r="O25" s="116">
        <v>1187</v>
      </c>
      <c r="P25" s="116">
        <v>1197</v>
      </c>
      <c r="Q25" s="116">
        <v>1180</v>
      </c>
      <c r="R25" s="115">
        <v>1164</v>
      </c>
      <c r="S25" s="116">
        <v>1153</v>
      </c>
      <c r="T25" s="116">
        <v>1174</v>
      </c>
      <c r="U25" s="116">
        <v>1118</v>
      </c>
      <c r="V25" s="115">
        <v>1124</v>
      </c>
      <c r="W25" s="116">
        <v>1098</v>
      </c>
      <c r="X25" s="116">
        <v>1113</v>
      </c>
      <c r="Y25" s="116">
        <v>1168</v>
      </c>
      <c r="Z25" s="116">
        <v>1196</v>
      </c>
      <c r="AB25" s="116">
        <v>1221</v>
      </c>
      <c r="AC25" s="116">
        <v>1237</v>
      </c>
      <c r="AD25" s="116">
        <v>1272</v>
      </c>
      <c r="AE25" s="116">
        <v>1281</v>
      </c>
      <c r="AG25" s="116">
        <v>1305</v>
      </c>
      <c r="AH25" s="116">
        <v>1323</v>
      </c>
    </row>
    <row r="26" spans="2:34" s="7" customFormat="1" x14ac:dyDescent="0.25">
      <c r="B26" s="124" t="s">
        <v>67</v>
      </c>
      <c r="C26" s="115">
        <v>314</v>
      </c>
      <c r="D26" s="115">
        <v>377</v>
      </c>
      <c r="E26" s="115">
        <v>366</v>
      </c>
      <c r="F26" s="115">
        <v>541</v>
      </c>
      <c r="G26" s="116">
        <v>549</v>
      </c>
      <c r="H26" s="116">
        <v>559</v>
      </c>
      <c r="I26" s="116">
        <v>594</v>
      </c>
      <c r="J26" s="115">
        <v>498</v>
      </c>
      <c r="K26" s="116">
        <v>502</v>
      </c>
      <c r="L26" s="116">
        <v>548</v>
      </c>
      <c r="M26" s="116">
        <v>557</v>
      </c>
      <c r="N26" s="115">
        <v>607</v>
      </c>
      <c r="O26" s="116">
        <v>608</v>
      </c>
      <c r="P26" s="116">
        <v>588</v>
      </c>
      <c r="Q26" s="116">
        <v>519</v>
      </c>
      <c r="R26" s="115">
        <v>1422</v>
      </c>
      <c r="S26" s="116">
        <v>595</v>
      </c>
      <c r="T26" s="116">
        <v>610</v>
      </c>
      <c r="U26" s="116">
        <v>749</v>
      </c>
      <c r="V26" s="115">
        <v>773</v>
      </c>
      <c r="W26" s="116">
        <v>755</v>
      </c>
      <c r="X26" s="116">
        <v>644</v>
      </c>
      <c r="Y26" s="116">
        <v>633</v>
      </c>
      <c r="Z26" s="116">
        <v>588</v>
      </c>
      <c r="AB26" s="116">
        <v>552</v>
      </c>
      <c r="AC26" s="116">
        <v>657</v>
      </c>
      <c r="AD26" s="116">
        <v>638</v>
      </c>
      <c r="AE26" s="116">
        <v>1954</v>
      </c>
      <c r="AG26" s="116">
        <v>2053</v>
      </c>
      <c r="AH26" s="116">
        <v>1876</v>
      </c>
    </row>
    <row r="27" spans="2:34" s="7" customFormat="1" x14ac:dyDescent="0.25">
      <c r="B27" s="124" t="s">
        <v>74</v>
      </c>
      <c r="C27" s="115">
        <v>984</v>
      </c>
      <c r="D27" s="115">
        <v>2558</v>
      </c>
      <c r="E27" s="115">
        <v>3425</v>
      </c>
      <c r="F27" s="115">
        <v>3162</v>
      </c>
      <c r="G27" s="116">
        <v>3091</v>
      </c>
      <c r="H27" s="116">
        <v>2911</v>
      </c>
      <c r="I27" s="116">
        <v>2215</v>
      </c>
      <c r="J27" s="115">
        <v>1863</v>
      </c>
      <c r="K27" s="116">
        <v>1881</v>
      </c>
      <c r="L27" s="116">
        <v>1744</v>
      </c>
      <c r="M27" s="116">
        <v>1790</v>
      </c>
      <c r="N27" s="115">
        <v>1905</v>
      </c>
      <c r="O27" s="116">
        <v>1764</v>
      </c>
      <c r="P27" s="116">
        <v>1673</v>
      </c>
      <c r="Q27" s="116">
        <v>1725</v>
      </c>
      <c r="R27" s="115">
        <v>1705</v>
      </c>
      <c r="S27" s="116">
        <v>1871</v>
      </c>
      <c r="T27" s="116">
        <v>1935</v>
      </c>
      <c r="U27" s="116">
        <v>1947</v>
      </c>
      <c r="V27" s="115">
        <v>1596</v>
      </c>
      <c r="W27" s="116">
        <v>1542</v>
      </c>
      <c r="X27" s="116">
        <v>1640</v>
      </c>
      <c r="Y27" s="116">
        <v>1851</v>
      </c>
      <c r="Z27" s="116">
        <v>1920</v>
      </c>
      <c r="AB27" s="116">
        <v>1883</v>
      </c>
      <c r="AC27" s="116">
        <v>2081</v>
      </c>
      <c r="AD27" s="116">
        <v>2149</v>
      </c>
      <c r="AE27" s="116">
        <v>2195</v>
      </c>
      <c r="AG27" s="116">
        <v>2211</v>
      </c>
      <c r="AH27" s="116">
        <v>2117</v>
      </c>
    </row>
    <row r="28" spans="2:34" s="7" customFormat="1" x14ac:dyDescent="0.25">
      <c r="B28" s="124" t="s">
        <v>68</v>
      </c>
      <c r="C28" s="115">
        <v>0</v>
      </c>
      <c r="D28" s="115">
        <v>0</v>
      </c>
      <c r="E28" s="115">
        <v>1419</v>
      </c>
      <c r="F28" s="115">
        <v>1469</v>
      </c>
      <c r="G28" s="116">
        <v>1444</v>
      </c>
      <c r="H28" s="116">
        <v>1408</v>
      </c>
      <c r="I28" s="116">
        <v>1418</v>
      </c>
      <c r="J28" s="115">
        <v>1467</v>
      </c>
      <c r="K28" s="116">
        <v>1557</v>
      </c>
      <c r="L28" s="116">
        <v>1681</v>
      </c>
      <c r="M28" s="116">
        <v>1830</v>
      </c>
      <c r="N28" s="115">
        <v>1926</v>
      </c>
      <c r="O28" s="116">
        <v>1879</v>
      </c>
      <c r="P28" s="116">
        <v>1819</v>
      </c>
      <c r="Q28" s="116">
        <v>1804</v>
      </c>
      <c r="R28" s="115">
        <v>1753</v>
      </c>
      <c r="S28" s="116">
        <v>1682</v>
      </c>
      <c r="T28" s="116">
        <v>1540</v>
      </c>
      <c r="U28" s="116">
        <v>1459</v>
      </c>
      <c r="V28" s="115">
        <v>1573</v>
      </c>
      <c r="W28" s="116">
        <v>1512</v>
      </c>
      <c r="X28" s="116">
        <v>1502</v>
      </c>
      <c r="Y28" s="116">
        <v>1448</v>
      </c>
      <c r="Z28" s="116">
        <v>1516</v>
      </c>
      <c r="AB28" s="116">
        <v>1487</v>
      </c>
      <c r="AC28" s="116">
        <v>1478</v>
      </c>
      <c r="AD28" s="116">
        <v>1414</v>
      </c>
      <c r="AE28" s="116">
        <v>1351</v>
      </c>
      <c r="AG28" s="116">
        <v>1238</v>
      </c>
      <c r="AH28" s="116">
        <v>1125</v>
      </c>
    </row>
    <row r="29" spans="2:34" s="7" customFormat="1" x14ac:dyDescent="0.25">
      <c r="B29" s="124" t="s">
        <v>69</v>
      </c>
      <c r="C29" s="115">
        <v>1490</v>
      </c>
      <c r="D29" s="115">
        <v>1873</v>
      </c>
      <c r="E29" s="115">
        <v>183</v>
      </c>
      <c r="F29" s="115">
        <v>182</v>
      </c>
      <c r="G29" s="116">
        <v>190</v>
      </c>
      <c r="H29" s="116">
        <v>187</v>
      </c>
      <c r="I29" s="116">
        <v>185</v>
      </c>
      <c r="J29" s="115">
        <v>180</v>
      </c>
      <c r="K29" s="116">
        <v>176</v>
      </c>
      <c r="L29" s="116">
        <v>169</v>
      </c>
      <c r="M29" s="116">
        <v>163</v>
      </c>
      <c r="N29" s="115">
        <v>153</v>
      </c>
      <c r="O29" s="116">
        <v>150</v>
      </c>
      <c r="P29" s="116">
        <v>142</v>
      </c>
      <c r="Q29" s="116">
        <v>140</v>
      </c>
      <c r="R29" s="115">
        <v>139</v>
      </c>
      <c r="S29" s="116">
        <v>133</v>
      </c>
      <c r="T29" s="116">
        <v>124</v>
      </c>
      <c r="U29" s="116">
        <v>116</v>
      </c>
      <c r="V29" s="115">
        <v>104</v>
      </c>
      <c r="W29" s="116">
        <v>86</v>
      </c>
      <c r="X29" s="116">
        <v>82</v>
      </c>
      <c r="Y29" s="116">
        <v>71</v>
      </c>
      <c r="Z29" s="116">
        <v>66</v>
      </c>
      <c r="AB29" s="116">
        <v>64</v>
      </c>
      <c r="AC29" s="116">
        <v>66</v>
      </c>
      <c r="AD29" s="116">
        <v>66</v>
      </c>
      <c r="AE29" s="116">
        <v>62</v>
      </c>
      <c r="AG29" s="116">
        <v>58</v>
      </c>
      <c r="AH29" s="116">
        <v>54</v>
      </c>
    </row>
    <row r="30" spans="2:34" s="7" customFormat="1" x14ac:dyDescent="0.25">
      <c r="B30" s="124" t="s">
        <v>79</v>
      </c>
      <c r="C30" s="115">
        <v>0</v>
      </c>
      <c r="D30" s="115">
        <v>0</v>
      </c>
      <c r="E30" s="115">
        <v>0</v>
      </c>
      <c r="F30" s="115">
        <v>0</v>
      </c>
      <c r="G30" s="116">
        <v>0</v>
      </c>
      <c r="H30" s="116">
        <v>0</v>
      </c>
      <c r="I30" s="116">
        <v>0</v>
      </c>
      <c r="J30" s="115">
        <v>0</v>
      </c>
      <c r="K30" s="116">
        <v>0</v>
      </c>
      <c r="L30" s="116">
        <v>0</v>
      </c>
      <c r="M30" s="116">
        <v>0</v>
      </c>
      <c r="N30" s="115">
        <v>0</v>
      </c>
      <c r="O30" s="116">
        <v>0</v>
      </c>
      <c r="P30" s="116">
        <v>0</v>
      </c>
      <c r="Q30" s="116">
        <v>0</v>
      </c>
      <c r="R30" s="115">
        <v>0</v>
      </c>
      <c r="S30" s="116">
        <v>0</v>
      </c>
      <c r="T30" s="116">
        <v>0</v>
      </c>
      <c r="U30" s="116">
        <v>0</v>
      </c>
      <c r="V30" s="115">
        <v>0</v>
      </c>
      <c r="W30" s="115">
        <v>0</v>
      </c>
      <c r="X30" s="115">
        <v>0</v>
      </c>
      <c r="Y30" s="115">
        <v>0</v>
      </c>
      <c r="Z30" s="115">
        <v>0</v>
      </c>
      <c r="AB30" s="115">
        <v>0</v>
      </c>
      <c r="AC30" s="115">
        <v>0</v>
      </c>
      <c r="AD30" s="115">
        <v>0</v>
      </c>
      <c r="AE30" s="115">
        <v>0</v>
      </c>
      <c r="AG30" s="115">
        <v>0</v>
      </c>
      <c r="AH30" s="115">
        <v>0</v>
      </c>
    </row>
    <row r="31" spans="2:34" s="7" customFormat="1" x14ac:dyDescent="0.25">
      <c r="B31" s="124" t="s">
        <v>70</v>
      </c>
      <c r="C31" s="115">
        <v>0</v>
      </c>
      <c r="D31" s="115">
        <v>0</v>
      </c>
      <c r="E31" s="115">
        <v>0</v>
      </c>
      <c r="F31" s="115">
        <v>0</v>
      </c>
      <c r="G31" s="116">
        <v>0</v>
      </c>
      <c r="H31" s="116">
        <v>0</v>
      </c>
      <c r="I31" s="116">
        <v>0</v>
      </c>
      <c r="J31" s="115">
        <v>0</v>
      </c>
      <c r="K31" s="116">
        <v>0</v>
      </c>
      <c r="L31" s="116"/>
      <c r="M31" s="116">
        <v>0</v>
      </c>
      <c r="N31" s="115">
        <v>0</v>
      </c>
      <c r="O31" s="116">
        <v>421</v>
      </c>
      <c r="P31" s="116">
        <v>631</v>
      </c>
      <c r="Q31" s="116">
        <v>720</v>
      </c>
      <c r="R31" s="115">
        <v>498</v>
      </c>
      <c r="S31" s="116">
        <v>739</v>
      </c>
      <c r="T31" s="116">
        <v>332</v>
      </c>
      <c r="U31" s="116">
        <v>543</v>
      </c>
      <c r="V31" s="115">
        <v>579</v>
      </c>
      <c r="W31" s="116">
        <v>48</v>
      </c>
      <c r="X31" s="116">
        <v>238</v>
      </c>
      <c r="Y31" s="116">
        <v>299</v>
      </c>
      <c r="Z31" s="115">
        <v>170</v>
      </c>
      <c r="AB31" s="116">
        <v>127</v>
      </c>
      <c r="AC31" s="116">
        <v>43</v>
      </c>
      <c r="AD31" s="115">
        <v>46</v>
      </c>
      <c r="AE31" s="115">
        <v>35</v>
      </c>
      <c r="AG31" s="116">
        <v>19</v>
      </c>
      <c r="AH31" s="116">
        <v>100</v>
      </c>
    </row>
    <row r="32" spans="2:34" s="13" customFormat="1" x14ac:dyDescent="0.25">
      <c r="B32" s="124" t="s">
        <v>75</v>
      </c>
      <c r="C32" s="115">
        <v>15</v>
      </c>
      <c r="D32" s="115">
        <v>12</v>
      </c>
      <c r="E32" s="115">
        <v>24</v>
      </c>
      <c r="F32" s="115">
        <v>24</v>
      </c>
      <c r="G32" s="116">
        <v>25</v>
      </c>
      <c r="H32" s="116">
        <v>18</v>
      </c>
      <c r="I32" s="116">
        <v>16</v>
      </c>
      <c r="J32" s="115">
        <v>22</v>
      </c>
      <c r="K32" s="116">
        <v>16</v>
      </c>
      <c r="L32" s="116">
        <v>16</v>
      </c>
      <c r="M32" s="116">
        <v>15</v>
      </c>
      <c r="N32" s="115">
        <v>15</v>
      </c>
      <c r="O32" s="116">
        <v>15</v>
      </c>
      <c r="P32" s="116">
        <v>15</v>
      </c>
      <c r="Q32" s="116">
        <v>16</v>
      </c>
      <c r="R32" s="115">
        <v>14</v>
      </c>
      <c r="S32" s="116">
        <v>12</v>
      </c>
      <c r="T32" s="116">
        <v>12</v>
      </c>
      <c r="U32" s="116">
        <v>8</v>
      </c>
      <c r="V32" s="115">
        <v>7</v>
      </c>
      <c r="W32" s="116">
        <v>7</v>
      </c>
      <c r="X32" s="116">
        <v>17</v>
      </c>
      <c r="Y32" s="116">
        <v>18</v>
      </c>
      <c r="Z32" s="116">
        <v>14</v>
      </c>
      <c r="AB32" s="116">
        <v>13</v>
      </c>
      <c r="AC32" s="116">
        <v>14</v>
      </c>
      <c r="AD32" s="116">
        <v>45</v>
      </c>
      <c r="AE32" s="115">
        <v>58</v>
      </c>
      <c r="AG32" s="116">
        <v>75</v>
      </c>
      <c r="AH32" s="116">
        <v>77</v>
      </c>
    </row>
    <row r="33" spans="2:34" s="509" customFormat="1" x14ac:dyDescent="0.3">
      <c r="B33" s="342" t="s">
        <v>76</v>
      </c>
      <c r="C33" s="146">
        <v>45</v>
      </c>
      <c r="D33" s="146">
        <v>46</v>
      </c>
      <c r="E33" s="146">
        <v>45</v>
      </c>
      <c r="F33" s="146">
        <v>36</v>
      </c>
      <c r="G33" s="375">
        <v>34</v>
      </c>
      <c r="H33" s="375">
        <v>33</v>
      </c>
      <c r="I33" s="375">
        <v>32</v>
      </c>
      <c r="J33" s="146">
        <v>33</v>
      </c>
      <c r="K33" s="375">
        <v>35</v>
      </c>
      <c r="L33" s="375">
        <v>36</v>
      </c>
      <c r="M33" s="375">
        <v>37</v>
      </c>
      <c r="N33" s="146">
        <v>47</v>
      </c>
      <c r="O33" s="375">
        <v>46</v>
      </c>
      <c r="P33" s="375">
        <v>47</v>
      </c>
      <c r="Q33" s="375">
        <v>427</v>
      </c>
      <c r="R33" s="146">
        <v>448</v>
      </c>
      <c r="S33" s="375">
        <v>479</v>
      </c>
      <c r="T33" s="375">
        <v>524</v>
      </c>
      <c r="U33" s="375">
        <v>601</v>
      </c>
      <c r="V33" s="146">
        <v>609</v>
      </c>
      <c r="W33" s="375">
        <v>4824</v>
      </c>
      <c r="X33" s="375">
        <v>4850</v>
      </c>
      <c r="Y33" s="375">
        <v>5022</v>
      </c>
      <c r="Z33" s="375">
        <v>4984</v>
      </c>
      <c r="AB33" s="375">
        <v>4981</v>
      </c>
      <c r="AC33" s="375">
        <v>4934</v>
      </c>
      <c r="AD33" s="375">
        <v>4885</v>
      </c>
      <c r="AE33" s="375">
        <v>4490</v>
      </c>
      <c r="AG33" s="375">
        <v>4440</v>
      </c>
      <c r="AH33" s="375">
        <v>4524</v>
      </c>
    </row>
    <row r="34" spans="2:34" s="509" customFormat="1" x14ac:dyDescent="0.3">
      <c r="B34" s="342" t="s">
        <v>77</v>
      </c>
      <c r="C34" s="146">
        <v>6100</v>
      </c>
      <c r="D34" s="146">
        <v>6039</v>
      </c>
      <c r="E34" s="146">
        <v>5986</v>
      </c>
      <c r="F34" s="146">
        <v>5816</v>
      </c>
      <c r="G34" s="375">
        <v>5780</v>
      </c>
      <c r="H34" s="375">
        <v>5774</v>
      </c>
      <c r="I34" s="375">
        <v>5775</v>
      </c>
      <c r="J34" s="146">
        <v>5797</v>
      </c>
      <c r="K34" s="375">
        <v>6690</v>
      </c>
      <c r="L34" s="375">
        <v>6515</v>
      </c>
      <c r="M34" s="375">
        <v>6569</v>
      </c>
      <c r="N34" s="146">
        <v>6703</v>
      </c>
      <c r="O34" s="375">
        <v>6686</v>
      </c>
      <c r="P34" s="375">
        <v>6651</v>
      </c>
      <c r="Q34" s="375">
        <v>6642</v>
      </c>
      <c r="R34" s="146">
        <v>6723</v>
      </c>
      <c r="S34" s="375">
        <v>6720</v>
      </c>
      <c r="T34" s="375">
        <v>6693</v>
      </c>
      <c r="U34" s="375">
        <v>6691</v>
      </c>
      <c r="V34" s="146">
        <v>6762</v>
      </c>
      <c r="W34" s="375">
        <v>6740</v>
      </c>
      <c r="X34" s="375">
        <v>6765</v>
      </c>
      <c r="Y34" s="375">
        <v>6875</v>
      </c>
      <c r="Z34" s="375">
        <v>6944</v>
      </c>
      <c r="AB34" s="375">
        <v>6912</v>
      </c>
      <c r="AC34" s="375">
        <v>6896</v>
      </c>
      <c r="AD34" s="375">
        <v>6886</v>
      </c>
      <c r="AE34" s="375">
        <v>6954</v>
      </c>
      <c r="AG34" s="375">
        <v>6932</v>
      </c>
      <c r="AH34" s="375">
        <v>6749</v>
      </c>
    </row>
    <row r="35" spans="2:34" s="509" customFormat="1" x14ac:dyDescent="0.3">
      <c r="B35" s="342" t="s">
        <v>78</v>
      </c>
      <c r="C35" s="146">
        <v>454</v>
      </c>
      <c r="D35" s="146">
        <v>460</v>
      </c>
      <c r="E35" s="146">
        <v>461</v>
      </c>
      <c r="F35" s="146">
        <v>453</v>
      </c>
      <c r="G35" s="375">
        <v>450</v>
      </c>
      <c r="H35" s="375">
        <v>453</v>
      </c>
      <c r="I35" s="375">
        <v>462</v>
      </c>
      <c r="J35" s="146">
        <v>476</v>
      </c>
      <c r="K35" s="375">
        <v>484</v>
      </c>
      <c r="L35" s="375">
        <v>494</v>
      </c>
      <c r="M35" s="375">
        <v>501</v>
      </c>
      <c r="N35" s="146">
        <v>520</v>
      </c>
      <c r="O35" s="375">
        <v>527</v>
      </c>
      <c r="P35" s="375">
        <v>547</v>
      </c>
      <c r="Q35" s="375">
        <v>331</v>
      </c>
      <c r="R35" s="146">
        <v>358</v>
      </c>
      <c r="S35" s="375">
        <v>438</v>
      </c>
      <c r="T35" s="375">
        <v>527</v>
      </c>
      <c r="U35" s="375">
        <v>585</v>
      </c>
      <c r="V35" s="146">
        <v>453</v>
      </c>
      <c r="W35" s="375">
        <v>638</v>
      </c>
      <c r="X35" s="375">
        <v>1055</v>
      </c>
      <c r="Y35" s="375">
        <v>1238</v>
      </c>
      <c r="Z35" s="375">
        <v>894</v>
      </c>
      <c r="AB35" s="375">
        <v>958</v>
      </c>
      <c r="AC35" s="375">
        <v>1311</v>
      </c>
      <c r="AD35" s="375">
        <v>889</v>
      </c>
      <c r="AE35" s="375">
        <v>1111</v>
      </c>
      <c r="AG35" s="375">
        <v>1384</v>
      </c>
      <c r="AH35" s="375">
        <v>1221</v>
      </c>
    </row>
    <row r="36" spans="2:34" s="13" customFormat="1" ht="9.75" customHeight="1" x14ac:dyDescent="0.35">
      <c r="B36" s="104"/>
      <c r="C36" s="119"/>
      <c r="D36" s="119"/>
      <c r="E36" s="119"/>
      <c r="F36" s="119"/>
      <c r="G36" s="120"/>
      <c r="H36" s="120"/>
      <c r="I36" s="120"/>
      <c r="J36" s="119"/>
      <c r="K36" s="120"/>
      <c r="L36" s="120"/>
      <c r="M36" s="120"/>
      <c r="N36" s="119"/>
      <c r="O36" s="120"/>
      <c r="P36" s="120"/>
      <c r="Q36" s="120"/>
      <c r="R36" s="119"/>
      <c r="S36" s="120"/>
      <c r="T36" s="120"/>
      <c r="U36" s="120"/>
      <c r="V36" s="119"/>
      <c r="W36" s="120"/>
      <c r="X36" s="120"/>
      <c r="Y36" s="120"/>
      <c r="Z36" s="120"/>
      <c r="AB36" s="120"/>
      <c r="AC36" s="120"/>
      <c r="AD36" s="120"/>
      <c r="AE36" s="120"/>
      <c r="AG36" s="120"/>
      <c r="AH36" s="120"/>
    </row>
    <row r="37" spans="2:34" s="10" customFormat="1" ht="18" x14ac:dyDescent="0.4">
      <c r="B37" s="60" t="s">
        <v>80</v>
      </c>
      <c r="C37" s="110"/>
      <c r="D37" s="110"/>
      <c r="E37" s="110"/>
      <c r="F37" s="110"/>
      <c r="G37" s="45"/>
      <c r="H37" s="45"/>
      <c r="I37" s="45"/>
      <c r="J37" s="110"/>
      <c r="K37" s="45"/>
      <c r="L37" s="47"/>
      <c r="M37" s="47"/>
      <c r="N37" s="110"/>
      <c r="O37" s="47"/>
      <c r="P37" s="47"/>
      <c r="Q37" s="47"/>
      <c r="R37" s="110"/>
      <c r="S37" s="47"/>
      <c r="T37" s="49"/>
      <c r="U37" s="47"/>
      <c r="V37" s="110"/>
      <c r="W37" s="47"/>
      <c r="X37" s="47"/>
      <c r="Y37" s="47"/>
      <c r="Z37" s="47"/>
      <c r="AB37" s="47"/>
      <c r="AC37" s="47"/>
      <c r="AD37" s="47"/>
      <c r="AE37" s="47"/>
      <c r="AG37" s="47"/>
      <c r="AH37" s="47"/>
    </row>
    <row r="38" spans="2:34" s="11" customFormat="1" ht="19" x14ac:dyDescent="0.45">
      <c r="B38" s="100" t="s">
        <v>135</v>
      </c>
      <c r="C38" s="111">
        <f t="shared" ref="C38:W38" si="1">C40+C63+C72</f>
        <v>27619</v>
      </c>
      <c r="D38" s="111">
        <f t="shared" si="1"/>
        <v>31241</v>
      </c>
      <c r="E38" s="111">
        <f t="shared" si="1"/>
        <v>31398</v>
      </c>
      <c r="F38" s="111">
        <f t="shared" si="1"/>
        <v>23762</v>
      </c>
      <c r="G38" s="112">
        <f t="shared" si="1"/>
        <v>23372</v>
      </c>
      <c r="H38" s="112">
        <f t="shared" si="1"/>
        <v>23634</v>
      </c>
      <c r="I38" s="112">
        <f t="shared" si="1"/>
        <v>23833</v>
      </c>
      <c r="J38" s="111">
        <f t="shared" si="1"/>
        <v>25345</v>
      </c>
      <c r="K38" s="112">
        <f t="shared" si="1"/>
        <v>26669</v>
      </c>
      <c r="L38" s="112">
        <f t="shared" si="1"/>
        <v>24771</v>
      </c>
      <c r="M38" s="112">
        <f t="shared" si="1"/>
        <v>26685</v>
      </c>
      <c r="N38" s="111">
        <f t="shared" si="1"/>
        <v>25866</v>
      </c>
      <c r="O38" s="112">
        <f t="shared" si="1"/>
        <v>28823</v>
      </c>
      <c r="P38" s="112">
        <f t="shared" si="1"/>
        <v>27669</v>
      </c>
      <c r="Q38" s="112">
        <f t="shared" si="1"/>
        <v>27763</v>
      </c>
      <c r="R38" s="111">
        <f t="shared" si="1"/>
        <v>28327</v>
      </c>
      <c r="S38" s="112">
        <f t="shared" si="1"/>
        <v>29259</v>
      </c>
      <c r="T38" s="112">
        <f t="shared" si="1"/>
        <v>28564</v>
      </c>
      <c r="U38" s="112">
        <f t="shared" si="1"/>
        <v>29562</v>
      </c>
      <c r="V38" s="111">
        <f t="shared" si="1"/>
        <v>33884</v>
      </c>
      <c r="W38" s="112">
        <f t="shared" si="1"/>
        <v>36852</v>
      </c>
      <c r="X38" s="112">
        <v>39526</v>
      </c>
      <c r="Y38" s="112">
        <v>39525</v>
      </c>
      <c r="Z38" s="112">
        <f t="shared" ref="Z38" si="2">Z40+Z63+Z72</f>
        <v>41110</v>
      </c>
      <c r="AB38" s="112">
        <v>40229</v>
      </c>
      <c r="AC38" s="112">
        <f t="shared" ref="AC38:AD38" si="3">AC40+AC63+AC72</f>
        <v>39590</v>
      </c>
      <c r="AD38" s="112">
        <f t="shared" si="3"/>
        <v>40978</v>
      </c>
      <c r="AE38" s="112">
        <f>AE40+AE63+AE72</f>
        <v>43481</v>
      </c>
      <c r="AG38" s="112">
        <f t="shared" ref="AG38" si="4">AG40+AG63+AG72</f>
        <v>43158</v>
      </c>
      <c r="AH38" s="112">
        <f>AH40+AH63+AH72</f>
        <v>44303</v>
      </c>
    </row>
    <row r="39" spans="2:34" s="11" customFormat="1" ht="9" customHeight="1" x14ac:dyDescent="0.45">
      <c r="B39" s="101"/>
      <c r="C39" s="92"/>
      <c r="D39" s="92"/>
      <c r="E39" s="92"/>
      <c r="F39" s="92"/>
      <c r="G39" s="94"/>
      <c r="H39" s="94"/>
      <c r="I39" s="94"/>
      <c r="J39" s="92"/>
      <c r="K39" s="94"/>
      <c r="L39" s="94"/>
      <c r="M39" s="94"/>
      <c r="N39" s="92"/>
      <c r="O39" s="94"/>
      <c r="P39" s="94"/>
      <c r="Q39" s="94"/>
      <c r="R39" s="92"/>
      <c r="S39" s="94"/>
      <c r="T39" s="94"/>
      <c r="U39" s="94"/>
      <c r="V39" s="92"/>
      <c r="W39" s="94"/>
      <c r="X39" s="94"/>
      <c r="Y39" s="94"/>
      <c r="Z39" s="94"/>
      <c r="AB39" s="94"/>
      <c r="AC39" s="94"/>
      <c r="AD39" s="94"/>
      <c r="AE39" s="94"/>
      <c r="AG39" s="94"/>
      <c r="AH39" s="94"/>
    </row>
    <row r="40" spans="2:34" s="13" customFormat="1" x14ac:dyDescent="0.35">
      <c r="B40" s="102" t="s">
        <v>56</v>
      </c>
      <c r="C40" s="113">
        <v>11937</v>
      </c>
      <c r="D40" s="113">
        <v>5592</v>
      </c>
      <c r="E40" s="113">
        <v>5629</v>
      </c>
      <c r="F40" s="113">
        <v>4413</v>
      </c>
      <c r="G40" s="114">
        <f>SUM(G41:G61)</f>
        <v>4330</v>
      </c>
      <c r="H40" s="114">
        <f>SUM(H41:H61)</f>
        <v>4606</v>
      </c>
      <c r="I40" s="114">
        <f>SUM(I41:I61)</f>
        <v>3967</v>
      </c>
      <c r="J40" s="113">
        <v>4561</v>
      </c>
      <c r="K40" s="114">
        <f>SUM(K41:K61)</f>
        <v>4651</v>
      </c>
      <c r="L40" s="114">
        <f>SUM(L41:L61)</f>
        <v>8633</v>
      </c>
      <c r="M40" s="114">
        <f>SUM(M41:M61)</f>
        <v>9131</v>
      </c>
      <c r="N40" s="113">
        <v>8599</v>
      </c>
      <c r="O40" s="114">
        <v>8162</v>
      </c>
      <c r="P40" s="114">
        <v>6080</v>
      </c>
      <c r="Q40" s="114">
        <v>6128</v>
      </c>
      <c r="R40" s="113">
        <v>6942</v>
      </c>
      <c r="S40" s="114">
        <v>4700</v>
      </c>
      <c r="T40" s="114">
        <v>5570</v>
      </c>
      <c r="U40" s="114">
        <v>6095</v>
      </c>
      <c r="V40" s="113">
        <v>7339</v>
      </c>
      <c r="W40" s="114">
        <f>SUM(W41:W61)</f>
        <v>8829</v>
      </c>
      <c r="X40" s="114">
        <v>9677</v>
      </c>
      <c r="Y40" s="114">
        <v>9334</v>
      </c>
      <c r="Z40" s="114">
        <f>SUM(Z41:Z61)</f>
        <v>9624</v>
      </c>
      <c r="AB40" s="114">
        <v>8379</v>
      </c>
      <c r="AC40" s="114">
        <f>SUM(AC41:AC61)</f>
        <v>7705</v>
      </c>
      <c r="AD40" s="114">
        <f>SUM(AD41:AD61)</f>
        <v>9628</v>
      </c>
      <c r="AE40" s="114">
        <f>SUM(AE41:AE61)</f>
        <v>9996</v>
      </c>
      <c r="AG40" s="114">
        <f>SUM(AG41:AG61)</f>
        <v>10490</v>
      </c>
      <c r="AH40" s="114">
        <f>SUM(AH41:AH61)</f>
        <v>9952</v>
      </c>
    </row>
    <row r="41" spans="2:34" x14ac:dyDescent="0.35">
      <c r="B41" s="105" t="s">
        <v>108</v>
      </c>
      <c r="C41" s="115">
        <v>3168</v>
      </c>
      <c r="D41" s="115">
        <v>3047</v>
      </c>
      <c r="E41" s="115">
        <v>2650</v>
      </c>
      <c r="F41" s="115">
        <v>2682</v>
      </c>
      <c r="G41" s="116">
        <v>2318</v>
      </c>
      <c r="H41" s="116">
        <v>2095</v>
      </c>
      <c r="I41" s="116">
        <v>2229</v>
      </c>
      <c r="J41" s="115">
        <v>2219</v>
      </c>
      <c r="K41" s="116">
        <v>2103</v>
      </c>
      <c r="L41" s="116">
        <v>2092</v>
      </c>
      <c r="M41" s="116">
        <v>1847</v>
      </c>
      <c r="N41" s="115">
        <v>2307</v>
      </c>
      <c r="O41" s="116">
        <v>1549</v>
      </c>
      <c r="P41" s="116">
        <v>1313</v>
      </c>
      <c r="Q41" s="116">
        <v>1764</v>
      </c>
      <c r="R41" s="115">
        <v>2196</v>
      </c>
      <c r="S41" s="116">
        <v>1551</v>
      </c>
      <c r="T41" s="116">
        <v>2394</v>
      </c>
      <c r="U41" s="116">
        <v>3020</v>
      </c>
      <c r="V41" s="115">
        <v>3310</v>
      </c>
      <c r="W41" s="116">
        <v>3926</v>
      </c>
      <c r="X41" s="116">
        <v>5080</v>
      </c>
      <c r="Y41" s="116">
        <v>3452</v>
      </c>
      <c r="Z41" s="116">
        <v>5134</v>
      </c>
      <c r="AB41" s="116">
        <v>4196</v>
      </c>
      <c r="AC41" s="116">
        <v>3338</v>
      </c>
      <c r="AD41" s="116">
        <v>4107</v>
      </c>
      <c r="AE41" s="116">
        <v>4496</v>
      </c>
      <c r="AG41" s="116">
        <v>4354</v>
      </c>
      <c r="AH41" s="116">
        <v>3104</v>
      </c>
    </row>
    <row r="42" spans="2:34" x14ac:dyDescent="0.35">
      <c r="B42" s="105" t="s">
        <v>427</v>
      </c>
      <c r="C42" s="116">
        <v>0</v>
      </c>
      <c r="D42" s="116">
        <v>0</v>
      </c>
      <c r="E42" s="116">
        <v>0</v>
      </c>
      <c r="F42" s="116">
        <v>0</v>
      </c>
      <c r="G42" s="116">
        <v>0</v>
      </c>
      <c r="H42" s="116">
        <v>0</v>
      </c>
      <c r="I42" s="116">
        <v>0</v>
      </c>
      <c r="J42" s="116">
        <v>0</v>
      </c>
      <c r="K42" s="116">
        <v>0</v>
      </c>
      <c r="L42" s="116">
        <v>0</v>
      </c>
      <c r="M42" s="116">
        <v>0</v>
      </c>
      <c r="N42" s="116">
        <v>0</v>
      </c>
      <c r="O42" s="116">
        <v>0</v>
      </c>
      <c r="P42" s="116">
        <v>0</v>
      </c>
      <c r="Q42" s="116">
        <v>0</v>
      </c>
      <c r="R42" s="116">
        <v>0</v>
      </c>
      <c r="S42" s="116">
        <v>0</v>
      </c>
      <c r="T42" s="116">
        <v>0</v>
      </c>
      <c r="U42" s="116">
        <v>0</v>
      </c>
      <c r="V42" s="116">
        <v>529</v>
      </c>
      <c r="W42" s="115">
        <v>0</v>
      </c>
      <c r="X42" s="115">
        <v>0</v>
      </c>
      <c r="Y42" s="115">
        <v>1568</v>
      </c>
      <c r="Z42" s="115">
        <v>0</v>
      </c>
      <c r="AB42" s="115">
        <v>588</v>
      </c>
      <c r="AC42" s="115">
        <v>0</v>
      </c>
      <c r="AD42" s="115">
        <v>0</v>
      </c>
      <c r="AE42" s="115">
        <v>0</v>
      </c>
      <c r="AG42" s="115">
        <v>0</v>
      </c>
      <c r="AH42" s="115">
        <v>0</v>
      </c>
    </row>
    <row r="43" spans="2:34" x14ac:dyDescent="0.35">
      <c r="B43" s="105" t="s">
        <v>125</v>
      </c>
      <c r="C43" s="115">
        <v>295</v>
      </c>
      <c r="D43" s="115">
        <v>644</v>
      </c>
      <c r="E43" s="115">
        <v>805</v>
      </c>
      <c r="F43" s="115">
        <v>185</v>
      </c>
      <c r="G43" s="116">
        <v>257</v>
      </c>
      <c r="H43" s="116">
        <v>178</v>
      </c>
      <c r="I43" s="116">
        <v>261</v>
      </c>
      <c r="J43" s="115">
        <v>210</v>
      </c>
      <c r="K43" s="116">
        <v>265</v>
      </c>
      <c r="L43" s="116">
        <v>3736</v>
      </c>
      <c r="M43" s="116">
        <v>3808</v>
      </c>
      <c r="N43" s="115">
        <v>4254</v>
      </c>
      <c r="O43" s="116">
        <v>4747</v>
      </c>
      <c r="P43" s="116">
        <v>2629</v>
      </c>
      <c r="Q43" s="116">
        <v>2603</v>
      </c>
      <c r="R43" s="115">
        <v>2082</v>
      </c>
      <c r="S43" s="116">
        <v>715</v>
      </c>
      <c r="T43" s="116">
        <v>657</v>
      </c>
      <c r="U43" s="116">
        <v>1215</v>
      </c>
      <c r="V43" s="115">
        <v>1339</v>
      </c>
      <c r="W43" s="116">
        <v>1404</v>
      </c>
      <c r="X43" s="116">
        <v>1829</v>
      </c>
      <c r="Y43" s="116">
        <v>1523</v>
      </c>
      <c r="Z43" s="116">
        <v>1674</v>
      </c>
      <c r="AB43" s="116">
        <v>1270</v>
      </c>
      <c r="AC43" s="116">
        <v>1365</v>
      </c>
      <c r="AD43" s="116">
        <v>1493</v>
      </c>
      <c r="AE43" s="116">
        <v>1349</v>
      </c>
      <c r="AG43" s="115">
        <v>2831</v>
      </c>
      <c r="AH43" s="115">
        <v>3902</v>
      </c>
    </row>
    <row r="44" spans="2:34" x14ac:dyDescent="0.35">
      <c r="B44" s="105" t="s">
        <v>218</v>
      </c>
      <c r="C44" s="115">
        <v>6596</v>
      </c>
      <c r="D44" s="115">
        <v>0</v>
      </c>
      <c r="E44" s="115">
        <v>0</v>
      </c>
      <c r="F44" s="115">
        <v>0</v>
      </c>
      <c r="G44" s="116">
        <v>0</v>
      </c>
      <c r="H44" s="116">
        <v>0</v>
      </c>
      <c r="I44" s="116">
        <v>0</v>
      </c>
      <c r="J44" s="115">
        <v>0</v>
      </c>
      <c r="K44" s="116">
        <v>0</v>
      </c>
      <c r="L44" s="116">
        <v>0</v>
      </c>
      <c r="M44" s="116">
        <v>0</v>
      </c>
      <c r="N44" s="115">
        <v>0</v>
      </c>
      <c r="O44" s="116">
        <v>0</v>
      </c>
      <c r="P44" s="116">
        <v>0</v>
      </c>
      <c r="Q44" s="116">
        <v>0</v>
      </c>
      <c r="R44" s="115">
        <v>0</v>
      </c>
      <c r="S44" s="116">
        <v>0</v>
      </c>
      <c r="T44" s="116">
        <v>0</v>
      </c>
      <c r="U44" s="116">
        <v>0</v>
      </c>
      <c r="V44" s="115">
        <v>0</v>
      </c>
      <c r="W44" s="116">
        <v>0</v>
      </c>
      <c r="X44" s="116">
        <v>0</v>
      </c>
      <c r="Y44" s="116">
        <v>0</v>
      </c>
      <c r="Z44" s="116">
        <v>0</v>
      </c>
      <c r="AB44" s="116">
        <v>0</v>
      </c>
      <c r="AC44" s="116">
        <v>0</v>
      </c>
      <c r="AD44" s="116">
        <v>0</v>
      </c>
      <c r="AE44" s="116">
        <v>0</v>
      </c>
      <c r="AG44" s="116">
        <v>0</v>
      </c>
      <c r="AH44" s="116">
        <v>0</v>
      </c>
    </row>
    <row r="45" spans="2:34" x14ac:dyDescent="0.35">
      <c r="B45" s="105" t="s">
        <v>219</v>
      </c>
      <c r="C45" s="115">
        <v>404</v>
      </c>
      <c r="D45" s="115">
        <v>24</v>
      </c>
      <c r="E45" s="115">
        <v>31</v>
      </c>
      <c r="F45" s="115">
        <v>26</v>
      </c>
      <c r="G45" s="116">
        <v>13</v>
      </c>
      <c r="H45" s="116">
        <v>104</v>
      </c>
      <c r="I45" s="116">
        <v>244</v>
      </c>
      <c r="J45" s="115">
        <v>31</v>
      </c>
      <c r="K45" s="116">
        <v>18</v>
      </c>
      <c r="L45" s="116">
        <v>8</v>
      </c>
      <c r="M45" s="116">
        <v>0</v>
      </c>
      <c r="N45" s="115">
        <v>0</v>
      </c>
      <c r="O45" s="116">
        <v>0</v>
      </c>
      <c r="P45" s="116">
        <v>0</v>
      </c>
      <c r="Q45" s="116">
        <v>0</v>
      </c>
      <c r="R45" s="115">
        <v>0</v>
      </c>
      <c r="S45" s="116">
        <v>0</v>
      </c>
      <c r="T45" s="116">
        <v>0</v>
      </c>
      <c r="U45" s="116">
        <v>0</v>
      </c>
      <c r="V45" s="115">
        <v>0</v>
      </c>
      <c r="W45" s="116">
        <v>0</v>
      </c>
      <c r="X45" s="116">
        <v>0</v>
      </c>
      <c r="Y45" s="116">
        <v>0</v>
      </c>
      <c r="Z45" s="116">
        <v>0</v>
      </c>
      <c r="AB45" s="116">
        <v>0</v>
      </c>
      <c r="AC45" s="116">
        <v>0</v>
      </c>
      <c r="AD45" s="116">
        <v>0</v>
      </c>
      <c r="AE45" s="116">
        <v>0</v>
      </c>
      <c r="AG45" s="116">
        <v>0</v>
      </c>
      <c r="AH45" s="116">
        <v>0</v>
      </c>
    </row>
    <row r="46" spans="2:34" x14ac:dyDescent="0.35">
      <c r="B46" s="105" t="s">
        <v>129</v>
      </c>
      <c r="C46" s="115">
        <v>42</v>
      </c>
      <c r="D46" s="115">
        <v>48</v>
      </c>
      <c r="E46" s="115">
        <v>28</v>
      </c>
      <c r="F46" s="115">
        <v>29</v>
      </c>
      <c r="G46" s="116">
        <v>29</v>
      </c>
      <c r="H46" s="116">
        <v>31</v>
      </c>
      <c r="I46" s="116">
        <v>30</v>
      </c>
      <c r="J46" s="115">
        <v>29</v>
      </c>
      <c r="K46" s="116">
        <v>114</v>
      </c>
      <c r="L46" s="116">
        <v>111</v>
      </c>
      <c r="M46" s="116">
        <v>83</v>
      </c>
      <c r="N46" s="115">
        <v>87</v>
      </c>
      <c r="O46" s="116">
        <v>77</v>
      </c>
      <c r="P46" s="116">
        <v>103</v>
      </c>
      <c r="Q46" s="116">
        <v>110</v>
      </c>
      <c r="R46" s="115">
        <v>115</v>
      </c>
      <c r="S46" s="116">
        <v>125</v>
      </c>
      <c r="T46" s="116">
        <v>131</v>
      </c>
      <c r="U46" s="116">
        <v>127</v>
      </c>
      <c r="V46" s="115">
        <v>118</v>
      </c>
      <c r="W46" s="116">
        <v>119</v>
      </c>
      <c r="X46" s="116">
        <v>110</v>
      </c>
      <c r="Y46" s="116">
        <v>125</v>
      </c>
      <c r="Z46" s="116">
        <v>128</v>
      </c>
      <c r="AB46" s="116">
        <v>124</v>
      </c>
      <c r="AC46" s="116">
        <v>117</v>
      </c>
      <c r="AD46" s="116">
        <v>115</v>
      </c>
      <c r="AE46" s="116">
        <v>121</v>
      </c>
      <c r="AG46" s="116">
        <v>120</v>
      </c>
      <c r="AH46" s="116">
        <v>82</v>
      </c>
    </row>
    <row r="47" spans="2:34" x14ac:dyDescent="0.35">
      <c r="B47" s="105" t="s">
        <v>115</v>
      </c>
      <c r="C47" s="115">
        <v>342</v>
      </c>
      <c r="D47" s="115">
        <v>424</v>
      </c>
      <c r="E47" s="115">
        <v>354</v>
      </c>
      <c r="F47" s="115">
        <v>363</v>
      </c>
      <c r="G47" s="116">
        <v>332</v>
      </c>
      <c r="H47" s="116">
        <v>304</v>
      </c>
      <c r="I47" s="116">
        <v>311</v>
      </c>
      <c r="J47" s="115">
        <v>299</v>
      </c>
      <c r="K47" s="116">
        <v>263</v>
      </c>
      <c r="L47" s="116">
        <v>267</v>
      </c>
      <c r="M47" s="116">
        <v>301</v>
      </c>
      <c r="N47" s="115">
        <v>285</v>
      </c>
      <c r="O47" s="116">
        <v>429</v>
      </c>
      <c r="P47" s="116">
        <v>409</v>
      </c>
      <c r="Q47" s="116">
        <v>552</v>
      </c>
      <c r="R47" s="115">
        <v>666</v>
      </c>
      <c r="S47" s="116">
        <v>592</v>
      </c>
      <c r="T47" s="116">
        <v>616</v>
      </c>
      <c r="U47" s="116">
        <v>674</v>
      </c>
      <c r="V47" s="115">
        <v>613</v>
      </c>
      <c r="W47" s="116">
        <v>593</v>
      </c>
      <c r="X47" s="116">
        <v>765</v>
      </c>
      <c r="Y47" s="116">
        <v>504</v>
      </c>
      <c r="Z47" s="116">
        <v>546</v>
      </c>
      <c r="AB47" s="116">
        <v>479</v>
      </c>
      <c r="AC47" s="116">
        <v>820</v>
      </c>
      <c r="AD47" s="116">
        <v>1375</v>
      </c>
      <c r="AE47" s="116">
        <v>511</v>
      </c>
      <c r="AG47" s="116">
        <v>540</v>
      </c>
      <c r="AH47" s="116">
        <v>511</v>
      </c>
    </row>
    <row r="48" spans="2:34" x14ac:dyDescent="0.35">
      <c r="B48" s="105" t="s">
        <v>136</v>
      </c>
      <c r="C48" s="115">
        <v>0</v>
      </c>
      <c r="D48" s="115">
        <v>0</v>
      </c>
      <c r="E48" s="115">
        <v>1</v>
      </c>
      <c r="F48" s="115">
        <v>1</v>
      </c>
      <c r="G48" s="116">
        <v>1</v>
      </c>
      <c r="H48" s="116">
        <v>1</v>
      </c>
      <c r="I48" s="116">
        <v>0</v>
      </c>
      <c r="J48" s="115">
        <v>45</v>
      </c>
      <c r="K48" s="116">
        <v>128</v>
      </c>
      <c r="L48" s="116">
        <v>1</v>
      </c>
      <c r="M48" s="116">
        <v>626</v>
      </c>
      <c r="N48" s="115">
        <v>1</v>
      </c>
      <c r="O48" s="116">
        <v>3</v>
      </c>
      <c r="P48" s="116">
        <v>166</v>
      </c>
      <c r="Q48" s="116">
        <v>65</v>
      </c>
      <c r="R48" s="115">
        <v>0</v>
      </c>
      <c r="S48" s="116">
        <v>419</v>
      </c>
      <c r="T48" s="116">
        <v>262</v>
      </c>
      <c r="U48" s="116">
        <v>4</v>
      </c>
      <c r="V48" s="115">
        <v>391</v>
      </c>
      <c r="W48" s="116">
        <v>140</v>
      </c>
      <c r="X48" s="116">
        <v>427</v>
      </c>
      <c r="Y48" s="116">
        <v>8</v>
      </c>
      <c r="Z48" s="116">
        <v>55</v>
      </c>
      <c r="AB48" s="116">
        <v>4</v>
      </c>
      <c r="AC48" s="116">
        <v>239</v>
      </c>
      <c r="AD48" s="116">
        <v>448</v>
      </c>
      <c r="AE48" s="116">
        <v>1034</v>
      </c>
      <c r="AG48" s="116">
        <v>421</v>
      </c>
      <c r="AH48" s="116">
        <v>27</v>
      </c>
    </row>
    <row r="49" spans="2:34" x14ac:dyDescent="0.35">
      <c r="B49" s="105" t="s">
        <v>137</v>
      </c>
      <c r="C49" s="115">
        <v>337</v>
      </c>
      <c r="D49" s="115">
        <v>249</v>
      </c>
      <c r="E49" s="115">
        <v>204</v>
      </c>
      <c r="F49" s="115">
        <v>277</v>
      </c>
      <c r="G49" s="116">
        <v>259</v>
      </c>
      <c r="H49" s="116">
        <v>288</v>
      </c>
      <c r="I49" s="116">
        <v>265</v>
      </c>
      <c r="J49" s="115">
        <v>300</v>
      </c>
      <c r="K49" s="116">
        <v>260</v>
      </c>
      <c r="L49" s="116">
        <v>295</v>
      </c>
      <c r="M49" s="116">
        <v>264</v>
      </c>
      <c r="N49" s="115">
        <v>315</v>
      </c>
      <c r="O49" s="116">
        <v>204</v>
      </c>
      <c r="P49" s="116">
        <v>284</v>
      </c>
      <c r="Q49" s="116">
        <v>340</v>
      </c>
      <c r="R49" s="115">
        <v>355</v>
      </c>
      <c r="S49" s="116">
        <v>300</v>
      </c>
      <c r="T49" s="116">
        <v>190</v>
      </c>
      <c r="U49" s="116">
        <v>279</v>
      </c>
      <c r="V49" s="115">
        <v>230</v>
      </c>
      <c r="W49" s="116">
        <v>238</v>
      </c>
      <c r="X49" s="116">
        <v>266</v>
      </c>
      <c r="Y49" s="116">
        <v>191</v>
      </c>
      <c r="Z49" s="116">
        <v>176</v>
      </c>
      <c r="AB49" s="116">
        <v>238</v>
      </c>
      <c r="AC49" s="116">
        <v>123</v>
      </c>
      <c r="AD49" s="116">
        <v>152</v>
      </c>
      <c r="AE49" s="116">
        <v>208</v>
      </c>
      <c r="AG49" s="116">
        <v>194</v>
      </c>
      <c r="AH49" s="116">
        <v>238</v>
      </c>
    </row>
    <row r="50" spans="2:34" x14ac:dyDescent="0.35">
      <c r="B50" s="105" t="s">
        <v>594</v>
      </c>
      <c r="C50" s="115">
        <v>267</v>
      </c>
      <c r="D50" s="115">
        <v>616</v>
      </c>
      <c r="E50" s="115">
        <v>635</v>
      </c>
      <c r="F50" s="115">
        <v>273</v>
      </c>
      <c r="G50" s="116">
        <v>574</v>
      </c>
      <c r="H50" s="116">
        <v>1031</v>
      </c>
      <c r="I50" s="116">
        <v>0</v>
      </c>
      <c r="J50" s="115">
        <v>758</v>
      </c>
      <c r="K50" s="116">
        <v>771</v>
      </c>
      <c r="L50" s="116">
        <v>1514</v>
      </c>
      <c r="M50" s="116">
        <v>1538</v>
      </c>
      <c r="N50" s="115">
        <v>525</v>
      </c>
      <c r="O50" s="116">
        <v>531</v>
      </c>
      <c r="P50" s="116">
        <v>536</v>
      </c>
      <c r="Q50" s="116">
        <v>0</v>
      </c>
      <c r="R50" s="115">
        <v>942</v>
      </c>
      <c r="S50" s="116">
        <v>501</v>
      </c>
      <c r="T50" s="116">
        <v>717</v>
      </c>
      <c r="U50" s="116">
        <v>1</v>
      </c>
      <c r="V50" s="115">
        <v>132</v>
      </c>
      <c r="W50" s="116">
        <v>132</v>
      </c>
      <c r="X50" s="116">
        <v>0</v>
      </c>
      <c r="Y50" s="116">
        <v>359</v>
      </c>
      <c r="Z50" s="116">
        <v>401</v>
      </c>
      <c r="AB50" s="116">
        <v>0</v>
      </c>
      <c r="AC50" s="116">
        <v>0</v>
      </c>
      <c r="AD50" s="116">
        <v>441</v>
      </c>
      <c r="AE50" s="116">
        <v>1124</v>
      </c>
      <c r="AG50" s="116">
        <v>683</v>
      </c>
      <c r="AH50" s="116">
        <v>1154</v>
      </c>
    </row>
    <row r="51" spans="2:34" x14ac:dyDescent="0.35">
      <c r="B51" s="105" t="s">
        <v>595</v>
      </c>
      <c r="C51" s="115">
        <v>190</v>
      </c>
      <c r="D51" s="115">
        <v>216</v>
      </c>
      <c r="E51" s="115">
        <v>246</v>
      </c>
      <c r="F51" s="115">
        <v>193</v>
      </c>
      <c r="G51" s="116">
        <v>224</v>
      </c>
      <c r="H51" s="116">
        <v>263</v>
      </c>
      <c r="I51" s="116">
        <v>326</v>
      </c>
      <c r="J51" s="115">
        <v>290</v>
      </c>
      <c r="K51" s="116">
        <v>213</v>
      </c>
      <c r="L51" s="116">
        <v>281</v>
      </c>
      <c r="M51" s="116">
        <v>270</v>
      </c>
      <c r="N51" s="115">
        <v>309</v>
      </c>
      <c r="O51" s="116">
        <v>193</v>
      </c>
      <c r="P51" s="116">
        <v>211</v>
      </c>
      <c r="Q51" s="116">
        <v>218</v>
      </c>
      <c r="R51" s="115">
        <v>233</v>
      </c>
      <c r="S51" s="116">
        <v>154</v>
      </c>
      <c r="T51" s="116">
        <v>171</v>
      </c>
      <c r="U51" s="116">
        <v>185</v>
      </c>
      <c r="V51" s="115">
        <v>222</v>
      </c>
      <c r="W51" s="116">
        <v>181</v>
      </c>
      <c r="X51" s="116">
        <v>207</v>
      </c>
      <c r="Y51" s="116">
        <v>234</v>
      </c>
      <c r="Z51" s="116">
        <v>220</v>
      </c>
      <c r="AB51" s="116">
        <v>260</v>
      </c>
      <c r="AC51" s="116">
        <v>203</v>
      </c>
      <c r="AD51" s="116">
        <v>240</v>
      </c>
      <c r="AE51" s="116">
        <v>302</v>
      </c>
      <c r="AG51" s="116">
        <v>216</v>
      </c>
      <c r="AH51" s="116">
        <v>245</v>
      </c>
    </row>
    <row r="52" spans="2:34" x14ac:dyDescent="0.35">
      <c r="B52" s="105" t="s">
        <v>220</v>
      </c>
      <c r="C52" s="115">
        <v>0</v>
      </c>
      <c r="D52" s="115">
        <v>0</v>
      </c>
      <c r="E52" s="115">
        <v>0</v>
      </c>
      <c r="F52" s="115">
        <v>0</v>
      </c>
      <c r="G52" s="116"/>
      <c r="H52" s="116">
        <v>0</v>
      </c>
      <c r="I52" s="116">
        <v>0</v>
      </c>
      <c r="J52" s="115">
        <v>0</v>
      </c>
      <c r="K52" s="116">
        <v>54</v>
      </c>
      <c r="L52" s="116">
        <v>30</v>
      </c>
      <c r="M52" s="116">
        <v>41</v>
      </c>
      <c r="N52" s="115">
        <v>0</v>
      </c>
      <c r="O52" s="116">
        <v>0</v>
      </c>
      <c r="P52" s="116">
        <v>0</v>
      </c>
      <c r="Q52" s="116">
        <v>0</v>
      </c>
      <c r="R52" s="115">
        <v>0</v>
      </c>
      <c r="S52" s="116">
        <v>0</v>
      </c>
      <c r="T52" s="116">
        <v>0</v>
      </c>
      <c r="U52" s="116">
        <v>0</v>
      </c>
      <c r="V52" s="115">
        <v>0</v>
      </c>
      <c r="W52" s="116">
        <v>0</v>
      </c>
      <c r="X52" s="116">
        <v>0</v>
      </c>
      <c r="Y52" s="116">
        <v>0</v>
      </c>
      <c r="Z52" s="116">
        <v>0</v>
      </c>
      <c r="AB52" s="116">
        <v>0</v>
      </c>
      <c r="AC52" s="116">
        <v>0</v>
      </c>
      <c r="AD52" s="116">
        <v>0</v>
      </c>
      <c r="AE52" s="116">
        <v>0</v>
      </c>
      <c r="AG52" s="116">
        <v>0</v>
      </c>
      <c r="AH52" s="116">
        <v>0</v>
      </c>
    </row>
    <row r="53" spans="2:34" x14ac:dyDescent="0.35">
      <c r="B53" s="105" t="s">
        <v>221</v>
      </c>
      <c r="C53" s="115">
        <v>9</v>
      </c>
      <c r="D53" s="115">
        <v>96</v>
      </c>
      <c r="E53" s="115">
        <v>445</v>
      </c>
      <c r="F53" s="115">
        <v>8</v>
      </c>
      <c r="G53" s="116">
        <v>30</v>
      </c>
      <c r="H53" s="116">
        <v>8</v>
      </c>
      <c r="I53" s="116">
        <v>8</v>
      </c>
      <c r="J53" s="115">
        <v>83</v>
      </c>
      <c r="K53" s="116">
        <v>69</v>
      </c>
      <c r="L53" s="116">
        <v>14</v>
      </c>
      <c r="M53" s="116">
        <v>9</v>
      </c>
      <c r="N53" s="115">
        <v>2</v>
      </c>
      <c r="O53" s="116">
        <v>1</v>
      </c>
      <c r="P53" s="116">
        <v>0</v>
      </c>
      <c r="Q53" s="116">
        <v>0</v>
      </c>
      <c r="R53" s="115">
        <v>0</v>
      </c>
      <c r="S53" s="116">
        <v>0</v>
      </c>
      <c r="T53" s="116">
        <v>0</v>
      </c>
      <c r="U53" s="116">
        <v>0</v>
      </c>
      <c r="V53" s="115">
        <v>0</v>
      </c>
      <c r="W53" s="116">
        <v>0</v>
      </c>
      <c r="X53" s="116">
        <v>0</v>
      </c>
      <c r="Y53" s="116">
        <v>0</v>
      </c>
      <c r="Z53" s="116">
        <v>0</v>
      </c>
      <c r="AB53" s="116">
        <v>0</v>
      </c>
      <c r="AC53" s="116">
        <v>0</v>
      </c>
      <c r="AD53" s="116">
        <v>0</v>
      </c>
      <c r="AE53" s="116">
        <v>0</v>
      </c>
      <c r="AG53" s="116">
        <v>0</v>
      </c>
      <c r="AH53" s="116">
        <v>0</v>
      </c>
    </row>
    <row r="54" spans="2:34" x14ac:dyDescent="0.35">
      <c r="B54" s="105" t="s">
        <v>222</v>
      </c>
      <c r="C54" s="115">
        <v>61</v>
      </c>
      <c r="D54" s="115">
        <v>0</v>
      </c>
      <c r="E54" s="115">
        <v>0</v>
      </c>
      <c r="F54" s="115">
        <v>26</v>
      </c>
      <c r="G54" s="116">
        <v>0</v>
      </c>
      <c r="H54" s="116">
        <v>0</v>
      </c>
      <c r="I54" s="116">
        <v>0</v>
      </c>
      <c r="J54" s="115">
        <v>0</v>
      </c>
      <c r="K54" s="116">
        <v>80</v>
      </c>
      <c r="L54" s="116">
        <v>0</v>
      </c>
      <c r="M54" s="116">
        <v>0</v>
      </c>
      <c r="N54" s="115">
        <v>0</v>
      </c>
      <c r="O54" s="116">
        <v>0</v>
      </c>
      <c r="P54" s="116">
        <v>0</v>
      </c>
      <c r="Q54" s="116">
        <v>0</v>
      </c>
      <c r="R54" s="115">
        <v>0</v>
      </c>
      <c r="S54" s="116">
        <v>0</v>
      </c>
      <c r="T54" s="116">
        <v>0</v>
      </c>
      <c r="U54" s="116">
        <v>0</v>
      </c>
      <c r="V54" s="115">
        <v>0</v>
      </c>
      <c r="W54" s="116">
        <v>0</v>
      </c>
      <c r="X54" s="116">
        <v>0</v>
      </c>
      <c r="Y54" s="116">
        <v>0</v>
      </c>
      <c r="Z54" s="116">
        <v>0</v>
      </c>
      <c r="AB54" s="116">
        <v>0</v>
      </c>
      <c r="AC54" s="116">
        <v>0</v>
      </c>
      <c r="AD54" s="116">
        <v>0</v>
      </c>
      <c r="AE54" s="116">
        <v>0</v>
      </c>
      <c r="AG54" s="116">
        <v>0</v>
      </c>
      <c r="AH54" s="116">
        <v>0</v>
      </c>
    </row>
    <row r="55" spans="2:34" x14ac:dyDescent="0.35">
      <c r="B55" s="105" t="s">
        <v>113</v>
      </c>
      <c r="C55" s="115">
        <v>0</v>
      </c>
      <c r="D55" s="115">
        <v>0</v>
      </c>
      <c r="E55" s="115">
        <v>0</v>
      </c>
      <c r="F55" s="115">
        <v>0</v>
      </c>
      <c r="G55" s="116">
        <v>0</v>
      </c>
      <c r="H55" s="116">
        <v>0</v>
      </c>
      <c r="I55" s="116">
        <v>0</v>
      </c>
      <c r="J55" s="115">
        <v>0</v>
      </c>
      <c r="K55" s="116">
        <v>0</v>
      </c>
      <c r="L55" s="116">
        <v>0</v>
      </c>
      <c r="M55" s="116">
        <v>0</v>
      </c>
      <c r="N55" s="115">
        <v>115</v>
      </c>
      <c r="O55" s="116">
        <v>9</v>
      </c>
      <c r="P55" s="116">
        <v>3</v>
      </c>
      <c r="Q55" s="116">
        <v>1</v>
      </c>
      <c r="R55" s="115">
        <v>1</v>
      </c>
      <c r="S55" s="116">
        <v>0</v>
      </c>
      <c r="T55" s="116">
        <v>0</v>
      </c>
      <c r="U55" s="116">
        <v>0</v>
      </c>
      <c r="V55" s="115">
        <v>0</v>
      </c>
      <c r="W55" s="116">
        <v>0</v>
      </c>
      <c r="X55" s="116">
        <v>0</v>
      </c>
      <c r="Y55" s="116">
        <v>0</v>
      </c>
      <c r="Z55" s="116">
        <v>0</v>
      </c>
      <c r="AB55" s="116">
        <v>0</v>
      </c>
      <c r="AC55" s="116">
        <v>0</v>
      </c>
      <c r="AD55" s="116">
        <v>0</v>
      </c>
      <c r="AE55" s="116">
        <v>0</v>
      </c>
      <c r="AG55" s="116">
        <v>0</v>
      </c>
      <c r="AH55" s="116">
        <v>0</v>
      </c>
    </row>
    <row r="56" spans="2:34" x14ac:dyDescent="0.35">
      <c r="B56" s="105" t="s">
        <v>436</v>
      </c>
      <c r="C56" s="115">
        <v>0</v>
      </c>
      <c r="D56" s="115">
        <v>0</v>
      </c>
      <c r="E56" s="115">
        <v>0</v>
      </c>
      <c r="F56" s="115">
        <v>0</v>
      </c>
      <c r="G56" s="115">
        <v>0</v>
      </c>
      <c r="H56" s="115">
        <v>0</v>
      </c>
      <c r="I56" s="115">
        <v>0</v>
      </c>
      <c r="J56" s="115">
        <v>0</v>
      </c>
      <c r="K56" s="115">
        <v>0</v>
      </c>
      <c r="L56" s="115">
        <v>0</v>
      </c>
      <c r="M56" s="115">
        <v>0</v>
      </c>
      <c r="N56" s="115">
        <v>0</v>
      </c>
      <c r="O56" s="115">
        <v>0</v>
      </c>
      <c r="P56" s="115">
        <v>0</v>
      </c>
      <c r="Q56" s="115">
        <v>0</v>
      </c>
      <c r="R56" s="115">
        <v>0</v>
      </c>
      <c r="S56" s="115">
        <v>0</v>
      </c>
      <c r="T56" s="115">
        <v>0</v>
      </c>
      <c r="U56" s="115">
        <v>0</v>
      </c>
      <c r="V56" s="115">
        <v>0</v>
      </c>
      <c r="W56" s="116">
        <v>1194</v>
      </c>
      <c r="X56" s="116">
        <v>0</v>
      </c>
      <c r="Y56" s="116">
        <v>0</v>
      </c>
      <c r="Z56" s="116">
        <v>0</v>
      </c>
      <c r="AB56" s="116">
        <v>0</v>
      </c>
      <c r="AC56" s="116">
        <v>0</v>
      </c>
      <c r="AD56" s="116">
        <v>0</v>
      </c>
      <c r="AE56" s="116">
        <v>0</v>
      </c>
      <c r="AG56" s="116">
        <v>0</v>
      </c>
      <c r="AH56" s="116">
        <v>0</v>
      </c>
    </row>
    <row r="57" spans="2:34" x14ac:dyDescent="0.35">
      <c r="B57" s="105" t="s">
        <v>111</v>
      </c>
      <c r="C57" s="115">
        <v>83</v>
      </c>
      <c r="D57" s="115">
        <v>113</v>
      </c>
      <c r="E57" s="115">
        <v>139</v>
      </c>
      <c r="F57" s="115">
        <v>134</v>
      </c>
      <c r="G57" s="116">
        <v>140</v>
      </c>
      <c r="H57" s="116">
        <v>134</v>
      </c>
      <c r="I57" s="116">
        <v>140</v>
      </c>
      <c r="J57" s="115">
        <v>154</v>
      </c>
      <c r="K57" s="116">
        <v>158</v>
      </c>
      <c r="L57" s="116">
        <v>129</v>
      </c>
      <c r="M57" s="116">
        <v>128</v>
      </c>
      <c r="N57" s="115">
        <v>192</v>
      </c>
      <c r="O57" s="116">
        <v>192</v>
      </c>
      <c r="P57" s="116">
        <v>210</v>
      </c>
      <c r="Q57" s="116">
        <v>219</v>
      </c>
      <c r="R57" s="115">
        <v>102</v>
      </c>
      <c r="S57" s="116">
        <v>102</v>
      </c>
      <c r="T57" s="116">
        <v>102</v>
      </c>
      <c r="U57" s="116">
        <v>102</v>
      </c>
      <c r="V57" s="115">
        <v>108</v>
      </c>
      <c r="W57" s="116">
        <v>105</v>
      </c>
      <c r="X57" s="116">
        <v>105</v>
      </c>
      <c r="Y57" s="116">
        <v>69</v>
      </c>
      <c r="Z57" s="116">
        <v>153</v>
      </c>
      <c r="AB57" s="116">
        <v>141</v>
      </c>
      <c r="AC57" s="116">
        <v>106</v>
      </c>
      <c r="AD57" s="116">
        <v>107</v>
      </c>
      <c r="AE57" s="116">
        <v>155</v>
      </c>
      <c r="AG57" s="116">
        <v>155</v>
      </c>
      <c r="AH57" s="116">
        <v>127</v>
      </c>
    </row>
    <row r="58" spans="2:34" x14ac:dyDescent="0.35">
      <c r="B58" s="105" t="s">
        <v>70</v>
      </c>
      <c r="C58" s="115">
        <v>0</v>
      </c>
      <c r="D58" s="115">
        <v>0</v>
      </c>
      <c r="E58" s="115">
        <v>0</v>
      </c>
      <c r="F58" s="115">
        <v>0</v>
      </c>
      <c r="G58" s="116">
        <v>0</v>
      </c>
      <c r="H58" s="116">
        <v>0</v>
      </c>
      <c r="I58" s="116">
        <v>0</v>
      </c>
      <c r="J58" s="115">
        <v>0</v>
      </c>
      <c r="K58" s="116">
        <v>0</v>
      </c>
      <c r="L58" s="116">
        <v>0</v>
      </c>
      <c r="M58" s="116">
        <v>0</v>
      </c>
      <c r="N58" s="115">
        <v>41</v>
      </c>
      <c r="O58" s="116">
        <v>45</v>
      </c>
      <c r="P58" s="116">
        <v>35</v>
      </c>
      <c r="Q58" s="116">
        <v>11</v>
      </c>
      <c r="R58" s="115">
        <v>81</v>
      </c>
      <c r="S58" s="116">
        <v>30</v>
      </c>
      <c r="T58" s="116">
        <v>23</v>
      </c>
      <c r="U58" s="116">
        <v>38</v>
      </c>
      <c r="V58" s="115">
        <v>31</v>
      </c>
      <c r="W58" s="116">
        <v>50</v>
      </c>
      <c r="X58" s="116">
        <v>36</v>
      </c>
      <c r="Y58" s="116">
        <v>64</v>
      </c>
      <c r="Z58" s="116">
        <v>164</v>
      </c>
      <c r="AB58" s="116">
        <v>70</v>
      </c>
      <c r="AC58" s="116">
        <v>26</v>
      </c>
      <c r="AD58" s="116">
        <v>32</v>
      </c>
      <c r="AE58" s="116">
        <v>4</v>
      </c>
      <c r="AG58" s="116">
        <v>14</v>
      </c>
      <c r="AH58" s="116">
        <v>46</v>
      </c>
    </row>
    <row r="59" spans="2:34" x14ac:dyDescent="0.35">
      <c r="B59" s="105" t="s">
        <v>138</v>
      </c>
      <c r="C59" s="115">
        <v>0</v>
      </c>
      <c r="D59" s="115">
        <v>0</v>
      </c>
      <c r="E59" s="115">
        <v>0</v>
      </c>
      <c r="F59" s="115">
        <v>0</v>
      </c>
      <c r="G59" s="116">
        <v>0</v>
      </c>
      <c r="H59" s="116">
        <v>0</v>
      </c>
      <c r="I59" s="116">
        <v>0</v>
      </c>
      <c r="J59" s="115">
        <v>0</v>
      </c>
      <c r="K59" s="116">
        <v>0</v>
      </c>
      <c r="L59" s="116">
        <v>0</v>
      </c>
      <c r="M59" s="116">
        <v>0</v>
      </c>
      <c r="N59" s="115">
        <v>0</v>
      </c>
      <c r="O59" s="116">
        <v>0</v>
      </c>
      <c r="P59" s="116">
        <v>0</v>
      </c>
      <c r="Q59" s="116">
        <v>111</v>
      </c>
      <c r="R59" s="115">
        <v>0</v>
      </c>
      <c r="S59" s="116">
        <v>50</v>
      </c>
      <c r="T59" s="116">
        <v>100</v>
      </c>
      <c r="U59" s="116">
        <v>159</v>
      </c>
      <c r="V59" s="115">
        <v>0</v>
      </c>
      <c r="W59" s="116">
        <v>206</v>
      </c>
      <c r="X59" s="116">
        <v>527</v>
      </c>
      <c r="Y59" s="116">
        <v>838</v>
      </c>
      <c r="Z59" s="116">
        <v>596</v>
      </c>
      <c r="AB59" s="116">
        <v>658</v>
      </c>
      <c r="AC59" s="116">
        <v>1014</v>
      </c>
      <c r="AD59" s="116">
        <v>460</v>
      </c>
      <c r="AE59" s="116">
        <v>48</v>
      </c>
      <c r="AG59" s="116">
        <v>255</v>
      </c>
      <c r="AH59" s="116">
        <v>70</v>
      </c>
    </row>
    <row r="60" spans="2:34" x14ac:dyDescent="0.35">
      <c r="B60" s="105" t="s">
        <v>476</v>
      </c>
      <c r="C60" s="115"/>
      <c r="D60" s="115"/>
      <c r="E60" s="115"/>
      <c r="F60" s="115"/>
      <c r="G60" s="116"/>
      <c r="H60" s="116"/>
      <c r="I60" s="116"/>
      <c r="J60" s="115"/>
      <c r="K60" s="116"/>
      <c r="L60" s="116"/>
      <c r="M60" s="116"/>
      <c r="N60" s="115"/>
      <c r="O60" s="116"/>
      <c r="P60" s="116"/>
      <c r="Q60" s="116"/>
      <c r="R60" s="115"/>
      <c r="S60" s="116"/>
      <c r="T60" s="116"/>
      <c r="U60" s="116"/>
      <c r="V60" s="115">
        <v>21</v>
      </c>
      <c r="W60" s="116"/>
      <c r="X60" s="116"/>
      <c r="Y60" s="116">
        <v>49</v>
      </c>
      <c r="Z60" s="116">
        <v>63</v>
      </c>
      <c r="AB60" s="116">
        <v>63</v>
      </c>
      <c r="AC60" s="116">
        <v>55</v>
      </c>
      <c r="AD60" s="116">
        <v>55</v>
      </c>
      <c r="AE60" s="116">
        <v>182</v>
      </c>
      <c r="AG60" s="116">
        <v>182</v>
      </c>
      <c r="AH60" s="116">
        <v>175</v>
      </c>
    </row>
    <row r="61" spans="2:34" x14ac:dyDescent="0.35">
      <c r="B61" s="105" t="s">
        <v>139</v>
      </c>
      <c r="C61" s="115">
        <v>143</v>
      </c>
      <c r="D61" s="115">
        <v>115</v>
      </c>
      <c r="E61" s="115">
        <v>91</v>
      </c>
      <c r="F61" s="115">
        <v>216</v>
      </c>
      <c r="G61" s="116">
        <v>153</v>
      </c>
      <c r="H61" s="116">
        <v>169</v>
      </c>
      <c r="I61" s="116">
        <v>153</v>
      </c>
      <c r="J61" s="115">
        <v>143</v>
      </c>
      <c r="K61" s="116">
        <v>155</v>
      </c>
      <c r="L61" s="116">
        <v>155</v>
      </c>
      <c r="M61" s="116">
        <v>216</v>
      </c>
      <c r="N61" s="115">
        <v>166</v>
      </c>
      <c r="O61" s="116">
        <v>182</v>
      </c>
      <c r="P61" s="116">
        <v>181</v>
      </c>
      <c r="Q61" s="116">
        <v>134</v>
      </c>
      <c r="R61" s="115">
        <v>169</v>
      </c>
      <c r="S61" s="116">
        <v>161</v>
      </c>
      <c r="T61" s="116">
        <v>207</v>
      </c>
      <c r="U61" s="116">
        <v>291</v>
      </c>
      <c r="V61" s="115">
        <v>295</v>
      </c>
      <c r="W61" s="116">
        <v>541</v>
      </c>
      <c r="X61" s="116">
        <v>325</v>
      </c>
      <c r="Y61" s="116">
        <v>350</v>
      </c>
      <c r="Z61" s="116">
        <v>314</v>
      </c>
      <c r="AB61" s="116">
        <v>288</v>
      </c>
      <c r="AC61" s="116">
        <v>299</v>
      </c>
      <c r="AD61" s="116">
        <v>603</v>
      </c>
      <c r="AE61" s="116">
        <v>462</v>
      </c>
      <c r="AG61" s="116">
        <v>525</v>
      </c>
      <c r="AH61" s="116">
        <v>271</v>
      </c>
    </row>
    <row r="62" spans="2:34" ht="9.75" customHeight="1" x14ac:dyDescent="0.35">
      <c r="B62" s="67"/>
      <c r="C62" s="121"/>
      <c r="D62" s="121"/>
      <c r="E62" s="121"/>
      <c r="F62" s="121"/>
      <c r="G62" s="122"/>
      <c r="H62" s="122"/>
      <c r="I62" s="122"/>
      <c r="J62" s="121"/>
      <c r="K62" s="122"/>
      <c r="L62" s="122"/>
      <c r="M62" s="122"/>
      <c r="N62" s="121"/>
      <c r="O62" s="122"/>
      <c r="P62" s="122"/>
      <c r="Q62" s="122"/>
      <c r="R62" s="121"/>
      <c r="S62" s="122"/>
      <c r="T62" s="122"/>
      <c r="U62" s="122"/>
      <c r="V62" s="121"/>
      <c r="W62" s="122"/>
      <c r="X62" s="122"/>
      <c r="Y62" s="122"/>
      <c r="Z62" s="122"/>
      <c r="AB62" s="122"/>
      <c r="AC62" s="122"/>
      <c r="AD62" s="122"/>
      <c r="AE62" s="122"/>
      <c r="AG62" s="122"/>
      <c r="AH62" s="122"/>
    </row>
    <row r="63" spans="2:34" s="13" customFormat="1" x14ac:dyDescent="0.35">
      <c r="B63" s="102" t="s">
        <v>72</v>
      </c>
      <c r="C63" s="113">
        <v>3561</v>
      </c>
      <c r="D63" s="113">
        <v>15724</v>
      </c>
      <c r="E63" s="113">
        <v>18359</v>
      </c>
      <c r="F63" s="113">
        <v>10523</v>
      </c>
      <c r="G63" s="114">
        <f>SUM(G64:G70)</f>
        <v>10532</v>
      </c>
      <c r="H63" s="114">
        <f>SUM(H64:H70)</f>
        <v>10688</v>
      </c>
      <c r="I63" s="114">
        <f>SUM(I64:I70)</f>
        <v>10448</v>
      </c>
      <c r="J63" s="113">
        <v>11098</v>
      </c>
      <c r="K63" s="114">
        <f>SUM(K64:K70)</f>
        <v>11855</v>
      </c>
      <c r="L63" s="114">
        <f>SUM(L64:L70)</f>
        <v>7872</v>
      </c>
      <c r="M63" s="114">
        <f>SUM(M64:M70)</f>
        <v>7952</v>
      </c>
      <c r="N63" s="113">
        <v>8501</v>
      </c>
      <c r="O63" s="114">
        <v>11661</v>
      </c>
      <c r="P63" s="114">
        <v>11776</v>
      </c>
      <c r="Q63" s="114">
        <v>12020</v>
      </c>
      <c r="R63" s="113">
        <v>9178</v>
      </c>
      <c r="S63" s="114">
        <v>11859</v>
      </c>
      <c r="T63" s="114">
        <v>11219</v>
      </c>
      <c r="U63" s="114">
        <v>12180</v>
      </c>
      <c r="V63" s="113">
        <v>14237</v>
      </c>
      <c r="W63" s="114">
        <f>SUM(W64:W70)</f>
        <v>15441</v>
      </c>
      <c r="X63" s="114">
        <v>16782</v>
      </c>
      <c r="Y63" s="114">
        <v>17555</v>
      </c>
      <c r="Z63" s="114">
        <f>SUM(Z64:Z70)</f>
        <v>18873</v>
      </c>
      <c r="AB63" s="114">
        <v>19155</v>
      </c>
      <c r="AC63" s="114">
        <f>SUM(AC64:AC70)</f>
        <v>19067</v>
      </c>
      <c r="AD63" s="114">
        <f>SUM(AD64:AD70)</f>
        <v>17795</v>
      </c>
      <c r="AE63" s="114">
        <f>SUM(AE64:AE70)</f>
        <v>17754</v>
      </c>
      <c r="AG63" s="114">
        <f>SUM(AG64:AG70)</f>
        <v>16112</v>
      </c>
      <c r="AH63" s="114">
        <f>SUM(AH64:AH70)</f>
        <v>17813</v>
      </c>
    </row>
    <row r="64" spans="2:34" x14ac:dyDescent="0.35">
      <c r="B64" s="105" t="s">
        <v>125</v>
      </c>
      <c r="C64" s="115">
        <v>1072</v>
      </c>
      <c r="D64" s="115">
        <v>12250</v>
      </c>
      <c r="E64" s="115">
        <v>12009</v>
      </c>
      <c r="F64" s="115">
        <v>4455</v>
      </c>
      <c r="G64" s="116">
        <v>4328</v>
      </c>
      <c r="H64" s="116">
        <v>4343</v>
      </c>
      <c r="I64" s="116">
        <v>5291</v>
      </c>
      <c r="J64" s="115">
        <v>5314</v>
      </c>
      <c r="K64" s="116">
        <v>5169</v>
      </c>
      <c r="L64" s="116">
        <v>1676</v>
      </c>
      <c r="M64" s="116">
        <v>1681</v>
      </c>
      <c r="N64" s="115">
        <v>1703</v>
      </c>
      <c r="O64" s="116">
        <v>4784</v>
      </c>
      <c r="P64" s="116">
        <v>5795</v>
      </c>
      <c r="Q64" s="116">
        <v>5909</v>
      </c>
      <c r="R64" s="115">
        <v>5675</v>
      </c>
      <c r="S64" s="116">
        <v>8299</v>
      </c>
      <c r="T64" s="116">
        <v>7642</v>
      </c>
      <c r="U64" s="116">
        <v>8715</v>
      </c>
      <c r="V64" s="115">
        <v>11670</v>
      </c>
      <c r="W64" s="116">
        <v>11678</v>
      </c>
      <c r="X64" s="116">
        <v>13124</v>
      </c>
      <c r="Y64" s="116">
        <v>13735</v>
      </c>
      <c r="Z64" s="116">
        <v>14883</v>
      </c>
      <c r="AB64" s="116">
        <v>15181</v>
      </c>
      <c r="AC64" s="116">
        <v>14741</v>
      </c>
      <c r="AD64" s="116">
        <v>13736</v>
      </c>
      <c r="AE64" s="116">
        <v>13421</v>
      </c>
      <c r="AG64" s="116">
        <v>12071</v>
      </c>
      <c r="AH64" s="116">
        <v>14431</v>
      </c>
    </row>
    <row r="65" spans="2:34" x14ac:dyDescent="0.35">
      <c r="B65" s="105" t="s">
        <v>129</v>
      </c>
      <c r="C65" s="115">
        <v>97</v>
      </c>
      <c r="D65" s="115">
        <v>81</v>
      </c>
      <c r="E65" s="115">
        <v>67</v>
      </c>
      <c r="F65" s="115">
        <v>43</v>
      </c>
      <c r="G65" s="116">
        <v>44</v>
      </c>
      <c r="H65" s="116">
        <v>43</v>
      </c>
      <c r="I65" s="116">
        <v>43</v>
      </c>
      <c r="J65" s="115">
        <v>19</v>
      </c>
      <c r="K65" s="116">
        <v>809</v>
      </c>
      <c r="L65" s="116">
        <v>632</v>
      </c>
      <c r="M65" s="116">
        <v>648</v>
      </c>
      <c r="N65" s="115">
        <v>731</v>
      </c>
      <c r="O65" s="116">
        <v>733</v>
      </c>
      <c r="P65" s="116">
        <v>693</v>
      </c>
      <c r="Q65" s="116">
        <v>669</v>
      </c>
      <c r="R65" s="115">
        <v>681</v>
      </c>
      <c r="S65" s="116">
        <v>709</v>
      </c>
      <c r="T65" s="116">
        <v>698</v>
      </c>
      <c r="U65" s="116">
        <v>731</v>
      </c>
      <c r="V65" s="115">
        <v>706</v>
      </c>
      <c r="W65" s="116">
        <v>699</v>
      </c>
      <c r="X65" s="116">
        <v>712</v>
      </c>
      <c r="Y65" s="116">
        <v>734</v>
      </c>
      <c r="Z65" s="116">
        <v>706</v>
      </c>
      <c r="AB65" s="116">
        <v>693</v>
      </c>
      <c r="AC65" s="116">
        <v>675</v>
      </c>
      <c r="AD65" s="116">
        <v>659</v>
      </c>
      <c r="AE65" s="116">
        <v>627</v>
      </c>
      <c r="AG65" s="116">
        <v>625</v>
      </c>
      <c r="AH65" s="116">
        <v>291</v>
      </c>
    </row>
    <row r="66" spans="2:34" x14ac:dyDescent="0.35">
      <c r="B66" s="105" t="s">
        <v>111</v>
      </c>
      <c r="C66" s="115">
        <v>2001</v>
      </c>
      <c r="D66" s="115">
        <v>2262</v>
      </c>
      <c r="E66" s="115">
        <v>4172</v>
      </c>
      <c r="F66" s="115">
        <v>3932</v>
      </c>
      <c r="G66" s="116">
        <v>3997</v>
      </c>
      <c r="H66" s="116">
        <v>4059</v>
      </c>
      <c r="I66" s="116">
        <v>4120</v>
      </c>
      <c r="J66" s="115">
        <v>4755</v>
      </c>
      <c r="K66" s="116">
        <v>4831</v>
      </c>
      <c r="L66" s="116">
        <v>4498</v>
      </c>
      <c r="M66" s="116">
        <v>4563</v>
      </c>
      <c r="N66" s="115">
        <v>5019</v>
      </c>
      <c r="O66" s="116">
        <v>5085</v>
      </c>
      <c r="P66" s="116">
        <v>4309</v>
      </c>
      <c r="Q66" s="116">
        <v>4334</v>
      </c>
      <c r="R66" s="115">
        <v>1768</v>
      </c>
      <c r="S66" s="116">
        <v>1765</v>
      </c>
      <c r="T66" s="116">
        <v>1736</v>
      </c>
      <c r="U66" s="116">
        <v>1729</v>
      </c>
      <c r="V66" s="115">
        <v>751</v>
      </c>
      <c r="W66" s="116">
        <v>674</v>
      </c>
      <c r="X66" s="116">
        <v>664</v>
      </c>
      <c r="Y66" s="116">
        <v>745</v>
      </c>
      <c r="Z66" s="116">
        <v>828</v>
      </c>
      <c r="AB66" s="116">
        <v>794</v>
      </c>
      <c r="AC66" s="116">
        <v>780</v>
      </c>
      <c r="AD66" s="116">
        <v>771</v>
      </c>
      <c r="AE66" s="116">
        <v>1251</v>
      </c>
      <c r="AG66" s="116">
        <v>1210</v>
      </c>
      <c r="AH66" s="116">
        <v>1193</v>
      </c>
    </row>
    <row r="67" spans="2:34" x14ac:dyDescent="0.35">
      <c r="B67" s="105" t="s">
        <v>140</v>
      </c>
      <c r="C67" s="115">
        <v>0</v>
      </c>
      <c r="D67" s="115">
        <v>0</v>
      </c>
      <c r="E67" s="115">
        <v>0</v>
      </c>
      <c r="F67" s="115">
        <v>0</v>
      </c>
      <c r="G67" s="116">
        <v>0</v>
      </c>
      <c r="H67" s="116">
        <v>0</v>
      </c>
      <c r="I67" s="116">
        <v>0</v>
      </c>
      <c r="J67" s="115">
        <v>0</v>
      </c>
      <c r="K67" s="116">
        <v>0</v>
      </c>
      <c r="L67" s="116">
        <v>0</v>
      </c>
      <c r="M67" s="116">
        <v>0</v>
      </c>
      <c r="N67" s="115">
        <v>0</v>
      </c>
      <c r="O67" s="116">
        <v>0</v>
      </c>
      <c r="P67" s="116">
        <v>0</v>
      </c>
      <c r="Q67" s="116">
        <v>0</v>
      </c>
      <c r="R67" s="115">
        <v>0</v>
      </c>
      <c r="S67" s="116">
        <v>0</v>
      </c>
      <c r="T67" s="116">
        <v>202</v>
      </c>
      <c r="U67" s="116">
        <v>46</v>
      </c>
      <c r="V67" s="115">
        <v>41</v>
      </c>
      <c r="W67" s="116">
        <v>677</v>
      </c>
      <c r="X67" s="116">
        <v>558</v>
      </c>
      <c r="Y67" s="116">
        <v>535</v>
      </c>
      <c r="Z67" s="116">
        <v>664</v>
      </c>
      <c r="AB67" s="116">
        <v>680</v>
      </c>
      <c r="AC67" s="116">
        <v>1043</v>
      </c>
      <c r="AD67" s="116">
        <v>761</v>
      </c>
      <c r="AE67" s="116">
        <v>810</v>
      </c>
      <c r="AG67" s="116">
        <v>651</v>
      </c>
      <c r="AH67" s="116">
        <v>304</v>
      </c>
    </row>
    <row r="68" spans="2:34" x14ac:dyDescent="0.35">
      <c r="B68" s="105" t="s">
        <v>141</v>
      </c>
      <c r="C68" s="115">
        <v>357</v>
      </c>
      <c r="D68" s="115">
        <v>1105</v>
      </c>
      <c r="E68" s="115">
        <v>2090</v>
      </c>
      <c r="F68" s="115">
        <v>2079</v>
      </c>
      <c r="G68" s="116">
        <v>2151</v>
      </c>
      <c r="H68" s="116">
        <v>2232</v>
      </c>
      <c r="I68" s="116">
        <v>984</v>
      </c>
      <c r="J68" s="115">
        <v>1001</v>
      </c>
      <c r="K68" s="116">
        <v>1037</v>
      </c>
      <c r="L68" s="116">
        <v>1057</v>
      </c>
      <c r="M68" s="116">
        <v>1051</v>
      </c>
      <c r="N68" s="115">
        <v>1040</v>
      </c>
      <c r="O68" s="116">
        <v>1051</v>
      </c>
      <c r="P68" s="116">
        <v>970</v>
      </c>
      <c r="Q68" s="116">
        <v>964</v>
      </c>
      <c r="R68" s="115">
        <v>899</v>
      </c>
      <c r="S68" s="116">
        <v>918</v>
      </c>
      <c r="T68" s="116">
        <v>834</v>
      </c>
      <c r="U68" s="116">
        <v>852</v>
      </c>
      <c r="V68" s="115">
        <v>988</v>
      </c>
      <c r="W68" s="116">
        <v>962</v>
      </c>
      <c r="X68" s="116">
        <v>944</v>
      </c>
      <c r="Y68" s="116">
        <v>906</v>
      </c>
      <c r="Z68" s="116">
        <v>919</v>
      </c>
      <c r="AB68" s="116">
        <v>936</v>
      </c>
      <c r="AC68" s="116">
        <v>954</v>
      </c>
      <c r="AD68" s="116">
        <v>994</v>
      </c>
      <c r="AE68" s="116">
        <v>1135</v>
      </c>
      <c r="AG68" s="116">
        <v>1053</v>
      </c>
      <c r="AH68" s="116">
        <v>1088</v>
      </c>
    </row>
    <row r="69" spans="2:34" x14ac:dyDescent="0.35">
      <c r="B69" s="105" t="s">
        <v>441</v>
      </c>
      <c r="C69" s="115">
        <v>0</v>
      </c>
      <c r="D69" s="115">
        <v>0</v>
      </c>
      <c r="E69" s="115">
        <v>0</v>
      </c>
      <c r="F69" s="115">
        <v>0</v>
      </c>
      <c r="G69" s="115">
        <v>0</v>
      </c>
      <c r="H69" s="115">
        <v>0</v>
      </c>
      <c r="I69" s="115">
        <v>0</v>
      </c>
      <c r="J69" s="115">
        <v>0</v>
      </c>
      <c r="K69" s="115">
        <v>0</v>
      </c>
      <c r="L69" s="115">
        <v>0</v>
      </c>
      <c r="M69" s="115">
        <v>0</v>
      </c>
      <c r="N69" s="115">
        <v>0</v>
      </c>
      <c r="O69" s="115">
        <v>0</v>
      </c>
      <c r="P69" s="115">
        <v>0</v>
      </c>
      <c r="Q69" s="115">
        <v>0</v>
      </c>
      <c r="R69" s="115">
        <v>0</v>
      </c>
      <c r="S69" s="115">
        <v>0</v>
      </c>
      <c r="T69" s="115">
        <v>0</v>
      </c>
      <c r="U69" s="115">
        <v>0</v>
      </c>
      <c r="V69" s="115">
        <v>0</v>
      </c>
      <c r="W69" s="115">
        <v>0</v>
      </c>
      <c r="X69" s="116">
        <v>492</v>
      </c>
      <c r="Y69" s="116">
        <v>631</v>
      </c>
      <c r="Z69" s="116">
        <v>623</v>
      </c>
      <c r="AB69" s="116">
        <v>623</v>
      </c>
      <c r="AC69" s="116">
        <v>623</v>
      </c>
      <c r="AD69" s="116">
        <v>623</v>
      </c>
      <c r="AE69" s="116">
        <v>485</v>
      </c>
      <c r="AG69" s="116">
        <v>480</v>
      </c>
      <c r="AH69" s="116">
        <v>480</v>
      </c>
    </row>
    <row r="70" spans="2:34" x14ac:dyDescent="0.35">
      <c r="B70" s="105" t="s">
        <v>139</v>
      </c>
      <c r="C70" s="115">
        <v>34</v>
      </c>
      <c r="D70" s="115">
        <v>26</v>
      </c>
      <c r="E70" s="115">
        <v>21</v>
      </c>
      <c r="F70" s="115">
        <v>14</v>
      </c>
      <c r="G70" s="116">
        <v>12</v>
      </c>
      <c r="H70" s="116">
        <v>11</v>
      </c>
      <c r="I70" s="116">
        <v>10</v>
      </c>
      <c r="J70" s="115">
        <v>9</v>
      </c>
      <c r="K70" s="116">
        <v>9</v>
      </c>
      <c r="L70" s="116">
        <v>9</v>
      </c>
      <c r="M70" s="116">
        <v>9</v>
      </c>
      <c r="N70" s="115">
        <v>8</v>
      </c>
      <c r="O70" s="116">
        <v>8</v>
      </c>
      <c r="P70" s="116">
        <v>9</v>
      </c>
      <c r="Q70" s="116">
        <v>144</v>
      </c>
      <c r="R70" s="115">
        <v>155</v>
      </c>
      <c r="S70" s="116">
        <v>168</v>
      </c>
      <c r="T70" s="116">
        <v>107</v>
      </c>
      <c r="U70" s="116">
        <v>107</v>
      </c>
      <c r="V70" s="115">
        <v>81</v>
      </c>
      <c r="W70" s="116">
        <v>751</v>
      </c>
      <c r="X70" s="116">
        <v>288</v>
      </c>
      <c r="Y70" s="116">
        <v>269</v>
      </c>
      <c r="Z70" s="116">
        <v>250</v>
      </c>
      <c r="AB70" s="116">
        <v>248</v>
      </c>
      <c r="AC70" s="116">
        <v>251</v>
      </c>
      <c r="AD70" s="116">
        <v>251</v>
      </c>
      <c r="AE70" s="116">
        <v>25</v>
      </c>
      <c r="AG70" s="116">
        <v>22</v>
      </c>
      <c r="AH70" s="116">
        <v>26</v>
      </c>
    </row>
    <row r="71" spans="2:34" ht="6" customHeight="1" x14ac:dyDescent="0.35">
      <c r="B71" s="67"/>
      <c r="C71" s="121"/>
      <c r="D71" s="121"/>
      <c r="E71" s="121"/>
      <c r="F71" s="121"/>
      <c r="G71" s="52"/>
      <c r="H71" s="94"/>
      <c r="I71" s="122"/>
      <c r="J71" s="121"/>
      <c r="K71" s="52"/>
      <c r="L71" s="52"/>
      <c r="M71" s="52"/>
      <c r="N71" s="121"/>
      <c r="O71" s="122"/>
      <c r="P71" s="122"/>
      <c r="Q71" s="122"/>
      <c r="R71" s="121"/>
      <c r="S71" s="122"/>
      <c r="T71" s="122"/>
      <c r="U71" s="122"/>
      <c r="V71" s="121"/>
      <c r="W71" s="122"/>
      <c r="X71" s="122"/>
      <c r="Y71" s="122"/>
      <c r="Z71" s="122"/>
      <c r="AB71" s="122"/>
      <c r="AC71" s="122"/>
      <c r="AD71" s="122"/>
      <c r="AE71" s="122"/>
      <c r="AG71" s="122"/>
      <c r="AH71" s="122"/>
    </row>
    <row r="72" spans="2:34" s="13" customFormat="1" x14ac:dyDescent="0.35">
      <c r="B72" s="102" t="s">
        <v>81</v>
      </c>
      <c r="C72" s="113">
        <v>12121</v>
      </c>
      <c r="D72" s="113">
        <v>9925</v>
      </c>
      <c r="E72" s="113">
        <v>7410</v>
      </c>
      <c r="F72" s="113">
        <v>8826</v>
      </c>
      <c r="G72" s="114">
        <f>SUM(G73:G77)</f>
        <v>8510</v>
      </c>
      <c r="H72" s="114">
        <f>SUM(H73:H77)</f>
        <v>8340</v>
      </c>
      <c r="I72" s="114">
        <f>SUM(I73:I77)</f>
        <v>9418</v>
      </c>
      <c r="J72" s="113">
        <v>9686</v>
      </c>
      <c r="K72" s="114">
        <f>SUM(K73:K77)</f>
        <v>10163</v>
      </c>
      <c r="L72" s="114">
        <f>SUM(L73:L77)</f>
        <v>8266</v>
      </c>
      <c r="M72" s="114">
        <f>SUM(M73:M77)</f>
        <v>9602</v>
      </c>
      <c r="N72" s="113">
        <v>8766</v>
      </c>
      <c r="O72" s="114">
        <v>9000</v>
      </c>
      <c r="P72" s="114">
        <v>9813</v>
      </c>
      <c r="Q72" s="114">
        <v>9615</v>
      </c>
      <c r="R72" s="113">
        <v>12207</v>
      </c>
      <c r="S72" s="114">
        <v>12700</v>
      </c>
      <c r="T72" s="114">
        <v>11775</v>
      </c>
      <c r="U72" s="114">
        <v>11287</v>
      </c>
      <c r="V72" s="113">
        <v>12308</v>
      </c>
      <c r="W72" s="114">
        <f>SUM(W73:W77)</f>
        <v>12582</v>
      </c>
      <c r="X72" s="114">
        <v>13067</v>
      </c>
      <c r="Y72" s="114">
        <v>12636</v>
      </c>
      <c r="Z72" s="114">
        <f>SUM(Z73:Z77)</f>
        <v>12613</v>
      </c>
      <c r="AB72" s="114">
        <v>12695</v>
      </c>
      <c r="AC72" s="114">
        <f>SUM(AC73:AC77)</f>
        <v>12818</v>
      </c>
      <c r="AD72" s="114">
        <f>SUM(AD73:AD77)</f>
        <v>13555</v>
      </c>
      <c r="AE72" s="114">
        <f>SUM(AE73:AE77)</f>
        <v>15731</v>
      </c>
      <c r="AG72" s="114">
        <f>SUM(AG73:AG77)</f>
        <v>16556</v>
      </c>
      <c r="AH72" s="114">
        <f>SUM(AH73:AH77)</f>
        <v>16538</v>
      </c>
    </row>
    <row r="73" spans="2:34" x14ac:dyDescent="0.35">
      <c r="B73" s="105" t="s">
        <v>82</v>
      </c>
      <c r="C73" s="115">
        <v>5991</v>
      </c>
      <c r="D73" s="115">
        <v>6352</v>
      </c>
      <c r="E73" s="115">
        <v>6352</v>
      </c>
      <c r="F73" s="115">
        <v>6352</v>
      </c>
      <c r="G73" s="116">
        <v>6352</v>
      </c>
      <c r="H73" s="116">
        <v>6353</v>
      </c>
      <c r="I73" s="116">
        <v>6353</v>
      </c>
      <c r="J73" s="115">
        <v>6353</v>
      </c>
      <c r="K73" s="116">
        <v>6353</v>
      </c>
      <c r="L73" s="116">
        <v>6353</v>
      </c>
      <c r="M73" s="116">
        <v>6353</v>
      </c>
      <c r="N73" s="115">
        <v>6353</v>
      </c>
      <c r="O73" s="116">
        <v>6353</v>
      </c>
      <c r="P73" s="116">
        <v>6353</v>
      </c>
      <c r="Q73" s="116">
        <v>6353</v>
      </c>
      <c r="R73" s="115">
        <v>6353</v>
      </c>
      <c r="S73" s="116">
        <v>6353</v>
      </c>
      <c r="T73" s="116">
        <v>6353</v>
      </c>
      <c r="U73" s="116">
        <v>6353</v>
      </c>
      <c r="V73" s="115">
        <v>6353</v>
      </c>
      <c r="W73" s="116">
        <v>6353</v>
      </c>
      <c r="X73" s="116">
        <v>7579</v>
      </c>
      <c r="Y73" s="116">
        <v>7579</v>
      </c>
      <c r="Z73" s="116">
        <v>7579</v>
      </c>
      <c r="AB73" s="116">
        <v>7579</v>
      </c>
      <c r="AC73" s="116">
        <v>7579</v>
      </c>
      <c r="AD73" s="116">
        <v>7579</v>
      </c>
      <c r="AE73" s="116">
        <v>7579</v>
      </c>
      <c r="AG73" s="116">
        <v>7579</v>
      </c>
      <c r="AH73" s="116">
        <v>10034</v>
      </c>
    </row>
    <row r="74" spans="2:34" x14ac:dyDescent="0.35">
      <c r="B74" s="105" t="s">
        <v>85</v>
      </c>
      <c r="C74" s="115">
        <v>0</v>
      </c>
      <c r="D74" s="115">
        <v>0</v>
      </c>
      <c r="E74" s="115">
        <v>0</v>
      </c>
      <c r="F74" s="115">
        <v>0</v>
      </c>
      <c r="G74" s="116">
        <v>0</v>
      </c>
      <c r="H74" s="116">
        <v>0</v>
      </c>
      <c r="I74" s="116">
        <v>0</v>
      </c>
      <c r="J74" s="115">
        <v>0</v>
      </c>
      <c r="K74" s="116">
        <v>0</v>
      </c>
      <c r="L74" s="116">
        <v>0</v>
      </c>
      <c r="M74" s="116">
        <v>0</v>
      </c>
      <c r="N74" s="115">
        <v>0</v>
      </c>
      <c r="O74" s="116">
        <v>0</v>
      </c>
      <c r="P74" s="116">
        <v>0</v>
      </c>
      <c r="Q74" s="116">
        <v>0</v>
      </c>
      <c r="R74" s="115">
        <v>0</v>
      </c>
      <c r="S74" s="116">
        <v>0</v>
      </c>
      <c r="T74" s="116">
        <v>0</v>
      </c>
      <c r="U74" s="116">
        <v>-704</v>
      </c>
      <c r="V74" s="115">
        <v>-918</v>
      </c>
      <c r="W74" s="116">
        <v>-952</v>
      </c>
      <c r="X74" s="116">
        <v>-1152</v>
      </c>
      <c r="Y74" s="116">
        <v>-1152</v>
      </c>
      <c r="Z74" s="116">
        <v>-1152</v>
      </c>
      <c r="AB74" s="116">
        <v>-1152</v>
      </c>
      <c r="AC74" s="116">
        <v>-1152</v>
      </c>
      <c r="AD74" s="116">
        <v>-1152</v>
      </c>
      <c r="AE74" s="116">
        <v>-1150</v>
      </c>
      <c r="AG74" s="116">
        <v>-1150</v>
      </c>
      <c r="AH74" s="116">
        <v>-84</v>
      </c>
    </row>
    <row r="75" spans="2:34" x14ac:dyDescent="0.35">
      <c r="B75" s="105" t="s">
        <v>84</v>
      </c>
      <c r="C75" s="115">
        <v>0</v>
      </c>
      <c r="D75" s="115">
        <v>0</v>
      </c>
      <c r="E75" s="115">
        <v>0</v>
      </c>
      <c r="F75" s="115">
        <v>0</v>
      </c>
      <c r="G75" s="116">
        <v>0</v>
      </c>
      <c r="H75" s="116">
        <v>0</v>
      </c>
      <c r="I75" s="116">
        <v>0</v>
      </c>
      <c r="J75" s="115">
        <v>0</v>
      </c>
      <c r="K75" s="116">
        <v>0</v>
      </c>
      <c r="L75" s="116">
        <v>0</v>
      </c>
      <c r="M75" s="116">
        <v>0</v>
      </c>
      <c r="N75" s="115">
        <v>0</v>
      </c>
      <c r="O75" s="116">
        <v>0</v>
      </c>
      <c r="P75" s="116">
        <v>0</v>
      </c>
      <c r="Q75" s="116">
        <v>1</v>
      </c>
      <c r="R75" s="115">
        <v>4</v>
      </c>
      <c r="S75" s="116">
        <v>5</v>
      </c>
      <c r="T75" s="116">
        <v>6</v>
      </c>
      <c r="U75" s="116">
        <v>13</v>
      </c>
      <c r="V75" s="115">
        <v>17</v>
      </c>
      <c r="W75" s="116">
        <v>21</v>
      </c>
      <c r="X75" s="116">
        <v>24</v>
      </c>
      <c r="Y75" s="116">
        <v>28</v>
      </c>
      <c r="Z75" s="116">
        <v>40</v>
      </c>
      <c r="AB75" s="116">
        <v>46</v>
      </c>
      <c r="AC75" s="116">
        <v>49</v>
      </c>
      <c r="AD75" s="116">
        <v>45</v>
      </c>
      <c r="AE75" s="116">
        <v>59</v>
      </c>
      <c r="AG75" s="116">
        <v>87</v>
      </c>
      <c r="AH75" s="116">
        <v>86</v>
      </c>
    </row>
    <row r="76" spans="2:34" x14ac:dyDescent="0.35">
      <c r="B76" s="105" t="s">
        <v>83</v>
      </c>
      <c r="C76" s="115">
        <v>6559</v>
      </c>
      <c r="D76" s="115">
        <v>4107</v>
      </c>
      <c r="E76" s="115">
        <v>3045</v>
      </c>
      <c r="F76" s="115">
        <v>3897</v>
      </c>
      <c r="G76" s="116">
        <v>3581</v>
      </c>
      <c r="H76" s="116">
        <v>3410</v>
      </c>
      <c r="I76" s="116">
        <v>4488</v>
      </c>
      <c r="J76" s="115">
        <v>5259</v>
      </c>
      <c r="K76" s="116">
        <v>5736</v>
      </c>
      <c r="L76" s="116">
        <v>3839</v>
      </c>
      <c r="M76" s="116">
        <v>5175</v>
      </c>
      <c r="N76" s="115">
        <v>4681</v>
      </c>
      <c r="O76" s="116">
        <v>4915</v>
      </c>
      <c r="P76" s="116">
        <v>5103</v>
      </c>
      <c r="Q76" s="116">
        <v>4904</v>
      </c>
      <c r="R76" s="115">
        <v>7055</v>
      </c>
      <c r="S76" s="116">
        <v>7547</v>
      </c>
      <c r="T76" s="116">
        <v>6621</v>
      </c>
      <c r="U76" s="116">
        <v>6830</v>
      </c>
      <c r="V76" s="115">
        <v>7580</v>
      </c>
      <c r="W76" s="116">
        <v>7905</v>
      </c>
      <c r="X76" s="116">
        <v>7386</v>
      </c>
      <c r="Y76" s="116">
        <v>6936</v>
      </c>
      <c r="Z76" s="116">
        <v>7067</v>
      </c>
      <c r="AB76" s="116">
        <v>7148</v>
      </c>
      <c r="AC76" s="116">
        <v>7281</v>
      </c>
      <c r="AD76" s="116">
        <v>8058</v>
      </c>
      <c r="AE76" s="116">
        <v>10633</v>
      </c>
      <c r="AG76" s="116">
        <v>11422</v>
      </c>
      <c r="AH76" s="116">
        <v>7851</v>
      </c>
    </row>
    <row r="77" spans="2:34" x14ac:dyDescent="0.35">
      <c r="B77" s="105" t="s">
        <v>86</v>
      </c>
      <c r="C77" s="115">
        <v>-429</v>
      </c>
      <c r="D77" s="115">
        <v>-534</v>
      </c>
      <c r="E77" s="115">
        <v>-1987</v>
      </c>
      <c r="F77" s="115">
        <v>-1423</v>
      </c>
      <c r="G77" s="116">
        <v>-1423</v>
      </c>
      <c r="H77" s="116">
        <v>-1423</v>
      </c>
      <c r="I77" s="116">
        <v>-1423</v>
      </c>
      <c r="J77" s="115">
        <v>-1926</v>
      </c>
      <c r="K77" s="116">
        <v>-1926</v>
      </c>
      <c r="L77" s="116">
        <v>-1926</v>
      </c>
      <c r="M77" s="116">
        <v>-1926</v>
      </c>
      <c r="N77" s="115">
        <v>-2268</v>
      </c>
      <c r="O77" s="116">
        <v>-2268</v>
      </c>
      <c r="P77" s="116">
        <v>-1643</v>
      </c>
      <c r="Q77" s="116">
        <v>-1643</v>
      </c>
      <c r="R77" s="115">
        <v>-1205</v>
      </c>
      <c r="S77" s="116">
        <v>-1205</v>
      </c>
      <c r="T77" s="116">
        <v>-1205</v>
      </c>
      <c r="U77" s="116">
        <v>-1205</v>
      </c>
      <c r="V77" s="115">
        <v>-724</v>
      </c>
      <c r="W77" s="116">
        <v>-745</v>
      </c>
      <c r="X77" s="116">
        <v>-770</v>
      </c>
      <c r="Y77" s="116">
        <v>-755</v>
      </c>
      <c r="Z77" s="116">
        <v>-921</v>
      </c>
      <c r="AB77" s="116">
        <v>-926</v>
      </c>
      <c r="AC77" s="116">
        <v>-939</v>
      </c>
      <c r="AD77" s="116">
        <v>-975</v>
      </c>
      <c r="AE77" s="116">
        <v>-1390</v>
      </c>
      <c r="AG77" s="116">
        <v>-1382</v>
      </c>
      <c r="AH77" s="116">
        <v>-1349</v>
      </c>
    </row>
    <row r="78" spans="2:34" x14ac:dyDescent="0.35">
      <c r="B78" s="67"/>
      <c r="C78" s="122"/>
      <c r="D78" s="122"/>
      <c r="E78" s="122"/>
      <c r="F78" s="121"/>
      <c r="G78" s="122"/>
      <c r="H78" s="52"/>
      <c r="I78" s="122"/>
      <c r="J78" s="121"/>
      <c r="K78" s="122"/>
      <c r="L78" s="122"/>
      <c r="M78" s="122"/>
      <c r="N78" s="121"/>
      <c r="O78" s="122"/>
      <c r="P78" s="122"/>
      <c r="Q78" s="122"/>
      <c r="R78" s="121"/>
      <c r="S78" s="122"/>
      <c r="T78" s="122"/>
      <c r="U78" s="122"/>
      <c r="V78" s="121"/>
      <c r="W78" s="122"/>
      <c r="X78" s="122"/>
      <c r="Y78" s="122"/>
      <c r="AB78" s="122"/>
      <c r="AC78" s="122"/>
      <c r="AD78" s="122"/>
      <c r="AE78" s="122"/>
      <c r="AG78" s="122"/>
      <c r="AH78" s="122"/>
    </row>
  </sheetData>
  <phoneticPr fontId="96"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BAD14-0726-4A6C-A061-8D0A3B2F4FD6}">
  <sheetPr codeName="Planilha6">
    <tabColor rgb="FFFFC000"/>
  </sheetPr>
  <dimension ref="A1:AH97"/>
  <sheetViews>
    <sheetView showGridLines="0" zoomScale="70" zoomScaleNormal="70" workbookViewId="0">
      <pane xSplit="2" ySplit="5" topLeftCell="Z6" activePane="bottomRight" state="frozen"/>
      <selection pane="topRight"/>
      <selection pane="bottomLeft"/>
      <selection pane="bottomRight" activeCell="AH13" sqref="AH13"/>
    </sheetView>
  </sheetViews>
  <sheetFormatPr defaultColWidth="9.1796875" defaultRowHeight="15.5" outlineLevelCol="1" x14ac:dyDescent="0.35"/>
  <cols>
    <col min="1" max="1" width="2" customWidth="1"/>
    <col min="2" max="2" width="78.54296875" style="56" customWidth="1"/>
    <col min="3" max="6" width="10.7265625" style="39" customWidth="1" outlineLevel="1"/>
    <col min="7" max="9" width="10.7265625" style="38" customWidth="1" outlineLevel="1"/>
    <col min="10" max="10" width="10.7265625" style="39" customWidth="1" outlineLevel="1"/>
    <col min="11" max="13" width="10.7265625" style="38" customWidth="1" outlineLevel="1"/>
    <col min="14" max="14" width="10.7265625" style="39" customWidth="1" outlineLevel="1"/>
    <col min="15" max="17" width="10.7265625" style="38" customWidth="1" outlineLevel="1"/>
    <col min="18" max="18" width="10.7265625" style="39" customWidth="1" outlineLevel="1"/>
    <col min="19" max="21" width="10.7265625" style="38" customWidth="1"/>
    <col min="22" max="22" width="10.7265625" style="39" customWidth="1"/>
    <col min="23" max="25" width="10.7265625" style="38" customWidth="1"/>
    <col min="26" max="26" width="9.1796875" style="99"/>
    <col min="27" max="27" width="0.7265625" style="99" customWidth="1"/>
    <col min="28" max="31" width="10.7265625" style="38" customWidth="1"/>
    <col min="32" max="32" width="0.36328125" customWidth="1"/>
    <col min="33" max="34" width="10.7265625" style="38" customWidth="1"/>
  </cols>
  <sheetData>
    <row r="1" spans="1:34" ht="41.25" customHeight="1" x14ac:dyDescent="0.35">
      <c r="A1" s="1"/>
      <c r="C1" s="35"/>
      <c r="D1" s="35"/>
      <c r="E1" s="35"/>
      <c r="F1" s="35"/>
      <c r="G1" s="34"/>
      <c r="H1" s="34"/>
      <c r="I1" s="34"/>
      <c r="J1" s="35"/>
      <c r="K1" s="34"/>
      <c r="L1" s="34"/>
      <c r="M1" s="34"/>
      <c r="N1" s="35"/>
      <c r="O1" s="34"/>
      <c r="P1" s="34"/>
      <c r="Q1" s="34"/>
      <c r="R1" s="35"/>
      <c r="S1" s="34"/>
      <c r="T1" s="34"/>
      <c r="U1" s="34"/>
      <c r="V1" s="35"/>
      <c r="W1" s="34"/>
      <c r="X1" s="34"/>
      <c r="Y1" s="34"/>
      <c r="AB1" s="34"/>
      <c r="AC1" s="34"/>
      <c r="AD1" s="34"/>
      <c r="AE1" s="34"/>
      <c r="AG1" s="34"/>
      <c r="AH1" s="34"/>
    </row>
    <row r="2" spans="1:34" ht="18" x14ac:dyDescent="0.35">
      <c r="B2" s="57" t="s">
        <v>214</v>
      </c>
      <c r="C2" s="74"/>
      <c r="D2" s="74"/>
      <c r="E2" s="74"/>
      <c r="F2" s="74"/>
      <c r="G2" s="36"/>
      <c r="H2" s="36"/>
      <c r="I2" s="36"/>
      <c r="J2" s="74"/>
      <c r="K2" s="36"/>
      <c r="L2" s="36"/>
      <c r="M2" s="36"/>
      <c r="N2" s="74"/>
      <c r="O2" s="36"/>
      <c r="P2" s="36"/>
      <c r="Q2" s="36"/>
      <c r="R2" s="74"/>
      <c r="S2" s="36"/>
      <c r="T2" s="36"/>
      <c r="U2" s="36"/>
      <c r="V2" s="74"/>
      <c r="W2" s="36"/>
      <c r="X2" s="36"/>
      <c r="Y2" s="36"/>
      <c r="Z2" s="36"/>
      <c r="AB2" s="36"/>
      <c r="AC2" s="36"/>
      <c r="AD2" s="36"/>
      <c r="AE2" s="36"/>
      <c r="AG2" s="36"/>
      <c r="AH2" s="36"/>
    </row>
    <row r="3" spans="1:34" ht="9.75" customHeight="1" x14ac:dyDescent="0.35"/>
    <row r="4" spans="1:34" x14ac:dyDescent="0.35">
      <c r="B4" s="58"/>
      <c r="C4" s="42">
        <v>2014</v>
      </c>
      <c r="D4" s="42">
        <v>2015</v>
      </c>
      <c r="E4" s="42">
        <v>2016</v>
      </c>
      <c r="F4" s="42">
        <v>2017</v>
      </c>
      <c r="G4" s="40" t="s">
        <v>196</v>
      </c>
      <c r="H4" s="41" t="s">
        <v>197</v>
      </c>
      <c r="I4" s="41" t="s">
        <v>198</v>
      </c>
      <c r="J4" s="42" t="s">
        <v>199</v>
      </c>
      <c r="K4" s="41" t="s">
        <v>200</v>
      </c>
      <c r="L4" s="41" t="s">
        <v>201</v>
      </c>
      <c r="M4" s="41" t="s">
        <v>202</v>
      </c>
      <c r="N4" s="42" t="s">
        <v>203</v>
      </c>
      <c r="O4" s="41" t="s">
        <v>204</v>
      </c>
      <c r="P4" s="41" t="s">
        <v>205</v>
      </c>
      <c r="Q4" s="41" t="s">
        <v>206</v>
      </c>
      <c r="R4" s="42" t="s">
        <v>207</v>
      </c>
      <c r="S4" s="41" t="s">
        <v>208</v>
      </c>
      <c r="T4" s="41" t="s">
        <v>209</v>
      </c>
      <c r="U4" s="41" t="s">
        <v>210</v>
      </c>
      <c r="V4" s="42" t="s">
        <v>428</v>
      </c>
      <c r="W4" s="41" t="s">
        <v>435</v>
      </c>
      <c r="X4" s="41" t="s">
        <v>440</v>
      </c>
      <c r="Y4" s="41" t="s">
        <v>470</v>
      </c>
      <c r="Z4" s="41" t="s">
        <v>480</v>
      </c>
      <c r="AB4" s="41" t="s">
        <v>500</v>
      </c>
      <c r="AC4" s="41" t="s">
        <v>524</v>
      </c>
      <c r="AD4" s="41" t="s">
        <v>588</v>
      </c>
      <c r="AE4" s="41" t="s">
        <v>604</v>
      </c>
      <c r="AG4" s="41" t="s">
        <v>633</v>
      </c>
      <c r="AH4" s="41" t="s">
        <v>672</v>
      </c>
    </row>
    <row r="5" spans="1:34" x14ac:dyDescent="0.35">
      <c r="B5" s="59"/>
      <c r="C5" s="44" t="s">
        <v>216</v>
      </c>
      <c r="D5" s="44" t="s">
        <v>216</v>
      </c>
      <c r="E5" s="44" t="s">
        <v>216</v>
      </c>
      <c r="F5" s="44" t="s">
        <v>216</v>
      </c>
      <c r="G5" s="43" t="s">
        <v>37</v>
      </c>
      <c r="H5" s="43" t="s">
        <v>194</v>
      </c>
      <c r="I5" s="43" t="s">
        <v>471</v>
      </c>
      <c r="J5" s="44" t="s">
        <v>193</v>
      </c>
      <c r="K5" s="43" t="s">
        <v>37</v>
      </c>
      <c r="L5" s="43" t="s">
        <v>194</v>
      </c>
      <c r="M5" s="43" t="s">
        <v>471</v>
      </c>
      <c r="N5" s="44" t="s">
        <v>193</v>
      </c>
      <c r="O5" s="43" t="s">
        <v>37</v>
      </c>
      <c r="P5" s="43" t="s">
        <v>194</v>
      </c>
      <c r="Q5" s="43" t="s">
        <v>471</v>
      </c>
      <c r="R5" s="44" t="s">
        <v>193</v>
      </c>
      <c r="S5" s="43" t="s">
        <v>37</v>
      </c>
      <c r="T5" s="43" t="s">
        <v>194</v>
      </c>
      <c r="U5" s="43" t="s">
        <v>471</v>
      </c>
      <c r="V5" s="44" t="s">
        <v>193</v>
      </c>
      <c r="W5" s="43" t="s">
        <v>37</v>
      </c>
      <c r="X5" s="43" t="s">
        <v>194</v>
      </c>
      <c r="Y5" s="43" t="s">
        <v>471</v>
      </c>
      <c r="Z5" s="44" t="s">
        <v>193</v>
      </c>
      <c r="AB5" s="43" t="s">
        <v>37</v>
      </c>
      <c r="AC5" s="43" t="s">
        <v>194</v>
      </c>
      <c r="AD5" s="43" t="s">
        <v>471</v>
      </c>
      <c r="AE5" s="44" t="s">
        <v>193</v>
      </c>
      <c r="AG5" s="43" t="s">
        <v>37</v>
      </c>
      <c r="AH5" s="43" t="s">
        <v>673</v>
      </c>
    </row>
    <row r="6" spans="1:34" ht="8.25" customHeight="1" x14ac:dyDescent="0.35">
      <c r="C6" s="35"/>
      <c r="D6" s="35"/>
      <c r="E6" s="35"/>
      <c r="F6" s="35"/>
      <c r="G6" s="34"/>
      <c r="H6" s="34"/>
      <c r="I6" s="34"/>
      <c r="J6" s="35"/>
      <c r="K6" s="34"/>
      <c r="L6" s="34"/>
      <c r="M6" s="34"/>
      <c r="N6" s="35"/>
      <c r="O6" s="34"/>
      <c r="P6" s="34"/>
      <c r="Q6" s="34"/>
      <c r="R6" s="35"/>
      <c r="S6" s="34"/>
      <c r="T6" s="34"/>
      <c r="U6" s="34"/>
      <c r="V6" s="35"/>
      <c r="W6" s="34"/>
      <c r="X6" s="34"/>
      <c r="Y6" s="34"/>
      <c r="AB6" s="34"/>
      <c r="AC6" s="34"/>
      <c r="AD6" s="34"/>
      <c r="AE6" s="34"/>
      <c r="AG6" s="34"/>
      <c r="AH6" s="34"/>
    </row>
    <row r="7" spans="1:34" s="10" customFormat="1" ht="18" x14ac:dyDescent="0.4">
      <c r="B7" s="60" t="s">
        <v>60</v>
      </c>
      <c r="C7" s="46"/>
      <c r="D7" s="46"/>
      <c r="E7" s="46"/>
      <c r="F7" s="46"/>
      <c r="G7" s="45"/>
      <c r="H7" s="45"/>
      <c r="I7" s="45"/>
      <c r="J7" s="46"/>
      <c r="K7" s="45"/>
      <c r="L7" s="47"/>
      <c r="M7" s="47"/>
      <c r="N7" s="48"/>
      <c r="O7" s="47"/>
      <c r="P7" s="47"/>
      <c r="Q7" s="47"/>
      <c r="R7" s="48"/>
      <c r="S7" s="47"/>
      <c r="T7" s="49"/>
      <c r="U7" s="49"/>
      <c r="V7" s="48"/>
      <c r="W7" s="47"/>
      <c r="X7" s="47"/>
      <c r="Y7" s="47"/>
      <c r="Z7" s="130"/>
      <c r="AA7" s="130"/>
      <c r="AB7" s="47"/>
      <c r="AC7" s="47"/>
      <c r="AD7" s="47"/>
      <c r="AE7" s="47"/>
      <c r="AG7" s="47"/>
      <c r="AH7" s="47"/>
    </row>
    <row r="8" spans="1:34" s="11" customFormat="1" ht="19" x14ac:dyDescent="0.45">
      <c r="B8" s="61" t="s">
        <v>135</v>
      </c>
      <c r="C8" s="51"/>
      <c r="D8" s="51"/>
      <c r="E8" s="51"/>
      <c r="F8" s="51"/>
      <c r="G8" s="50"/>
      <c r="H8" s="50"/>
      <c r="I8" s="50"/>
      <c r="J8" s="51"/>
      <c r="K8" s="50"/>
      <c r="L8" s="50"/>
      <c r="M8" s="50"/>
      <c r="N8" s="51"/>
      <c r="O8" s="50"/>
      <c r="P8" s="50"/>
      <c r="Q8" s="50"/>
      <c r="R8" s="51"/>
      <c r="S8" s="50"/>
      <c r="T8" s="50"/>
      <c r="U8" s="50"/>
      <c r="V8" s="51"/>
      <c r="W8" s="50"/>
      <c r="X8" s="50"/>
      <c r="Y8" s="50"/>
      <c r="Z8" s="432"/>
      <c r="AA8" s="131"/>
      <c r="AB8" s="50"/>
      <c r="AC8" s="50"/>
      <c r="AD8" s="50"/>
      <c r="AE8" s="50"/>
      <c r="AG8" s="50"/>
      <c r="AH8" s="50"/>
    </row>
    <row r="9" spans="1:34" s="5" customFormat="1" x14ac:dyDescent="0.35">
      <c r="B9" s="123" t="s">
        <v>87</v>
      </c>
      <c r="C9" s="92"/>
      <c r="D9" s="92"/>
      <c r="E9" s="92"/>
      <c r="F9" s="92"/>
      <c r="G9" s="94"/>
      <c r="H9" s="94"/>
      <c r="I9" s="94"/>
      <c r="J9" s="92"/>
      <c r="K9" s="94"/>
      <c r="L9" s="94"/>
      <c r="M9" s="94"/>
      <c r="N9" s="92"/>
      <c r="O9" s="94"/>
      <c r="P9" s="94"/>
      <c r="Q9" s="94"/>
      <c r="R9" s="92"/>
      <c r="S9" s="94"/>
      <c r="T9" s="94"/>
      <c r="U9" s="94"/>
      <c r="V9" s="92"/>
      <c r="W9" s="94"/>
      <c r="X9" s="94"/>
      <c r="Y9" s="94"/>
      <c r="Z9" s="99"/>
      <c r="AA9" s="99"/>
      <c r="AB9" s="94"/>
      <c r="AC9" s="94"/>
      <c r="AD9" s="94"/>
      <c r="AE9" s="94"/>
      <c r="AG9" s="94"/>
      <c r="AH9" s="94"/>
    </row>
    <row r="10" spans="1:34" s="5" customFormat="1" x14ac:dyDescent="0.35">
      <c r="B10" s="65" t="s">
        <v>612</v>
      </c>
      <c r="C10" s="132">
        <v>1123</v>
      </c>
      <c r="D10" s="133">
        <v>-1161</v>
      </c>
      <c r="E10" s="133">
        <v>-315</v>
      </c>
      <c r="F10" s="132">
        <v>1151</v>
      </c>
      <c r="G10" s="134">
        <v>247</v>
      </c>
      <c r="H10" s="134">
        <v>263</v>
      </c>
      <c r="I10" s="134">
        <v>1078</v>
      </c>
      <c r="J10" s="132">
        <v>1605</v>
      </c>
      <c r="K10" s="134">
        <v>477</v>
      </c>
      <c r="L10" s="134">
        <v>302</v>
      </c>
      <c r="M10" s="134">
        <v>1336</v>
      </c>
      <c r="N10" s="132">
        <v>96</v>
      </c>
      <c r="O10" s="134">
        <v>234</v>
      </c>
      <c r="P10" s="134">
        <v>188</v>
      </c>
      <c r="Q10" s="134">
        <v>335</v>
      </c>
      <c r="R10" s="132">
        <v>3148</v>
      </c>
      <c r="S10" s="134">
        <v>492</v>
      </c>
      <c r="T10" s="134">
        <v>382</v>
      </c>
      <c r="U10" s="134">
        <v>598</v>
      </c>
      <c r="V10" s="132">
        <v>1025</v>
      </c>
      <c r="W10" s="134">
        <v>325</v>
      </c>
      <c r="X10" s="134">
        <v>707</v>
      </c>
      <c r="Y10" s="425">
        <v>-61</v>
      </c>
      <c r="Z10" s="425">
        <v>566</v>
      </c>
      <c r="AA10" s="99"/>
      <c r="AB10" s="134">
        <v>81</v>
      </c>
      <c r="AC10" s="134">
        <v>133</v>
      </c>
      <c r="AD10" s="134">
        <v>1255</v>
      </c>
      <c r="AE10" s="134">
        <v>3297</v>
      </c>
      <c r="AG10" s="134">
        <v>789</v>
      </c>
      <c r="AH10" s="425">
        <v>867</v>
      </c>
    </row>
    <row r="11" spans="1:34" s="5" customFormat="1" ht="8.25" customHeight="1" x14ac:dyDescent="0.35">
      <c r="B11" s="63"/>
      <c r="C11" s="135"/>
      <c r="D11" s="135"/>
      <c r="E11" s="135"/>
      <c r="F11" s="135"/>
      <c r="G11" s="135"/>
      <c r="H11" s="135"/>
      <c r="I11" s="135"/>
      <c r="J11" s="135"/>
      <c r="K11" s="135"/>
      <c r="L11" s="135"/>
      <c r="M11" s="135"/>
      <c r="N11" s="135"/>
      <c r="O11" s="135"/>
      <c r="P11" s="135"/>
      <c r="Q11" s="135"/>
      <c r="R11" s="135"/>
      <c r="S11" s="135"/>
      <c r="T11" s="135"/>
      <c r="U11" s="136"/>
      <c r="V11" s="135"/>
      <c r="W11" s="135"/>
      <c r="X11" s="135"/>
      <c r="Y11" s="135"/>
      <c r="Z11" s="135"/>
      <c r="AA11" s="99"/>
      <c r="AB11" s="135"/>
      <c r="AC11" s="135"/>
      <c r="AD11" s="135"/>
      <c r="AE11" s="135"/>
      <c r="AG11" s="135"/>
      <c r="AH11" s="135"/>
    </row>
    <row r="12" spans="1:34" s="5" customFormat="1" x14ac:dyDescent="0.35">
      <c r="B12" s="123" t="s">
        <v>88</v>
      </c>
      <c r="C12" s="53"/>
      <c r="D12" s="53"/>
      <c r="E12" s="53"/>
      <c r="F12" s="53"/>
      <c r="G12" s="52"/>
      <c r="H12" s="52"/>
      <c r="I12" s="52"/>
      <c r="J12" s="53"/>
      <c r="K12" s="52"/>
      <c r="L12" s="52"/>
      <c r="M12" s="52"/>
      <c r="N12" s="53"/>
      <c r="O12" s="52"/>
      <c r="P12" s="52"/>
      <c r="Q12" s="52"/>
      <c r="R12" s="53"/>
      <c r="S12" s="52"/>
      <c r="T12" s="52"/>
      <c r="U12" s="52"/>
      <c r="V12" s="53"/>
      <c r="W12" s="52"/>
      <c r="X12" s="52"/>
      <c r="Y12" s="52"/>
      <c r="Z12" s="52"/>
      <c r="AA12" s="99"/>
      <c r="AB12" s="52"/>
      <c r="AC12" s="52"/>
      <c r="AD12" s="52"/>
      <c r="AE12" s="52"/>
      <c r="AG12" s="52"/>
      <c r="AH12" s="52"/>
    </row>
    <row r="13" spans="1:34" s="5" customFormat="1" x14ac:dyDescent="0.35">
      <c r="B13" s="62" t="s">
        <v>66</v>
      </c>
      <c r="C13" s="137">
        <v>423</v>
      </c>
      <c r="D13" s="137">
        <v>-774</v>
      </c>
      <c r="E13" s="137">
        <v>-322</v>
      </c>
      <c r="F13" s="137">
        <v>414</v>
      </c>
      <c r="G13" s="138">
        <v>163</v>
      </c>
      <c r="H13" s="138">
        <v>180</v>
      </c>
      <c r="I13" s="138">
        <v>696</v>
      </c>
      <c r="J13" s="137">
        <v>577</v>
      </c>
      <c r="K13" s="138">
        <v>284</v>
      </c>
      <c r="L13" s="116">
        <v>186</v>
      </c>
      <c r="M13" s="116">
        <v>718</v>
      </c>
      <c r="N13" s="115">
        <v>-96</v>
      </c>
      <c r="O13" s="116">
        <v>170</v>
      </c>
      <c r="P13" s="116">
        <v>144</v>
      </c>
      <c r="Q13" s="116">
        <v>211</v>
      </c>
      <c r="R13" s="115">
        <v>400</v>
      </c>
      <c r="S13" s="116">
        <v>267</v>
      </c>
      <c r="T13" s="116">
        <v>220</v>
      </c>
      <c r="U13" s="116">
        <v>-147</v>
      </c>
      <c r="V13" s="115">
        <v>337</v>
      </c>
      <c r="W13" s="116">
        <v>217</v>
      </c>
      <c r="X13" s="116">
        <v>358</v>
      </c>
      <c r="Y13" s="116">
        <v>-239</v>
      </c>
      <c r="Z13" s="116">
        <v>57</v>
      </c>
      <c r="AA13" s="99"/>
      <c r="AB13" s="116">
        <v>66</v>
      </c>
      <c r="AC13" s="116">
        <v>50</v>
      </c>
      <c r="AD13" s="116">
        <v>415</v>
      </c>
      <c r="AE13" s="116">
        <v>1162</v>
      </c>
      <c r="AG13" s="116">
        <v>435</v>
      </c>
      <c r="AH13" s="376">
        <v>141</v>
      </c>
    </row>
    <row r="14" spans="1:34" s="5" customFormat="1" ht="18.75" customHeight="1" x14ac:dyDescent="0.35">
      <c r="B14" s="62" t="s">
        <v>89</v>
      </c>
      <c r="C14" s="137">
        <v>403</v>
      </c>
      <c r="D14" s="137">
        <v>471</v>
      </c>
      <c r="E14" s="137">
        <v>454</v>
      </c>
      <c r="F14" s="137">
        <v>452</v>
      </c>
      <c r="G14" s="138">
        <v>106</v>
      </c>
      <c r="H14" s="138">
        <v>107</v>
      </c>
      <c r="I14" s="138">
        <v>102</v>
      </c>
      <c r="J14" s="137">
        <v>102</v>
      </c>
      <c r="K14" s="138">
        <v>128</v>
      </c>
      <c r="L14" s="116">
        <v>127</v>
      </c>
      <c r="M14" s="116">
        <v>127</v>
      </c>
      <c r="N14" s="115">
        <v>146</v>
      </c>
      <c r="O14" s="116">
        <v>135</v>
      </c>
      <c r="P14" s="116">
        <v>136</v>
      </c>
      <c r="Q14" s="116">
        <v>132</v>
      </c>
      <c r="R14" s="115">
        <v>134</v>
      </c>
      <c r="S14" s="116">
        <v>139</v>
      </c>
      <c r="T14" s="116">
        <v>140</v>
      </c>
      <c r="U14" s="116">
        <v>144</v>
      </c>
      <c r="V14" s="115">
        <v>136</v>
      </c>
      <c r="W14" s="116">
        <v>139</v>
      </c>
      <c r="X14" s="116">
        <v>135</v>
      </c>
      <c r="Y14" s="116">
        <v>142</v>
      </c>
      <c r="Z14" s="116">
        <v>137</v>
      </c>
      <c r="AA14" s="99"/>
      <c r="AB14" s="116">
        <v>138</v>
      </c>
      <c r="AC14" s="116">
        <v>136</v>
      </c>
      <c r="AD14" s="116">
        <v>139</v>
      </c>
      <c r="AE14" s="116">
        <v>141</v>
      </c>
      <c r="AG14" s="116">
        <v>143</v>
      </c>
      <c r="AH14" s="376">
        <v>135</v>
      </c>
    </row>
    <row r="15" spans="1:34" s="5" customFormat="1" ht="18.75" customHeight="1" x14ac:dyDescent="0.35">
      <c r="B15" s="62" t="s">
        <v>134</v>
      </c>
      <c r="C15" s="137">
        <v>0</v>
      </c>
      <c r="D15" s="137">
        <v>298</v>
      </c>
      <c r="E15" s="137"/>
      <c r="F15" s="137"/>
      <c r="G15" s="138"/>
      <c r="H15" s="138"/>
      <c r="I15" s="138"/>
      <c r="J15" s="137"/>
      <c r="K15" s="138"/>
      <c r="L15" s="116"/>
      <c r="M15" s="116"/>
      <c r="N15" s="115"/>
      <c r="O15" s="116"/>
      <c r="P15" s="116"/>
      <c r="Q15" s="116"/>
      <c r="R15" s="115"/>
      <c r="S15" s="116"/>
      <c r="T15" s="116"/>
      <c r="U15" s="116"/>
      <c r="V15" s="115"/>
      <c r="W15" s="137">
        <v>0</v>
      </c>
      <c r="X15" s="137">
        <v>0</v>
      </c>
      <c r="Y15" s="137">
        <v>0</v>
      </c>
      <c r="Z15" s="137">
        <v>0</v>
      </c>
      <c r="AA15" s="99"/>
      <c r="AB15" s="137">
        <v>0</v>
      </c>
      <c r="AC15" s="137">
        <v>0</v>
      </c>
      <c r="AD15" s="137">
        <v>0</v>
      </c>
      <c r="AE15" s="137">
        <v>0</v>
      </c>
      <c r="AG15" s="137">
        <v>0</v>
      </c>
      <c r="AH15" s="137">
        <v>0</v>
      </c>
    </row>
    <row r="16" spans="1:34" s="5" customFormat="1" ht="18.75" customHeight="1" x14ac:dyDescent="0.35">
      <c r="B16" s="62" t="s">
        <v>91</v>
      </c>
      <c r="C16" s="137">
        <v>-40</v>
      </c>
      <c r="D16" s="137">
        <v>12</v>
      </c>
      <c r="E16" s="137">
        <v>-1</v>
      </c>
      <c r="F16" s="137">
        <v>34</v>
      </c>
      <c r="G16" s="138">
        <v>-1</v>
      </c>
      <c r="H16" s="138">
        <v>-9</v>
      </c>
      <c r="I16" s="138">
        <v>-16</v>
      </c>
      <c r="J16" s="137">
        <v>13</v>
      </c>
      <c r="K16" s="138">
        <v>-6</v>
      </c>
      <c r="L16" s="116">
        <v>-4</v>
      </c>
      <c r="M16" s="116">
        <v>0</v>
      </c>
      <c r="N16" s="115">
        <v>-7</v>
      </c>
      <c r="O16" s="116">
        <v>-3</v>
      </c>
      <c r="P16" s="116">
        <v>8</v>
      </c>
      <c r="Q16" s="116">
        <v>160</v>
      </c>
      <c r="R16" s="115">
        <v>-18</v>
      </c>
      <c r="S16" s="116">
        <v>-54</v>
      </c>
      <c r="T16" s="116">
        <v>-35</v>
      </c>
      <c r="U16" s="116">
        <v>30</v>
      </c>
      <c r="V16" s="115">
        <v>-39</v>
      </c>
      <c r="W16" s="116">
        <v>-530</v>
      </c>
      <c r="X16" s="116">
        <v>-19</v>
      </c>
      <c r="Y16" s="116">
        <v>-170</v>
      </c>
      <c r="Z16" s="116">
        <v>-284</v>
      </c>
      <c r="AA16" s="99"/>
      <c r="AB16" s="116">
        <v>-42</v>
      </c>
      <c r="AC16" s="116">
        <v>-58</v>
      </c>
      <c r="AD16" s="116">
        <v>-641</v>
      </c>
      <c r="AE16" s="137">
        <v>-97</v>
      </c>
      <c r="AG16" s="116">
        <v>-57</v>
      </c>
      <c r="AH16" s="376">
        <v>-108</v>
      </c>
    </row>
    <row r="17" spans="2:34" s="5" customFormat="1" ht="18.75" customHeight="1" x14ac:dyDescent="0.35">
      <c r="B17" s="62" t="s">
        <v>90</v>
      </c>
      <c r="C17" s="137">
        <v>1109</v>
      </c>
      <c r="D17" s="137">
        <v>2919</v>
      </c>
      <c r="E17" s="137">
        <v>676</v>
      </c>
      <c r="F17" s="137">
        <v>-40</v>
      </c>
      <c r="G17" s="138">
        <v>1</v>
      </c>
      <c r="H17" s="138">
        <v>51</v>
      </c>
      <c r="I17" s="138">
        <v>44</v>
      </c>
      <c r="J17" s="137">
        <v>-54</v>
      </c>
      <c r="K17" s="138">
        <v>23</v>
      </c>
      <c r="L17" s="116">
        <v>13</v>
      </c>
      <c r="M17" s="116">
        <v>11</v>
      </c>
      <c r="N17" s="115">
        <v>32</v>
      </c>
      <c r="O17" s="116">
        <v>39</v>
      </c>
      <c r="P17" s="116">
        <v>67</v>
      </c>
      <c r="Q17" s="116">
        <v>2</v>
      </c>
      <c r="R17" s="115">
        <v>-29</v>
      </c>
      <c r="S17" s="116">
        <v>178</v>
      </c>
      <c r="T17" s="116">
        <v>-3</v>
      </c>
      <c r="U17" s="116">
        <v>69</v>
      </c>
      <c r="V17" s="115">
        <v>68</v>
      </c>
      <c r="W17" s="116">
        <v>-1</v>
      </c>
      <c r="X17" s="116">
        <v>-1</v>
      </c>
      <c r="Y17" s="116">
        <v>49</v>
      </c>
      <c r="Z17" s="116">
        <v>5</v>
      </c>
      <c r="AA17" s="99"/>
      <c r="AB17" s="116">
        <v>14</v>
      </c>
      <c r="AC17" s="116">
        <v>38</v>
      </c>
      <c r="AD17" s="116">
        <v>50</v>
      </c>
      <c r="AE17" s="116">
        <v>0</v>
      </c>
      <c r="AG17" s="116">
        <v>15</v>
      </c>
      <c r="AH17" s="376">
        <v>-25</v>
      </c>
    </row>
    <row r="18" spans="2:34" s="5" customFormat="1" ht="18.75" customHeight="1" x14ac:dyDescent="0.35">
      <c r="B18" s="62" t="s">
        <v>101</v>
      </c>
      <c r="C18" s="137">
        <v>2</v>
      </c>
      <c r="D18" s="137">
        <v>-3</v>
      </c>
      <c r="E18" s="137">
        <v>1</v>
      </c>
      <c r="F18" s="137">
        <v>2</v>
      </c>
      <c r="G18" s="138">
        <v>1</v>
      </c>
      <c r="H18" s="138">
        <v>0</v>
      </c>
      <c r="I18" s="138">
        <v>1</v>
      </c>
      <c r="J18" s="137">
        <v>-1</v>
      </c>
      <c r="K18" s="138">
        <v>-1</v>
      </c>
      <c r="L18" s="116">
        <v>0</v>
      </c>
      <c r="M18" s="116">
        <v>0</v>
      </c>
      <c r="N18" s="115">
        <v>-1</v>
      </c>
      <c r="O18" s="116">
        <v>1</v>
      </c>
      <c r="P18" s="116">
        <v>1</v>
      </c>
      <c r="Q18" s="116">
        <v>1</v>
      </c>
      <c r="R18" s="115">
        <v>-12</v>
      </c>
      <c r="S18" s="116">
        <v>-7</v>
      </c>
      <c r="T18" s="116">
        <v>-2</v>
      </c>
      <c r="U18" s="116">
        <v>-76</v>
      </c>
      <c r="V18" s="115">
        <v>-27</v>
      </c>
      <c r="W18" s="116">
        <v>-17</v>
      </c>
      <c r="X18" s="116">
        <v>-14</v>
      </c>
      <c r="Y18" s="116">
        <v>-16</v>
      </c>
      <c r="Z18" s="116">
        <v>51</v>
      </c>
      <c r="AA18" s="99"/>
      <c r="AB18" s="116">
        <v>2</v>
      </c>
      <c r="AC18" s="116">
        <v>26</v>
      </c>
      <c r="AD18" s="116">
        <v>49</v>
      </c>
      <c r="AE18" s="116">
        <v>-41</v>
      </c>
      <c r="AG18" s="116">
        <v>71</v>
      </c>
      <c r="AH18" s="376">
        <v>-79</v>
      </c>
    </row>
    <row r="19" spans="2:34" s="5" customFormat="1" ht="18.75" customHeight="1" x14ac:dyDescent="0.35">
      <c r="B19" s="62" t="s">
        <v>102</v>
      </c>
      <c r="C19" s="137">
        <v>348</v>
      </c>
      <c r="D19" s="137">
        <v>412</v>
      </c>
      <c r="E19" s="137">
        <v>542</v>
      </c>
      <c r="F19" s="137">
        <v>545</v>
      </c>
      <c r="G19" s="138">
        <v>121</v>
      </c>
      <c r="H19" s="138">
        <v>136</v>
      </c>
      <c r="I19" s="138">
        <v>131</v>
      </c>
      <c r="J19" s="137">
        <v>134</v>
      </c>
      <c r="K19" s="138">
        <v>124</v>
      </c>
      <c r="L19" s="116">
        <v>119</v>
      </c>
      <c r="M19" s="116">
        <v>135</v>
      </c>
      <c r="N19" s="115">
        <v>141</v>
      </c>
      <c r="O19" s="116">
        <v>152</v>
      </c>
      <c r="P19" s="116">
        <v>157</v>
      </c>
      <c r="Q19" s="116">
        <v>158</v>
      </c>
      <c r="R19" s="115">
        <v>185</v>
      </c>
      <c r="S19" s="116">
        <v>194</v>
      </c>
      <c r="T19" s="116">
        <v>241</v>
      </c>
      <c r="U19" s="116">
        <v>192</v>
      </c>
      <c r="V19" s="115">
        <v>188</v>
      </c>
      <c r="W19" s="116">
        <v>123</v>
      </c>
      <c r="X19" s="116">
        <v>141</v>
      </c>
      <c r="Y19" s="116">
        <v>231</v>
      </c>
      <c r="Z19" s="116">
        <v>172</v>
      </c>
      <c r="AA19" s="99"/>
      <c r="AB19" s="116">
        <v>177</v>
      </c>
      <c r="AC19" s="116">
        <v>205</v>
      </c>
      <c r="AD19" s="116">
        <v>180</v>
      </c>
      <c r="AE19" s="116">
        <v>182</v>
      </c>
      <c r="AG19" s="116">
        <v>176</v>
      </c>
      <c r="AH19" s="376">
        <v>184</v>
      </c>
    </row>
    <row r="20" spans="2:34" s="5" customFormat="1" ht="18.75" customHeight="1" x14ac:dyDescent="0.35">
      <c r="B20" s="62" t="s">
        <v>92</v>
      </c>
      <c r="C20" s="137">
        <v>52</v>
      </c>
      <c r="D20" s="137">
        <v>68</v>
      </c>
      <c r="E20" s="137">
        <v>45</v>
      </c>
      <c r="F20" s="137">
        <v>95</v>
      </c>
      <c r="G20" s="138">
        <v>15</v>
      </c>
      <c r="H20" s="138">
        <v>21</v>
      </c>
      <c r="I20" s="138">
        <v>24</v>
      </c>
      <c r="J20" s="137">
        <v>26</v>
      </c>
      <c r="K20" s="138">
        <v>15</v>
      </c>
      <c r="L20" s="116">
        <v>15</v>
      </c>
      <c r="M20" s="116">
        <v>18</v>
      </c>
      <c r="N20" s="115">
        <v>16</v>
      </c>
      <c r="O20" s="116">
        <v>14</v>
      </c>
      <c r="P20" s="116">
        <v>15</v>
      </c>
      <c r="Q20" s="116">
        <v>15</v>
      </c>
      <c r="R20" s="115">
        <v>13</v>
      </c>
      <c r="S20" s="116">
        <v>25</v>
      </c>
      <c r="T20" s="116">
        <v>27</v>
      </c>
      <c r="U20" s="116">
        <v>30</v>
      </c>
      <c r="V20" s="115">
        <v>29</v>
      </c>
      <c r="W20" s="116">
        <v>28</v>
      </c>
      <c r="X20" s="116">
        <v>30</v>
      </c>
      <c r="Y20" s="116">
        <v>30</v>
      </c>
      <c r="Z20" s="116">
        <v>33</v>
      </c>
      <c r="AA20" s="99"/>
      <c r="AB20" s="116">
        <v>18</v>
      </c>
      <c r="AC20" s="116">
        <v>21</v>
      </c>
      <c r="AD20" s="116">
        <v>27</v>
      </c>
      <c r="AE20" s="116">
        <v>35</v>
      </c>
      <c r="AG20" s="116">
        <v>23</v>
      </c>
      <c r="AH20" s="376">
        <v>28</v>
      </c>
    </row>
    <row r="21" spans="2:34" s="5" customFormat="1" ht="18.75" customHeight="1" x14ac:dyDescent="0.35">
      <c r="B21" s="62" t="s">
        <v>93</v>
      </c>
      <c r="C21" s="137">
        <v>-215</v>
      </c>
      <c r="D21" s="137">
        <v>408</v>
      </c>
      <c r="E21" s="137">
        <v>844</v>
      </c>
      <c r="F21" s="137">
        <v>409</v>
      </c>
      <c r="G21" s="138">
        <v>43</v>
      </c>
      <c r="H21" s="138">
        <v>-294</v>
      </c>
      <c r="I21" s="138">
        <v>-420</v>
      </c>
      <c r="J21" s="137">
        <v>-1788</v>
      </c>
      <c r="K21" s="138">
        <v>-249</v>
      </c>
      <c r="L21" s="116">
        <v>-175</v>
      </c>
      <c r="M21" s="116">
        <v>-1551</v>
      </c>
      <c r="N21" s="115">
        <v>31</v>
      </c>
      <c r="O21" s="116">
        <v>619</v>
      </c>
      <c r="P21" s="116">
        <v>200</v>
      </c>
      <c r="Q21" s="116">
        <v>132</v>
      </c>
      <c r="R21" s="115">
        <v>-558</v>
      </c>
      <c r="S21" s="116">
        <v>497</v>
      </c>
      <c r="T21" s="116">
        <v>-668</v>
      </c>
      <c r="U21" s="116">
        <v>572</v>
      </c>
      <c r="V21" s="115">
        <v>-786</v>
      </c>
      <c r="W21" s="116">
        <v>-998</v>
      </c>
      <c r="X21" s="116">
        <v>1170</v>
      </c>
      <c r="Y21" s="116">
        <v>446</v>
      </c>
      <c r="Z21" s="116">
        <v>73</v>
      </c>
      <c r="AA21" s="99"/>
      <c r="AB21" s="116">
        <v>95</v>
      </c>
      <c r="AC21" s="116">
        <v>-89</v>
      </c>
      <c r="AD21" s="116">
        <v>549</v>
      </c>
      <c r="AE21" s="116">
        <v>-17</v>
      </c>
      <c r="AG21" s="116">
        <v>443</v>
      </c>
      <c r="AH21" s="376">
        <v>861</v>
      </c>
    </row>
    <row r="22" spans="2:34" s="5" customFormat="1" ht="18.75" customHeight="1" x14ac:dyDescent="0.35">
      <c r="B22" s="62" t="s">
        <v>635</v>
      </c>
      <c r="C22" s="137">
        <v>0</v>
      </c>
      <c r="D22" s="137">
        <v>0</v>
      </c>
      <c r="E22" s="137">
        <v>0</v>
      </c>
      <c r="F22" s="137">
        <v>0</v>
      </c>
      <c r="G22" s="138">
        <v>0</v>
      </c>
      <c r="H22" s="138">
        <v>0</v>
      </c>
      <c r="I22" s="138">
        <v>0</v>
      </c>
      <c r="J22" s="137">
        <v>0</v>
      </c>
      <c r="K22" s="138">
        <v>0</v>
      </c>
      <c r="L22" s="116">
        <v>0</v>
      </c>
      <c r="M22" s="116">
        <v>0</v>
      </c>
      <c r="N22" s="115">
        <v>0</v>
      </c>
      <c r="O22" s="116">
        <v>-908</v>
      </c>
      <c r="P22" s="116">
        <v>-254</v>
      </c>
      <c r="Q22" s="116">
        <v>-133</v>
      </c>
      <c r="R22" s="115">
        <v>386</v>
      </c>
      <c r="S22" s="116">
        <v>-143</v>
      </c>
      <c r="T22" s="116">
        <v>774</v>
      </c>
      <c r="U22" s="116">
        <v>-318</v>
      </c>
      <c r="V22" s="115">
        <v>-43</v>
      </c>
      <c r="W22" s="116">
        <v>2191</v>
      </c>
      <c r="X22" s="116">
        <v>-500</v>
      </c>
      <c r="Y22" s="116">
        <v>-130</v>
      </c>
      <c r="Z22" s="116">
        <v>175</v>
      </c>
      <c r="AA22" s="99"/>
      <c r="AB22" s="116">
        <v>184</v>
      </c>
      <c r="AC22" s="116">
        <v>483</v>
      </c>
      <c r="AD22" s="116">
        <v>44</v>
      </c>
      <c r="AE22" s="116">
        <v>136</v>
      </c>
      <c r="AG22" s="116">
        <v>20</v>
      </c>
      <c r="AH22" s="376">
        <v>-401</v>
      </c>
    </row>
    <row r="23" spans="2:34" s="5" customFormat="1" ht="18.75" customHeight="1" x14ac:dyDescent="0.35">
      <c r="B23" s="62" t="s">
        <v>94</v>
      </c>
      <c r="C23" s="137">
        <v>214</v>
      </c>
      <c r="D23" s="137">
        <v>317</v>
      </c>
      <c r="E23" s="137">
        <v>382</v>
      </c>
      <c r="F23" s="137">
        <v>503</v>
      </c>
      <c r="G23" s="138">
        <v>109</v>
      </c>
      <c r="H23" s="138">
        <v>110</v>
      </c>
      <c r="I23" s="138">
        <v>109</v>
      </c>
      <c r="J23" s="137">
        <v>110</v>
      </c>
      <c r="K23" s="138">
        <v>120</v>
      </c>
      <c r="L23" s="116">
        <v>121</v>
      </c>
      <c r="M23" s="116">
        <v>119</v>
      </c>
      <c r="N23" s="115">
        <v>121</v>
      </c>
      <c r="O23" s="116">
        <v>110</v>
      </c>
      <c r="P23" s="116">
        <v>126</v>
      </c>
      <c r="Q23" s="116">
        <v>91</v>
      </c>
      <c r="R23" s="115">
        <v>-2038</v>
      </c>
      <c r="S23" s="116">
        <v>39</v>
      </c>
      <c r="T23" s="116">
        <v>40</v>
      </c>
      <c r="U23" s="116">
        <v>39</v>
      </c>
      <c r="V23" s="115">
        <v>-140</v>
      </c>
      <c r="W23" s="116">
        <v>29</v>
      </c>
      <c r="X23" s="116">
        <v>27</v>
      </c>
      <c r="Y23" s="116">
        <v>162</v>
      </c>
      <c r="Z23" s="116">
        <v>25</v>
      </c>
      <c r="AA23" s="99"/>
      <c r="AB23" s="116">
        <v>28</v>
      </c>
      <c r="AC23" s="116">
        <v>28</v>
      </c>
      <c r="AD23" s="116">
        <v>27</v>
      </c>
      <c r="AE23" s="116">
        <v>28</v>
      </c>
      <c r="AG23" s="116">
        <v>33</v>
      </c>
      <c r="AH23" s="376">
        <v>32</v>
      </c>
    </row>
    <row r="24" spans="2:34" s="5" customFormat="1" ht="18.75" customHeight="1" x14ac:dyDescent="0.35">
      <c r="B24" s="62" t="s">
        <v>95</v>
      </c>
      <c r="C24" s="115">
        <v>78</v>
      </c>
      <c r="D24" s="115">
        <v>747</v>
      </c>
      <c r="E24" s="115">
        <v>985</v>
      </c>
      <c r="F24" s="115">
        <v>-11</v>
      </c>
      <c r="G24" s="116">
        <v>72</v>
      </c>
      <c r="H24" s="116">
        <v>95</v>
      </c>
      <c r="I24" s="116">
        <v>-1262</v>
      </c>
      <c r="J24" s="115">
        <v>17</v>
      </c>
      <c r="K24" s="116">
        <v>36</v>
      </c>
      <c r="L24" s="116">
        <v>50</v>
      </c>
      <c r="M24" s="116">
        <v>9</v>
      </c>
      <c r="N24" s="115">
        <v>14</v>
      </c>
      <c r="O24" s="116">
        <v>26</v>
      </c>
      <c r="P24" s="116">
        <v>-68</v>
      </c>
      <c r="Q24" s="116">
        <v>16</v>
      </c>
      <c r="R24" s="115">
        <v>-23</v>
      </c>
      <c r="S24" s="116">
        <v>32</v>
      </c>
      <c r="T24" s="116">
        <v>-54</v>
      </c>
      <c r="U24" s="116">
        <v>44</v>
      </c>
      <c r="V24" s="115">
        <v>904</v>
      </c>
      <c r="W24" s="116">
        <v>92</v>
      </c>
      <c r="X24" s="116">
        <v>-6</v>
      </c>
      <c r="Y24" s="116">
        <v>58</v>
      </c>
      <c r="Z24" s="116">
        <v>37</v>
      </c>
      <c r="AA24" s="99"/>
      <c r="AB24" s="116">
        <v>28</v>
      </c>
      <c r="AC24" s="116">
        <v>35</v>
      </c>
      <c r="AD24" s="116">
        <v>60</v>
      </c>
      <c r="AE24" s="116">
        <v>160</v>
      </c>
      <c r="AG24" s="116">
        <v>-28</v>
      </c>
      <c r="AH24" s="376">
        <v>51</v>
      </c>
    </row>
    <row r="25" spans="2:34" s="5" customFormat="1" ht="18.75" customHeight="1" x14ac:dyDescent="0.35">
      <c r="B25" s="62" t="s">
        <v>378</v>
      </c>
      <c r="C25" s="115">
        <v>158</v>
      </c>
      <c r="D25" s="115">
        <v>92</v>
      </c>
      <c r="E25" s="115">
        <v>434</v>
      </c>
      <c r="F25" s="115">
        <v>-144</v>
      </c>
      <c r="G25" s="116">
        <v>22</v>
      </c>
      <c r="H25" s="116">
        <v>-6</v>
      </c>
      <c r="I25" s="116">
        <v>0</v>
      </c>
      <c r="J25" s="115">
        <v>76</v>
      </c>
      <c r="K25" s="116">
        <v>-3</v>
      </c>
      <c r="L25" s="116">
        <v>-13</v>
      </c>
      <c r="M25" s="116">
        <v>-3</v>
      </c>
      <c r="N25" s="115">
        <v>-2</v>
      </c>
      <c r="O25" s="116">
        <v>0</v>
      </c>
      <c r="P25" s="116">
        <v>0</v>
      </c>
      <c r="Q25" s="116">
        <v>0</v>
      </c>
      <c r="R25" s="115">
        <v>0</v>
      </c>
      <c r="S25" s="116">
        <v>0</v>
      </c>
      <c r="T25" s="116">
        <v>0</v>
      </c>
      <c r="U25" s="116">
        <v>0</v>
      </c>
      <c r="V25" s="115">
        <v>0</v>
      </c>
      <c r="W25" s="116">
        <v>0</v>
      </c>
      <c r="X25" s="116">
        <v>0</v>
      </c>
      <c r="Y25" s="116">
        <v>0</v>
      </c>
      <c r="Z25" s="116">
        <v>0</v>
      </c>
      <c r="AA25" s="99"/>
      <c r="AB25" s="116">
        <v>0</v>
      </c>
      <c r="AC25" s="116">
        <v>0</v>
      </c>
      <c r="AD25" s="116">
        <v>0</v>
      </c>
      <c r="AE25" s="116">
        <v>0</v>
      </c>
      <c r="AG25" s="116">
        <v>0</v>
      </c>
      <c r="AH25" s="116">
        <v>0</v>
      </c>
    </row>
    <row r="26" spans="2:34" s="5" customFormat="1" ht="18.75" customHeight="1" x14ac:dyDescent="0.35">
      <c r="B26" s="62" t="s">
        <v>96</v>
      </c>
      <c r="C26" s="115">
        <v>0</v>
      </c>
      <c r="D26" s="115">
        <v>0</v>
      </c>
      <c r="E26" s="115">
        <v>0</v>
      </c>
      <c r="F26" s="115">
        <v>0</v>
      </c>
      <c r="G26" s="116">
        <v>0</v>
      </c>
      <c r="H26" s="116">
        <v>0</v>
      </c>
      <c r="I26" s="116">
        <v>0</v>
      </c>
      <c r="J26" s="115">
        <v>0</v>
      </c>
      <c r="K26" s="116">
        <v>0</v>
      </c>
      <c r="L26" s="116">
        <v>0</v>
      </c>
      <c r="M26" s="116">
        <v>0</v>
      </c>
      <c r="N26" s="115">
        <v>0</v>
      </c>
      <c r="O26" s="116">
        <v>12</v>
      </c>
      <c r="P26" s="116">
        <v>13</v>
      </c>
      <c r="Q26" s="116">
        <v>8</v>
      </c>
      <c r="R26" s="115">
        <v>30</v>
      </c>
      <c r="S26" s="116">
        <v>0</v>
      </c>
      <c r="T26" s="116">
        <v>0</v>
      </c>
      <c r="U26" s="116">
        <v>-8</v>
      </c>
      <c r="V26" s="115">
        <v>0</v>
      </c>
      <c r="W26" s="116">
        <v>0</v>
      </c>
      <c r="X26" s="116">
        <v>0</v>
      </c>
      <c r="Y26" s="116">
        <v>0</v>
      </c>
      <c r="Z26" s="116">
        <v>0</v>
      </c>
      <c r="AA26" s="99"/>
      <c r="AB26" s="116">
        <v>0</v>
      </c>
      <c r="AC26" s="116">
        <v>0</v>
      </c>
      <c r="AD26" s="116">
        <v>0</v>
      </c>
      <c r="AE26" s="116">
        <v>0</v>
      </c>
      <c r="AG26" s="116">
        <v>0</v>
      </c>
      <c r="AH26" s="116">
        <v>0</v>
      </c>
    </row>
    <row r="27" spans="2:34" s="5" customFormat="1" ht="18.75" customHeight="1" x14ac:dyDescent="0.35">
      <c r="B27" s="62" t="s">
        <v>589</v>
      </c>
      <c r="C27" s="115">
        <v>0</v>
      </c>
      <c r="D27" s="115">
        <v>0</v>
      </c>
      <c r="E27" s="115">
        <v>0</v>
      </c>
      <c r="F27" s="115">
        <v>0</v>
      </c>
      <c r="G27" s="116">
        <v>0</v>
      </c>
      <c r="H27" s="116">
        <v>0</v>
      </c>
      <c r="I27" s="116">
        <v>0</v>
      </c>
      <c r="J27" s="115">
        <v>0</v>
      </c>
      <c r="K27" s="116">
        <v>0</v>
      </c>
      <c r="L27" s="116">
        <v>0</v>
      </c>
      <c r="M27" s="116">
        <v>0</v>
      </c>
      <c r="N27" s="115">
        <v>0</v>
      </c>
      <c r="O27" s="116">
        <v>0</v>
      </c>
      <c r="P27" s="116">
        <v>0</v>
      </c>
      <c r="Q27" s="116">
        <v>0</v>
      </c>
      <c r="R27" s="116">
        <v>0</v>
      </c>
      <c r="S27" s="116">
        <v>0</v>
      </c>
      <c r="T27" s="116">
        <v>0</v>
      </c>
      <c r="U27" s="116">
        <v>0</v>
      </c>
      <c r="V27" s="116">
        <v>0</v>
      </c>
      <c r="W27" s="116">
        <v>0</v>
      </c>
      <c r="X27" s="116">
        <v>0</v>
      </c>
      <c r="Y27" s="116">
        <v>0</v>
      </c>
      <c r="Z27" s="116">
        <v>0</v>
      </c>
      <c r="AA27" s="116">
        <v>0</v>
      </c>
      <c r="AB27" s="116">
        <v>0</v>
      </c>
      <c r="AC27" s="116">
        <v>0</v>
      </c>
      <c r="AD27" s="116">
        <v>360</v>
      </c>
      <c r="AE27" s="116">
        <v>0</v>
      </c>
      <c r="AG27" s="115">
        <v>0</v>
      </c>
      <c r="AH27" s="115">
        <v>0</v>
      </c>
    </row>
    <row r="28" spans="2:34" s="5" customFormat="1" ht="18.75" customHeight="1" x14ac:dyDescent="0.35">
      <c r="B28" s="62" t="s">
        <v>97</v>
      </c>
      <c r="C28" s="115">
        <v>0</v>
      </c>
      <c r="D28" s="115">
        <v>0</v>
      </c>
      <c r="E28" s="115">
        <v>0</v>
      </c>
      <c r="F28" s="115">
        <v>0</v>
      </c>
      <c r="G28" s="116">
        <v>0</v>
      </c>
      <c r="H28" s="116">
        <v>0</v>
      </c>
      <c r="I28" s="116">
        <v>0</v>
      </c>
      <c r="J28" s="115">
        <v>0</v>
      </c>
      <c r="K28" s="116">
        <v>0</v>
      </c>
      <c r="L28" s="116">
        <v>0</v>
      </c>
      <c r="M28" s="116">
        <v>0</v>
      </c>
      <c r="N28" s="115">
        <v>0</v>
      </c>
      <c r="O28" s="116">
        <v>0</v>
      </c>
      <c r="P28" s="116">
        <v>0</v>
      </c>
      <c r="Q28" s="116">
        <v>111</v>
      </c>
      <c r="R28" s="115">
        <v>79</v>
      </c>
      <c r="S28" s="116">
        <v>50</v>
      </c>
      <c r="T28" s="116">
        <v>50</v>
      </c>
      <c r="U28" s="116">
        <v>59</v>
      </c>
      <c r="V28" s="115">
        <v>81</v>
      </c>
      <c r="W28" s="116">
        <v>206</v>
      </c>
      <c r="X28" s="116">
        <v>321</v>
      </c>
      <c r="Y28" s="116">
        <v>311</v>
      </c>
      <c r="Z28" s="116">
        <v>212</v>
      </c>
      <c r="AA28" s="99"/>
      <c r="AB28" s="116">
        <v>269</v>
      </c>
      <c r="AC28" s="116">
        <v>390</v>
      </c>
      <c r="AD28" s="116">
        <v>301</v>
      </c>
      <c r="AE28" s="116">
        <v>286</v>
      </c>
      <c r="AG28" s="116">
        <v>255</v>
      </c>
      <c r="AH28" s="376">
        <v>212</v>
      </c>
    </row>
    <row r="29" spans="2:34" s="5" customFormat="1" ht="18.75" customHeight="1" x14ac:dyDescent="0.35">
      <c r="B29" s="62" t="s">
        <v>528</v>
      </c>
      <c r="C29" s="115">
        <v>0</v>
      </c>
      <c r="D29" s="115">
        <v>0</v>
      </c>
      <c r="E29" s="115">
        <v>0</v>
      </c>
      <c r="F29" s="115">
        <v>0</v>
      </c>
      <c r="G29" s="116">
        <v>0</v>
      </c>
      <c r="H29" s="116">
        <v>0</v>
      </c>
      <c r="I29" s="116">
        <v>0</v>
      </c>
      <c r="J29" s="115">
        <v>0</v>
      </c>
      <c r="K29" s="116">
        <v>0</v>
      </c>
      <c r="L29" s="116">
        <v>0</v>
      </c>
      <c r="M29" s="116">
        <v>0</v>
      </c>
      <c r="N29" s="115">
        <v>0</v>
      </c>
      <c r="O29" s="116">
        <v>0</v>
      </c>
      <c r="P29" s="116">
        <v>0</v>
      </c>
      <c r="Q29" s="116">
        <v>0</v>
      </c>
      <c r="R29" s="115">
        <v>0</v>
      </c>
      <c r="S29" s="116">
        <v>0</v>
      </c>
      <c r="T29" s="116">
        <v>0</v>
      </c>
      <c r="U29" s="116">
        <v>0</v>
      </c>
      <c r="V29" s="115">
        <v>0</v>
      </c>
      <c r="W29" s="116">
        <v>0</v>
      </c>
      <c r="X29" s="116">
        <v>0</v>
      </c>
      <c r="Y29" s="116">
        <v>0</v>
      </c>
      <c r="Z29" s="116">
        <v>0</v>
      </c>
      <c r="AA29" s="99"/>
      <c r="AB29" s="116">
        <v>0</v>
      </c>
      <c r="AC29" s="116">
        <v>-120</v>
      </c>
      <c r="AD29" s="116">
        <v>0</v>
      </c>
      <c r="AE29" s="116">
        <v>0</v>
      </c>
      <c r="AG29" s="116">
        <v>0</v>
      </c>
      <c r="AH29" s="116">
        <v>0</v>
      </c>
    </row>
    <row r="30" spans="2:34" s="5" customFormat="1" ht="18.75" customHeight="1" x14ac:dyDescent="0.35">
      <c r="B30" s="62" t="s">
        <v>98</v>
      </c>
      <c r="C30" s="115">
        <v>0</v>
      </c>
      <c r="D30" s="115">
        <v>0</v>
      </c>
      <c r="E30" s="115">
        <v>0</v>
      </c>
      <c r="F30" s="115">
        <v>0</v>
      </c>
      <c r="G30" s="116">
        <v>0</v>
      </c>
      <c r="H30" s="116">
        <v>0</v>
      </c>
      <c r="I30" s="116">
        <v>0</v>
      </c>
      <c r="J30" s="115">
        <v>0</v>
      </c>
      <c r="K30" s="116">
        <v>0</v>
      </c>
      <c r="L30" s="116">
        <v>0</v>
      </c>
      <c r="M30" s="116">
        <v>0</v>
      </c>
      <c r="N30" s="115">
        <v>0</v>
      </c>
      <c r="O30" s="116">
        <v>0</v>
      </c>
      <c r="P30" s="116">
        <v>-376</v>
      </c>
      <c r="Q30" s="116">
        <v>-16</v>
      </c>
      <c r="R30" s="115">
        <v>-648</v>
      </c>
      <c r="S30" s="116">
        <v>0</v>
      </c>
      <c r="T30" s="116">
        <v>0</v>
      </c>
      <c r="U30" s="116">
        <v>0</v>
      </c>
      <c r="V30" s="115">
        <v>0</v>
      </c>
      <c r="W30" s="116">
        <v>0</v>
      </c>
      <c r="X30" s="116">
        <v>0</v>
      </c>
      <c r="Y30" s="116">
        <v>0</v>
      </c>
      <c r="Z30" s="116">
        <v>0</v>
      </c>
      <c r="AA30" s="99"/>
      <c r="AB30" s="116">
        <v>0</v>
      </c>
      <c r="AC30" s="116">
        <v>0</v>
      </c>
      <c r="AD30" s="116">
        <v>0</v>
      </c>
      <c r="AE30" s="116">
        <v>0</v>
      </c>
      <c r="AG30" s="116">
        <v>0</v>
      </c>
      <c r="AH30" s="116">
        <v>0</v>
      </c>
    </row>
    <row r="31" spans="2:34" s="5" customFormat="1" ht="18.75" customHeight="1" x14ac:dyDescent="0.35">
      <c r="B31" s="62" t="s">
        <v>99</v>
      </c>
      <c r="C31" s="115">
        <v>0</v>
      </c>
      <c r="D31" s="115">
        <v>0</v>
      </c>
      <c r="E31" s="115">
        <v>0</v>
      </c>
      <c r="F31" s="115">
        <v>0</v>
      </c>
      <c r="G31" s="116">
        <v>0</v>
      </c>
      <c r="H31" s="116">
        <v>0</v>
      </c>
      <c r="I31" s="116">
        <v>0</v>
      </c>
      <c r="J31" s="115">
        <v>0</v>
      </c>
      <c r="K31" s="116">
        <v>0</v>
      </c>
      <c r="L31" s="116">
        <v>0</v>
      </c>
      <c r="M31" s="116">
        <v>0</v>
      </c>
      <c r="N31" s="115">
        <v>0</v>
      </c>
      <c r="O31" s="116">
        <v>0</v>
      </c>
      <c r="P31" s="116">
        <v>0</v>
      </c>
      <c r="Q31" s="116">
        <v>0</v>
      </c>
      <c r="R31" s="115">
        <v>-52</v>
      </c>
      <c r="S31" s="116">
        <v>-128</v>
      </c>
      <c r="T31" s="116">
        <v>-75</v>
      </c>
      <c r="U31" s="116">
        <f>-285-S31-T31</f>
        <v>-82</v>
      </c>
      <c r="V31" s="115">
        <v>-6</v>
      </c>
      <c r="W31" s="116">
        <v>-1</v>
      </c>
      <c r="X31" s="116">
        <v>-25</v>
      </c>
      <c r="Y31" s="116">
        <v>-47</v>
      </c>
      <c r="Z31" s="116">
        <v>2</v>
      </c>
      <c r="AA31" s="99"/>
      <c r="AB31" s="116">
        <v>0</v>
      </c>
      <c r="AC31" s="116">
        <v>-7</v>
      </c>
      <c r="AD31" s="116">
        <v>-75</v>
      </c>
      <c r="AE31" s="116">
        <v>0</v>
      </c>
      <c r="AG31" s="116">
        <v>-3</v>
      </c>
      <c r="AH31" s="376">
        <v>-48</v>
      </c>
    </row>
    <row r="32" spans="2:34" s="5" customFormat="1" ht="18.75" customHeight="1" x14ac:dyDescent="0.35">
      <c r="B32" s="62" t="s">
        <v>377</v>
      </c>
      <c r="C32" s="115">
        <v>0</v>
      </c>
      <c r="D32" s="115">
        <v>0</v>
      </c>
      <c r="E32" s="115">
        <v>0</v>
      </c>
      <c r="F32" s="115">
        <v>0</v>
      </c>
      <c r="G32" s="116">
        <v>0</v>
      </c>
      <c r="H32" s="116">
        <v>0</v>
      </c>
      <c r="I32" s="116">
        <v>0</v>
      </c>
      <c r="J32" s="115">
        <v>0</v>
      </c>
      <c r="K32" s="116">
        <v>0</v>
      </c>
      <c r="L32" s="116">
        <v>0</v>
      </c>
      <c r="M32" s="116">
        <v>0</v>
      </c>
      <c r="N32" s="115">
        <v>0</v>
      </c>
      <c r="O32" s="116">
        <v>0</v>
      </c>
      <c r="P32" s="116">
        <v>0</v>
      </c>
      <c r="Q32" s="116">
        <v>-117</v>
      </c>
      <c r="R32" s="115">
        <v>0</v>
      </c>
      <c r="S32" s="116">
        <v>0</v>
      </c>
      <c r="T32" s="116">
        <v>0</v>
      </c>
      <c r="U32" s="116">
        <v>0</v>
      </c>
      <c r="V32" s="115">
        <v>0</v>
      </c>
      <c r="W32" s="116">
        <v>0</v>
      </c>
      <c r="X32" s="116">
        <v>0</v>
      </c>
      <c r="Y32" s="116">
        <v>0</v>
      </c>
      <c r="Z32" s="116">
        <v>0</v>
      </c>
      <c r="AA32" s="99"/>
      <c r="AB32" s="116">
        <v>0</v>
      </c>
      <c r="AC32" s="116">
        <v>0</v>
      </c>
      <c r="AD32" s="116">
        <v>0</v>
      </c>
      <c r="AE32" s="116">
        <v>0</v>
      </c>
      <c r="AG32" s="116">
        <v>0</v>
      </c>
      <c r="AH32" s="116">
        <v>0</v>
      </c>
    </row>
    <row r="33" spans="2:34" s="5" customFormat="1" ht="18.75" customHeight="1" x14ac:dyDescent="0.35">
      <c r="B33" s="62" t="s">
        <v>636</v>
      </c>
      <c r="C33" s="115">
        <v>0</v>
      </c>
      <c r="D33" s="115">
        <v>0</v>
      </c>
      <c r="E33" s="115">
        <v>0</v>
      </c>
      <c r="F33" s="115">
        <v>0</v>
      </c>
      <c r="G33" s="116">
        <v>0</v>
      </c>
      <c r="H33" s="116">
        <v>0</v>
      </c>
      <c r="I33" s="116">
        <v>0</v>
      </c>
      <c r="J33" s="115">
        <v>0</v>
      </c>
      <c r="K33" s="116">
        <v>0</v>
      </c>
      <c r="L33" s="116">
        <v>0</v>
      </c>
      <c r="M33" s="116">
        <v>0</v>
      </c>
      <c r="N33" s="115">
        <v>0</v>
      </c>
      <c r="O33" s="116">
        <v>0</v>
      </c>
      <c r="P33" s="116">
        <v>0</v>
      </c>
      <c r="Q33" s="116">
        <v>0</v>
      </c>
      <c r="R33" s="115">
        <v>0</v>
      </c>
      <c r="S33" s="116">
        <v>0</v>
      </c>
      <c r="T33" s="116">
        <v>0</v>
      </c>
      <c r="U33" s="116">
        <v>0</v>
      </c>
      <c r="V33" s="115">
        <v>0</v>
      </c>
      <c r="W33" s="38">
        <v>22</v>
      </c>
      <c r="X33" s="38">
        <v>21</v>
      </c>
      <c r="Y33" s="38">
        <v>21</v>
      </c>
      <c r="Z33" s="38">
        <v>18</v>
      </c>
      <c r="AA33" s="99"/>
      <c r="AB33" s="38">
        <v>30</v>
      </c>
      <c r="AC33" s="38">
        <v>20</v>
      </c>
      <c r="AD33" s="38">
        <v>42</v>
      </c>
      <c r="AE33" s="38">
        <v>90</v>
      </c>
      <c r="AG33" s="38">
        <v>33</v>
      </c>
      <c r="AH33" s="38">
        <v>44</v>
      </c>
    </row>
    <row r="34" spans="2:34" x14ac:dyDescent="0.35">
      <c r="B34" s="62" t="s">
        <v>530</v>
      </c>
      <c r="C34" s="115">
        <v>0</v>
      </c>
      <c r="D34" s="115">
        <v>0</v>
      </c>
      <c r="E34" s="115">
        <v>0</v>
      </c>
      <c r="F34" s="115">
        <v>0</v>
      </c>
      <c r="G34" s="116">
        <v>0</v>
      </c>
      <c r="H34" s="116">
        <v>0</v>
      </c>
      <c r="I34" s="116">
        <v>0</v>
      </c>
      <c r="J34" s="115">
        <v>0</v>
      </c>
      <c r="K34" s="116">
        <v>0</v>
      </c>
      <c r="L34" s="116">
        <v>0</v>
      </c>
      <c r="M34" s="116">
        <v>0</v>
      </c>
      <c r="N34" s="115">
        <v>0</v>
      </c>
      <c r="O34" s="116">
        <v>0</v>
      </c>
      <c r="P34" s="116">
        <v>0</v>
      </c>
      <c r="Q34" s="116">
        <v>0</v>
      </c>
      <c r="R34" s="115">
        <v>0</v>
      </c>
      <c r="S34" s="116">
        <v>0</v>
      </c>
      <c r="T34" s="116">
        <v>0</v>
      </c>
      <c r="U34" s="116">
        <v>0</v>
      </c>
      <c r="V34" s="39">
        <v>85</v>
      </c>
      <c r="W34" s="116">
        <v>0</v>
      </c>
      <c r="X34" s="116">
        <v>0</v>
      </c>
      <c r="Y34" s="116">
        <v>0</v>
      </c>
      <c r="Z34" s="116">
        <v>-672</v>
      </c>
      <c r="AB34" s="116">
        <v>-32</v>
      </c>
      <c r="AC34" s="116">
        <v>-46</v>
      </c>
      <c r="AD34" s="116">
        <v>0</v>
      </c>
      <c r="AE34" s="116">
        <v>0</v>
      </c>
      <c r="AG34" s="116">
        <v>0</v>
      </c>
      <c r="AH34" s="116">
        <v>0</v>
      </c>
    </row>
    <row r="35" spans="2:34" x14ac:dyDescent="0.35">
      <c r="B35" s="62" t="s">
        <v>613</v>
      </c>
      <c r="C35" s="115">
        <v>0</v>
      </c>
      <c r="D35" s="115">
        <v>0</v>
      </c>
      <c r="E35" s="115">
        <v>0</v>
      </c>
      <c r="F35" s="115">
        <v>0</v>
      </c>
      <c r="G35" s="116">
        <v>0</v>
      </c>
      <c r="H35" s="116">
        <v>0</v>
      </c>
      <c r="I35" s="116">
        <v>0</v>
      </c>
      <c r="J35" s="115">
        <v>0</v>
      </c>
      <c r="K35" s="116">
        <v>0</v>
      </c>
      <c r="L35" s="116">
        <v>0</v>
      </c>
      <c r="M35" s="116">
        <v>0</v>
      </c>
      <c r="N35" s="115">
        <v>0</v>
      </c>
      <c r="O35" s="116">
        <v>0</v>
      </c>
      <c r="P35" s="116">
        <v>0</v>
      </c>
      <c r="Q35" s="116">
        <v>0</v>
      </c>
      <c r="R35" s="115">
        <v>0</v>
      </c>
      <c r="S35" s="116">
        <v>0</v>
      </c>
      <c r="T35" s="116">
        <v>0</v>
      </c>
      <c r="U35" s="116">
        <v>0</v>
      </c>
      <c r="V35" s="116">
        <v>0</v>
      </c>
      <c r="W35" s="116">
        <v>0</v>
      </c>
      <c r="X35" s="116">
        <v>0</v>
      </c>
      <c r="Y35" s="116">
        <v>0</v>
      </c>
      <c r="Z35" s="116">
        <v>0</v>
      </c>
      <c r="AA35" s="116">
        <v>0</v>
      </c>
      <c r="AB35" s="116">
        <v>0</v>
      </c>
      <c r="AC35" s="116">
        <v>0</v>
      </c>
      <c r="AD35" s="116">
        <v>0</v>
      </c>
      <c r="AE35" s="116">
        <v>-828</v>
      </c>
      <c r="AG35" s="116">
        <v>0</v>
      </c>
      <c r="AH35" s="116">
        <v>0</v>
      </c>
    </row>
    <row r="36" spans="2:34" x14ac:dyDescent="0.35">
      <c r="B36" s="62" t="s">
        <v>614</v>
      </c>
      <c r="C36" s="115">
        <v>0</v>
      </c>
      <c r="D36" s="115">
        <v>0</v>
      </c>
      <c r="E36" s="115">
        <v>0</v>
      </c>
      <c r="F36" s="115">
        <v>0</v>
      </c>
      <c r="G36" s="116">
        <v>0</v>
      </c>
      <c r="H36" s="116">
        <v>0</v>
      </c>
      <c r="I36" s="116">
        <v>0</v>
      </c>
      <c r="J36" s="115">
        <v>0</v>
      </c>
      <c r="K36" s="116">
        <v>0</v>
      </c>
      <c r="L36" s="116">
        <v>0</v>
      </c>
      <c r="M36" s="116">
        <v>0</v>
      </c>
      <c r="N36" s="115">
        <v>0</v>
      </c>
      <c r="O36" s="116">
        <v>0</v>
      </c>
      <c r="P36" s="116">
        <v>0</v>
      </c>
      <c r="Q36" s="116">
        <v>0</v>
      </c>
      <c r="R36" s="115">
        <v>0</v>
      </c>
      <c r="S36" s="116">
        <v>0</v>
      </c>
      <c r="T36" s="116">
        <v>0</v>
      </c>
      <c r="U36" s="116">
        <v>0</v>
      </c>
      <c r="V36" s="116">
        <v>0</v>
      </c>
      <c r="W36" s="116">
        <v>0</v>
      </c>
      <c r="X36" s="116">
        <v>0</v>
      </c>
      <c r="Y36" s="116">
        <v>0</v>
      </c>
      <c r="Z36" s="116">
        <v>0</v>
      </c>
      <c r="AA36" s="116">
        <v>0</v>
      </c>
      <c r="AB36" s="116">
        <v>0</v>
      </c>
      <c r="AC36" s="116">
        <v>0</v>
      </c>
      <c r="AD36" s="116">
        <v>0</v>
      </c>
      <c r="AE36" s="116">
        <v>-2591</v>
      </c>
      <c r="AG36" s="116">
        <v>-535</v>
      </c>
      <c r="AH36" s="116">
        <v>0</v>
      </c>
    </row>
    <row r="37" spans="2:34" x14ac:dyDescent="0.35">
      <c r="B37" s="62" t="s">
        <v>617</v>
      </c>
      <c r="C37" s="115">
        <v>0</v>
      </c>
      <c r="D37" s="115">
        <v>0</v>
      </c>
      <c r="E37" s="115">
        <v>0</v>
      </c>
      <c r="F37" s="115">
        <v>0</v>
      </c>
      <c r="G37" s="116">
        <v>0</v>
      </c>
      <c r="H37" s="116">
        <v>0</v>
      </c>
      <c r="I37" s="116">
        <v>0</v>
      </c>
      <c r="J37" s="115">
        <v>0</v>
      </c>
      <c r="K37" s="116">
        <v>0</v>
      </c>
      <c r="L37" s="116">
        <v>0</v>
      </c>
      <c r="M37" s="116">
        <v>0</v>
      </c>
      <c r="N37" s="115">
        <v>0</v>
      </c>
      <c r="O37" s="116">
        <v>0</v>
      </c>
      <c r="P37" s="116">
        <v>0</v>
      </c>
      <c r="Q37" s="116">
        <v>0</v>
      </c>
      <c r="R37" s="115">
        <v>0</v>
      </c>
      <c r="S37" s="116">
        <v>0</v>
      </c>
      <c r="T37" s="116">
        <v>0</v>
      </c>
      <c r="U37" s="116">
        <v>0</v>
      </c>
      <c r="V37" s="116">
        <v>0</v>
      </c>
      <c r="W37" s="116">
        <v>1</v>
      </c>
      <c r="X37" s="116">
        <v>-11</v>
      </c>
      <c r="Y37" s="116">
        <v>-12</v>
      </c>
      <c r="Z37" s="116">
        <v>-6</v>
      </c>
      <c r="AB37" s="116">
        <v>2</v>
      </c>
      <c r="AC37" s="116">
        <v>2</v>
      </c>
      <c r="AD37" s="116">
        <v>-1</v>
      </c>
      <c r="AE37" s="116">
        <v>99</v>
      </c>
      <c r="AG37" s="116">
        <v>5</v>
      </c>
      <c r="AH37" s="376">
        <v>-1</v>
      </c>
    </row>
    <row r="38" spans="2:34" x14ac:dyDescent="0.35">
      <c r="B38" s="62" t="s">
        <v>616</v>
      </c>
      <c r="C38" s="115">
        <v>0</v>
      </c>
      <c r="D38" s="115">
        <v>0</v>
      </c>
      <c r="E38" s="115">
        <v>0</v>
      </c>
      <c r="F38" s="115">
        <v>0</v>
      </c>
      <c r="G38" s="116">
        <v>0</v>
      </c>
      <c r="H38" s="116">
        <v>0</v>
      </c>
      <c r="I38" s="116">
        <v>0</v>
      </c>
      <c r="J38" s="115">
        <v>0</v>
      </c>
      <c r="K38" s="116">
        <v>0</v>
      </c>
      <c r="L38" s="116">
        <v>0</v>
      </c>
      <c r="M38" s="116">
        <v>0</v>
      </c>
      <c r="N38" s="115">
        <v>0</v>
      </c>
      <c r="O38" s="116">
        <v>0</v>
      </c>
      <c r="P38" s="116">
        <v>0</v>
      </c>
      <c r="Q38" s="116">
        <v>0</v>
      </c>
      <c r="R38" s="115">
        <v>0</v>
      </c>
      <c r="S38" s="116">
        <v>0</v>
      </c>
      <c r="T38" s="116">
        <v>0</v>
      </c>
      <c r="U38" s="116">
        <v>0</v>
      </c>
      <c r="V38" s="116">
        <v>0</v>
      </c>
      <c r="W38" s="116">
        <v>0</v>
      </c>
      <c r="X38" s="116">
        <v>0</v>
      </c>
      <c r="Y38" s="116">
        <v>0</v>
      </c>
      <c r="Z38" s="116">
        <v>0</v>
      </c>
      <c r="AB38" s="116">
        <v>0</v>
      </c>
      <c r="AC38" s="116">
        <v>0</v>
      </c>
      <c r="AD38" s="116">
        <v>0</v>
      </c>
      <c r="AE38" s="116">
        <v>-31</v>
      </c>
      <c r="AG38" s="116">
        <v>0</v>
      </c>
      <c r="AH38" s="376">
        <v>0</v>
      </c>
    </row>
    <row r="39" spans="2:34" x14ac:dyDescent="0.35">
      <c r="B39" s="62" t="s">
        <v>615</v>
      </c>
      <c r="C39" s="115">
        <v>0</v>
      </c>
      <c r="D39" s="115">
        <v>0</v>
      </c>
      <c r="E39" s="115">
        <v>0</v>
      </c>
      <c r="F39" s="115">
        <v>0</v>
      </c>
      <c r="G39" s="116">
        <v>0</v>
      </c>
      <c r="H39" s="116">
        <v>0</v>
      </c>
      <c r="I39" s="116">
        <v>0</v>
      </c>
      <c r="J39" s="115">
        <v>0</v>
      </c>
      <c r="K39" s="116">
        <v>0</v>
      </c>
      <c r="L39" s="116">
        <v>0</v>
      </c>
      <c r="M39" s="116">
        <v>0</v>
      </c>
      <c r="N39" s="115">
        <v>0</v>
      </c>
      <c r="O39" s="116">
        <v>0</v>
      </c>
      <c r="P39" s="116">
        <v>0</v>
      </c>
      <c r="Q39" s="116">
        <v>0</v>
      </c>
      <c r="R39" s="115">
        <v>0</v>
      </c>
      <c r="S39" s="116">
        <v>0</v>
      </c>
      <c r="T39" s="116">
        <v>0</v>
      </c>
      <c r="U39" s="116">
        <v>0</v>
      </c>
      <c r="V39" s="116">
        <v>0</v>
      </c>
      <c r="W39" s="116">
        <v>0</v>
      </c>
      <c r="X39" s="116">
        <v>0</v>
      </c>
      <c r="Y39" s="116">
        <v>0</v>
      </c>
      <c r="Z39" s="116">
        <v>0</v>
      </c>
      <c r="AB39" s="116">
        <v>0</v>
      </c>
      <c r="AC39" s="116">
        <v>0</v>
      </c>
      <c r="AD39" s="116">
        <v>0</v>
      </c>
      <c r="AE39" s="116">
        <v>19</v>
      </c>
      <c r="AG39" s="116">
        <v>0</v>
      </c>
      <c r="AH39" s="376">
        <v>0</v>
      </c>
    </row>
    <row r="40" spans="2:34" s="5" customFormat="1" ht="18.75" customHeight="1" x14ac:dyDescent="0.35">
      <c r="B40" s="62" t="s">
        <v>100</v>
      </c>
      <c r="C40" s="115">
        <v>37</v>
      </c>
      <c r="D40" s="115">
        <v>3</v>
      </c>
      <c r="E40" s="115">
        <v>91</v>
      </c>
      <c r="F40" s="115">
        <v>17</v>
      </c>
      <c r="G40" s="116">
        <v>-65</v>
      </c>
      <c r="H40" s="116">
        <v>71</v>
      </c>
      <c r="I40" s="116">
        <v>-10</v>
      </c>
      <c r="J40" s="115">
        <v>9</v>
      </c>
      <c r="K40" s="116">
        <v>-3</v>
      </c>
      <c r="L40" s="116">
        <v>1</v>
      </c>
      <c r="M40" s="116">
        <v>5</v>
      </c>
      <c r="N40" s="115">
        <v>-6</v>
      </c>
      <c r="O40" s="116">
        <v>-3</v>
      </c>
      <c r="P40" s="116">
        <v>3</v>
      </c>
      <c r="Q40" s="116">
        <v>-20</v>
      </c>
      <c r="R40" s="115">
        <v>34</v>
      </c>
      <c r="S40" s="116">
        <v>4</v>
      </c>
      <c r="T40" s="116">
        <v>-57</v>
      </c>
      <c r="U40" s="116">
        <v>104</v>
      </c>
      <c r="V40" s="115">
        <v>13</v>
      </c>
      <c r="W40" s="116">
        <v>6</v>
      </c>
      <c r="X40" s="116">
        <v>20</v>
      </c>
      <c r="Y40" s="116">
        <v>-41</v>
      </c>
      <c r="Z40" s="116">
        <v>-15</v>
      </c>
      <c r="AA40" s="99"/>
      <c r="AB40" s="116">
        <v>40</v>
      </c>
      <c r="AC40" s="116">
        <v>-19</v>
      </c>
      <c r="AD40" s="116">
        <v>-25</v>
      </c>
      <c r="AE40" s="116">
        <v>0</v>
      </c>
      <c r="AG40" s="116">
        <v>-69</v>
      </c>
      <c r="AH40" s="376">
        <v>-97</v>
      </c>
    </row>
    <row r="41" spans="2:34" s="5" customFormat="1" ht="12" customHeight="1" x14ac:dyDescent="0.35">
      <c r="B41" s="64"/>
      <c r="C41" s="53"/>
      <c r="D41" s="53"/>
      <c r="E41" s="53"/>
      <c r="F41" s="53"/>
      <c r="G41" s="52"/>
      <c r="H41" s="52"/>
      <c r="I41" s="52"/>
      <c r="J41" s="53"/>
      <c r="K41" s="52"/>
      <c r="L41" s="52"/>
      <c r="M41" s="52"/>
      <c r="N41" s="53"/>
      <c r="O41" s="52"/>
      <c r="P41" s="52"/>
      <c r="Q41" s="52"/>
      <c r="R41" s="99"/>
      <c r="S41" s="52"/>
      <c r="T41" s="52"/>
      <c r="U41" s="52"/>
      <c r="V41" s="99"/>
      <c r="W41" s="52"/>
      <c r="X41" s="52"/>
      <c r="Y41" s="52"/>
      <c r="Z41" s="52"/>
      <c r="AA41" s="99"/>
      <c r="AB41" s="52"/>
      <c r="AC41" s="52"/>
      <c r="AD41" s="52"/>
      <c r="AE41" s="52"/>
      <c r="AG41" s="52"/>
      <c r="AH41" s="376"/>
    </row>
    <row r="42" spans="2:34" s="5" customFormat="1" x14ac:dyDescent="0.35">
      <c r="B42" s="123" t="s">
        <v>103</v>
      </c>
      <c r="C42" s="53"/>
      <c r="D42" s="53"/>
      <c r="E42" s="53"/>
      <c r="F42" s="53"/>
      <c r="G42" s="52"/>
      <c r="H42" s="52"/>
      <c r="I42" s="52"/>
      <c r="J42" s="53"/>
      <c r="K42" s="52"/>
      <c r="L42" s="52"/>
      <c r="M42" s="52"/>
      <c r="N42" s="53"/>
      <c r="O42" s="52"/>
      <c r="P42" s="52"/>
      <c r="Q42" s="52"/>
      <c r="R42" s="53"/>
      <c r="S42" s="52"/>
      <c r="T42" s="52"/>
      <c r="U42" s="52"/>
      <c r="V42" s="53"/>
      <c r="W42" s="52"/>
      <c r="X42" s="52"/>
      <c r="Y42" s="52"/>
      <c r="Z42" s="52"/>
      <c r="AA42" s="99"/>
      <c r="AB42" s="52"/>
      <c r="AC42" s="52"/>
      <c r="AD42" s="52"/>
      <c r="AE42" s="52"/>
      <c r="AG42" s="52"/>
      <c r="AH42" s="376"/>
    </row>
    <row r="43" spans="2:34" s="5" customFormat="1" x14ac:dyDescent="0.35">
      <c r="B43" s="124" t="s">
        <v>106</v>
      </c>
      <c r="C43" s="115">
        <v>-3649</v>
      </c>
      <c r="D43" s="115">
        <v>-1038</v>
      </c>
      <c r="E43" s="115">
        <v>536</v>
      </c>
      <c r="F43" s="115">
        <v>-154</v>
      </c>
      <c r="G43" s="116">
        <v>185</v>
      </c>
      <c r="H43" s="116">
        <v>317</v>
      </c>
      <c r="I43" s="116">
        <v>42</v>
      </c>
      <c r="J43" s="115">
        <v>1184</v>
      </c>
      <c r="K43" s="116">
        <v>766</v>
      </c>
      <c r="L43" s="116">
        <v>391</v>
      </c>
      <c r="M43" s="116">
        <v>2145</v>
      </c>
      <c r="N43" s="115">
        <v>281</v>
      </c>
      <c r="O43" s="116">
        <v>838</v>
      </c>
      <c r="P43" s="116">
        <v>158</v>
      </c>
      <c r="Q43" s="116">
        <v>-148</v>
      </c>
      <c r="R43" s="115">
        <v>-215</v>
      </c>
      <c r="S43" s="116">
        <v>-150</v>
      </c>
      <c r="T43" s="116">
        <v>-408</v>
      </c>
      <c r="U43" s="116">
        <v>-851</v>
      </c>
      <c r="V43" s="115">
        <v>421</v>
      </c>
      <c r="W43" s="116">
        <v>-9</v>
      </c>
      <c r="X43" s="116">
        <v>-947</v>
      </c>
      <c r="Y43" s="116">
        <v>1349</v>
      </c>
      <c r="Z43" s="116">
        <v>-1258</v>
      </c>
      <c r="AA43" s="99"/>
      <c r="AB43" s="116">
        <v>952</v>
      </c>
      <c r="AC43" s="116">
        <v>1111</v>
      </c>
      <c r="AD43" s="116">
        <v>-1129</v>
      </c>
      <c r="AE43" s="116">
        <v>202</v>
      </c>
      <c r="AG43" s="116">
        <v>60</v>
      </c>
      <c r="AH43" s="376">
        <v>287</v>
      </c>
    </row>
    <row r="44" spans="2:34" s="5" customFormat="1" x14ac:dyDescent="0.35">
      <c r="B44" s="124" t="s">
        <v>64</v>
      </c>
      <c r="C44" s="115">
        <v>-250</v>
      </c>
      <c r="D44" s="115">
        <v>-235</v>
      </c>
      <c r="E44" s="115">
        <v>204</v>
      </c>
      <c r="F44" s="115">
        <v>-533</v>
      </c>
      <c r="G44" s="116">
        <v>214</v>
      </c>
      <c r="H44" s="116">
        <v>-62</v>
      </c>
      <c r="I44" s="116">
        <v>-166</v>
      </c>
      <c r="J44" s="115">
        <v>407</v>
      </c>
      <c r="K44" s="116">
        <v>54</v>
      </c>
      <c r="L44" s="116">
        <v>-158</v>
      </c>
      <c r="M44" s="116">
        <v>-27</v>
      </c>
      <c r="N44" s="115">
        <v>-358</v>
      </c>
      <c r="O44" s="116">
        <v>435</v>
      </c>
      <c r="P44" s="116">
        <v>630</v>
      </c>
      <c r="Q44" s="116">
        <v>-620</v>
      </c>
      <c r="R44" s="115">
        <v>-608</v>
      </c>
      <c r="S44" s="116">
        <v>17</v>
      </c>
      <c r="T44" s="116">
        <v>-1070</v>
      </c>
      <c r="U44" s="116">
        <v>-216</v>
      </c>
      <c r="V44" s="115">
        <v>-848</v>
      </c>
      <c r="W44" s="116">
        <v>-501</v>
      </c>
      <c r="X44" s="116">
        <v>-2257</v>
      </c>
      <c r="Y44" s="116">
        <v>644</v>
      </c>
      <c r="Z44" s="116">
        <v>1036</v>
      </c>
      <c r="AA44" s="99"/>
      <c r="AB44" s="116">
        <v>1180</v>
      </c>
      <c r="AC44" s="116">
        <v>-171</v>
      </c>
      <c r="AD44" s="116">
        <v>-585</v>
      </c>
      <c r="AE44" s="116">
        <v>373</v>
      </c>
      <c r="AG44" s="116">
        <v>-1153</v>
      </c>
      <c r="AH44" s="376">
        <v>859</v>
      </c>
    </row>
    <row r="45" spans="2:34" s="11" customFormat="1" ht="19" x14ac:dyDescent="0.45">
      <c r="B45" s="124" t="s">
        <v>107</v>
      </c>
      <c r="C45" s="115"/>
      <c r="D45" s="115">
        <v>0</v>
      </c>
      <c r="E45" s="115">
        <v>-359</v>
      </c>
      <c r="F45" s="115">
        <v>-569</v>
      </c>
      <c r="G45" s="116">
        <v>-113</v>
      </c>
      <c r="H45" s="116">
        <v>-115</v>
      </c>
      <c r="I45" s="116">
        <v>-152</v>
      </c>
      <c r="J45" s="115">
        <v>-217</v>
      </c>
      <c r="K45" s="116">
        <v>-168</v>
      </c>
      <c r="L45" s="116">
        <v>-273</v>
      </c>
      <c r="M45" s="116">
        <v>-292</v>
      </c>
      <c r="N45" s="115">
        <v>-258</v>
      </c>
      <c r="O45" s="116">
        <v>-103</v>
      </c>
      <c r="P45" s="116">
        <v>-104</v>
      </c>
      <c r="Q45" s="116">
        <v>-84</v>
      </c>
      <c r="R45" s="115">
        <v>-176</v>
      </c>
      <c r="S45" s="116">
        <v>-124</v>
      </c>
      <c r="T45" s="116">
        <v>-164</v>
      </c>
      <c r="U45" s="116">
        <v>-105</v>
      </c>
      <c r="V45" s="115">
        <v>-191</v>
      </c>
      <c r="W45" s="116">
        <v>-92</v>
      </c>
      <c r="X45" s="116">
        <v>-136</v>
      </c>
      <c r="Y45" s="116">
        <v>-167</v>
      </c>
      <c r="Z45" s="116">
        <v>-249</v>
      </c>
      <c r="AA45" s="131"/>
      <c r="AB45" s="116">
        <v>-141</v>
      </c>
      <c r="AC45" s="116">
        <v>-217</v>
      </c>
      <c r="AD45" s="116">
        <v>-118</v>
      </c>
      <c r="AE45" s="116">
        <v>-103</v>
      </c>
      <c r="AG45" s="116">
        <v>-35</v>
      </c>
      <c r="AH45" s="402">
        <v>-51</v>
      </c>
    </row>
    <row r="46" spans="2:34" s="11" customFormat="1" ht="19" x14ac:dyDescent="0.45">
      <c r="B46" s="124" t="s">
        <v>69</v>
      </c>
      <c r="C46" s="115">
        <v>-902</v>
      </c>
      <c r="D46" s="115">
        <v>-982</v>
      </c>
      <c r="E46" s="115">
        <v>-45</v>
      </c>
      <c r="F46" s="115">
        <v>-87</v>
      </c>
      <c r="G46" s="116">
        <v>-45</v>
      </c>
      <c r="H46" s="116">
        <v>-17</v>
      </c>
      <c r="I46" s="116">
        <v>-22</v>
      </c>
      <c r="J46" s="115">
        <v>-5</v>
      </c>
      <c r="K46" s="116">
        <v>-13</v>
      </c>
      <c r="L46" s="116">
        <v>-11</v>
      </c>
      <c r="M46" s="116">
        <v>-11</v>
      </c>
      <c r="N46" s="115">
        <v>-13</v>
      </c>
      <c r="O46" s="116">
        <v>-18</v>
      </c>
      <c r="P46" s="116">
        <v>-9</v>
      </c>
      <c r="Q46" s="116">
        <v>-6</v>
      </c>
      <c r="R46" s="115">
        <v>-14</v>
      </c>
      <c r="S46" s="116">
        <v>-54</v>
      </c>
      <c r="T46" s="116">
        <v>-24</v>
      </c>
      <c r="U46" s="116">
        <v>-13</v>
      </c>
      <c r="V46" s="115">
        <v>-57</v>
      </c>
      <c r="W46" s="116">
        <v>-3</v>
      </c>
      <c r="X46" s="116">
        <v>-18</v>
      </c>
      <c r="Y46" s="116">
        <v>-4</v>
      </c>
      <c r="Z46" s="116">
        <v>-25</v>
      </c>
      <c r="AA46" s="131"/>
      <c r="AB46" s="116">
        <v>-28</v>
      </c>
      <c r="AC46" s="116">
        <v>-42</v>
      </c>
      <c r="AD46" s="116">
        <v>-16</v>
      </c>
      <c r="AE46" s="116">
        <v>-30</v>
      </c>
      <c r="AG46" s="116">
        <v>-21</v>
      </c>
      <c r="AH46" s="402">
        <v>-46</v>
      </c>
    </row>
    <row r="47" spans="2:34" s="11" customFormat="1" ht="19" x14ac:dyDescent="0.45">
      <c r="B47" s="124" t="s">
        <v>104</v>
      </c>
      <c r="C47" s="115">
        <v>-83</v>
      </c>
      <c r="D47" s="115">
        <v>106</v>
      </c>
      <c r="E47" s="115">
        <v>-116</v>
      </c>
      <c r="F47" s="115">
        <v>-7</v>
      </c>
      <c r="G47" s="116">
        <v>-5</v>
      </c>
      <c r="H47" s="116">
        <v>-18</v>
      </c>
      <c r="I47" s="116">
        <v>1</v>
      </c>
      <c r="J47" s="115">
        <v>9</v>
      </c>
      <c r="K47" s="116">
        <v>-47</v>
      </c>
      <c r="L47" s="116">
        <v>-12</v>
      </c>
      <c r="M47" s="116">
        <v>-28</v>
      </c>
      <c r="N47" s="115">
        <v>-11</v>
      </c>
      <c r="O47" s="116">
        <v>-5</v>
      </c>
      <c r="P47" s="116">
        <v>-3</v>
      </c>
      <c r="Q47" s="116">
        <v>-6</v>
      </c>
      <c r="R47" s="115">
        <v>-7</v>
      </c>
      <c r="S47" s="116">
        <v>0</v>
      </c>
      <c r="T47" s="116">
        <v>-11</v>
      </c>
      <c r="U47" s="116">
        <v>7</v>
      </c>
      <c r="V47" s="115">
        <v>-10</v>
      </c>
      <c r="W47" s="116">
        <v>24</v>
      </c>
      <c r="X47" s="116">
        <v>-9</v>
      </c>
      <c r="Y47" s="116">
        <v>-68</v>
      </c>
      <c r="Z47" s="116">
        <v>-15</v>
      </c>
      <c r="AA47" s="131"/>
      <c r="AB47" s="116">
        <v>-6</v>
      </c>
      <c r="AC47" s="116">
        <v>-8</v>
      </c>
      <c r="AD47" s="116">
        <v>-31</v>
      </c>
      <c r="AE47" s="116">
        <v>-1</v>
      </c>
      <c r="AG47" s="116">
        <v>-13</v>
      </c>
      <c r="AH47" s="402">
        <v>-7</v>
      </c>
    </row>
    <row r="48" spans="2:34" s="11" customFormat="1" ht="19" x14ac:dyDescent="0.45">
      <c r="B48" s="124" t="s">
        <v>105</v>
      </c>
      <c r="C48" s="115">
        <v>0</v>
      </c>
      <c r="D48" s="115">
        <v>0</v>
      </c>
      <c r="E48" s="115">
        <v>0</v>
      </c>
      <c r="F48" s="115">
        <v>0</v>
      </c>
      <c r="G48" s="116">
        <v>0</v>
      </c>
      <c r="H48" s="116">
        <v>0</v>
      </c>
      <c r="I48" s="116">
        <v>0</v>
      </c>
      <c r="J48" s="115">
        <v>0</v>
      </c>
      <c r="K48" s="116">
        <v>0</v>
      </c>
      <c r="L48" s="116">
        <v>0</v>
      </c>
      <c r="M48" s="116">
        <v>0</v>
      </c>
      <c r="N48" s="115">
        <v>0</v>
      </c>
      <c r="O48" s="116">
        <v>0</v>
      </c>
      <c r="P48" s="116">
        <v>0</v>
      </c>
      <c r="Q48" s="116">
        <v>-13</v>
      </c>
      <c r="R48" s="115">
        <v>-177</v>
      </c>
      <c r="S48" s="116">
        <v>-41</v>
      </c>
      <c r="T48" s="116">
        <v>-69</v>
      </c>
      <c r="U48" s="116">
        <v>-47</v>
      </c>
      <c r="V48" s="115">
        <v>-83</v>
      </c>
      <c r="W48" s="116">
        <v>-174</v>
      </c>
      <c r="X48" s="116">
        <v>-398</v>
      </c>
      <c r="Y48" s="116">
        <v>-167</v>
      </c>
      <c r="Z48" s="116">
        <v>-85</v>
      </c>
      <c r="AA48" s="131"/>
      <c r="AB48" s="116">
        <v>-258</v>
      </c>
      <c r="AC48" s="116">
        <v>-364</v>
      </c>
      <c r="AD48" s="116">
        <v>-417</v>
      </c>
      <c r="AE48" s="116">
        <v>-420</v>
      </c>
      <c r="AG48" s="116">
        <v>-293</v>
      </c>
      <c r="AH48" s="544">
        <v>-192</v>
      </c>
    </row>
    <row r="49" spans="2:34" s="11" customFormat="1" ht="19" x14ac:dyDescent="0.45">
      <c r="B49" s="124" t="s">
        <v>108</v>
      </c>
      <c r="C49" s="115">
        <v>124</v>
      </c>
      <c r="D49" s="115">
        <v>-259</v>
      </c>
      <c r="E49" s="115">
        <v>-531</v>
      </c>
      <c r="F49" s="115">
        <v>38</v>
      </c>
      <c r="G49" s="116">
        <v>-355</v>
      </c>
      <c r="H49" s="116">
        <v>-219</v>
      </c>
      <c r="I49" s="116">
        <v>135</v>
      </c>
      <c r="J49" s="115">
        <v>-121</v>
      </c>
      <c r="K49" s="116">
        <v>-115</v>
      </c>
      <c r="L49" s="116">
        <v>-71</v>
      </c>
      <c r="M49" s="116">
        <v>-214</v>
      </c>
      <c r="N49" s="115">
        <v>474</v>
      </c>
      <c r="O49" s="116">
        <v>-907</v>
      </c>
      <c r="P49" s="116">
        <v>-340</v>
      </c>
      <c r="Q49" s="116">
        <v>465</v>
      </c>
      <c r="R49" s="115">
        <v>437</v>
      </c>
      <c r="S49" s="116">
        <v>-705</v>
      </c>
      <c r="T49" s="116">
        <v>849</v>
      </c>
      <c r="U49" s="116">
        <v>552</v>
      </c>
      <c r="V49" s="115">
        <v>750</v>
      </c>
      <c r="W49" s="116">
        <v>290</v>
      </c>
      <c r="X49" s="116">
        <v>884</v>
      </c>
      <c r="Y49" s="116">
        <v>-172</v>
      </c>
      <c r="Z49" s="116">
        <v>165</v>
      </c>
      <c r="AA49" s="131"/>
      <c r="AB49" s="116">
        <v>-320</v>
      </c>
      <c r="AC49" s="116">
        <v>-1387</v>
      </c>
      <c r="AD49" s="116">
        <v>765</v>
      </c>
      <c r="AE49" s="116">
        <v>412</v>
      </c>
      <c r="AG49" s="116">
        <v>-113</v>
      </c>
      <c r="AH49" s="544">
        <v>-1271</v>
      </c>
    </row>
    <row r="50" spans="2:34" s="11" customFormat="1" ht="19" x14ac:dyDescent="0.45">
      <c r="B50" s="124" t="s">
        <v>109</v>
      </c>
      <c r="C50" s="115">
        <v>-652</v>
      </c>
      <c r="D50" s="115">
        <v>-879</v>
      </c>
      <c r="E50" s="115">
        <v>-313</v>
      </c>
      <c r="F50" s="115">
        <v>-96</v>
      </c>
      <c r="G50" s="116">
        <v>0</v>
      </c>
      <c r="H50" s="116">
        <v>-1</v>
      </c>
      <c r="I50" s="116">
        <v>0</v>
      </c>
      <c r="J50" s="115">
        <v>-25</v>
      </c>
      <c r="K50" s="116">
        <v>-200</v>
      </c>
      <c r="L50" s="116">
        <v>-193</v>
      </c>
      <c r="M50" s="116">
        <v>-93</v>
      </c>
      <c r="N50" s="115">
        <v>-727</v>
      </c>
      <c r="O50" s="116">
        <v>-71</v>
      </c>
      <c r="P50" s="116">
        <v>0</v>
      </c>
      <c r="Q50" s="116">
        <v>-363</v>
      </c>
      <c r="R50" s="115">
        <v>-553</v>
      </c>
      <c r="S50" s="116">
        <v>0</v>
      </c>
      <c r="T50" s="116">
        <v>-1</v>
      </c>
      <c r="U50" s="116">
        <v>0</v>
      </c>
      <c r="V50" s="115">
        <v>0</v>
      </c>
      <c r="W50" s="116">
        <v>-26</v>
      </c>
      <c r="X50" s="116">
        <v>-29</v>
      </c>
      <c r="Y50" s="116">
        <v>-423</v>
      </c>
      <c r="Z50" s="116">
        <v>0</v>
      </c>
      <c r="AA50" s="131"/>
      <c r="AB50" s="116">
        <v>0</v>
      </c>
      <c r="AC50" s="116">
        <v>0</v>
      </c>
      <c r="AD50" s="116">
        <v>0</v>
      </c>
      <c r="AE50" s="116">
        <v>-52</v>
      </c>
      <c r="AG50" s="116">
        <v>-10</v>
      </c>
      <c r="AH50" s="544">
        <v>-18</v>
      </c>
    </row>
    <row r="51" spans="2:34" s="11" customFormat="1" ht="19" x14ac:dyDescent="0.45">
      <c r="B51" s="124" t="s">
        <v>110</v>
      </c>
      <c r="C51" s="115">
        <v>-226</v>
      </c>
      <c r="D51" s="115">
        <v>21</v>
      </c>
      <c r="E51" s="115">
        <v>-273</v>
      </c>
      <c r="F51" s="115">
        <v>-225</v>
      </c>
      <c r="G51" s="116">
        <v>-65</v>
      </c>
      <c r="H51" s="116">
        <v>-104</v>
      </c>
      <c r="I51" s="116">
        <v>-127</v>
      </c>
      <c r="J51" s="115">
        <v>165</v>
      </c>
      <c r="K51" s="116">
        <v>-97</v>
      </c>
      <c r="L51" s="116">
        <v>35</v>
      </c>
      <c r="M51" s="116">
        <v>-285</v>
      </c>
      <c r="N51" s="115">
        <v>-82</v>
      </c>
      <c r="O51" s="116">
        <v>-220</v>
      </c>
      <c r="P51" s="116">
        <v>47</v>
      </c>
      <c r="Q51" s="116">
        <v>82</v>
      </c>
      <c r="R51" s="115">
        <v>209</v>
      </c>
      <c r="S51" s="116">
        <v>203</v>
      </c>
      <c r="T51" s="116">
        <v>-175</v>
      </c>
      <c r="U51" s="116">
        <v>74</v>
      </c>
      <c r="V51" s="115">
        <v>-80</v>
      </c>
      <c r="W51" s="116">
        <v>99</v>
      </c>
      <c r="X51" s="116">
        <v>-410</v>
      </c>
      <c r="Y51" s="116">
        <v>-26</v>
      </c>
      <c r="Z51" s="116">
        <v>-208</v>
      </c>
      <c r="AA51" s="131"/>
      <c r="AB51" s="116">
        <v>79</v>
      </c>
      <c r="AC51" s="116">
        <v>275</v>
      </c>
      <c r="AD51" s="116">
        <v>5</v>
      </c>
      <c r="AE51" s="116">
        <v>157</v>
      </c>
      <c r="AG51" s="116">
        <v>-65</v>
      </c>
      <c r="AH51" s="544">
        <v>-94</v>
      </c>
    </row>
    <row r="52" spans="2:34" s="11" customFormat="1" ht="19" x14ac:dyDescent="0.45">
      <c r="B52" s="124" t="s">
        <v>111</v>
      </c>
      <c r="C52" s="115">
        <v>-92</v>
      </c>
      <c r="D52" s="115">
        <v>-116</v>
      </c>
      <c r="E52" s="115">
        <v>-137</v>
      </c>
      <c r="F52" s="115">
        <v>-139</v>
      </c>
      <c r="G52" s="116">
        <v>-38</v>
      </c>
      <c r="H52" s="116">
        <v>-54</v>
      </c>
      <c r="I52" s="116">
        <v>-42</v>
      </c>
      <c r="J52" s="115">
        <v>-64</v>
      </c>
      <c r="K52" s="116">
        <v>-40</v>
      </c>
      <c r="L52" s="116">
        <v>-482</v>
      </c>
      <c r="M52" s="116">
        <v>-56</v>
      </c>
      <c r="N52" s="115">
        <v>-62</v>
      </c>
      <c r="O52" s="116">
        <v>-44</v>
      </c>
      <c r="P52" s="116">
        <v>-70</v>
      </c>
      <c r="Q52" s="116">
        <v>-50</v>
      </c>
      <c r="R52" s="115">
        <v>-207</v>
      </c>
      <c r="S52" s="116">
        <v>-42</v>
      </c>
      <c r="T52" s="116">
        <v>-69</v>
      </c>
      <c r="U52" s="116">
        <v>-46</v>
      </c>
      <c r="V52" s="115">
        <v>-52</v>
      </c>
      <c r="W52" s="116">
        <v>-129</v>
      </c>
      <c r="X52" s="116">
        <v>-71</v>
      </c>
      <c r="Y52" s="116">
        <v>-59</v>
      </c>
      <c r="Z52" s="116">
        <v>-72</v>
      </c>
      <c r="AA52" s="131"/>
      <c r="AB52" s="116">
        <v>-74</v>
      </c>
      <c r="AC52" s="116">
        <v>-81</v>
      </c>
      <c r="AD52" s="116">
        <v>-78</v>
      </c>
      <c r="AE52" s="116">
        <v>-64</v>
      </c>
      <c r="AG52" s="116">
        <v>-74</v>
      </c>
      <c r="AH52" s="544">
        <v>-77</v>
      </c>
    </row>
    <row r="53" spans="2:34" s="11" customFormat="1" ht="19" x14ac:dyDescent="0.45">
      <c r="B53" s="124" t="s">
        <v>112</v>
      </c>
      <c r="C53" s="115">
        <v>-149</v>
      </c>
      <c r="D53" s="115">
        <v>-5</v>
      </c>
      <c r="E53" s="115">
        <v>-85</v>
      </c>
      <c r="F53" s="115">
        <v>-293</v>
      </c>
      <c r="G53" s="116">
        <v>-1</v>
      </c>
      <c r="H53" s="116">
        <v>-15</v>
      </c>
      <c r="I53" s="116">
        <v>0</v>
      </c>
      <c r="J53" s="115">
        <v>-1</v>
      </c>
      <c r="K53" s="116">
        <v>-11</v>
      </c>
      <c r="L53" s="116">
        <v>-42</v>
      </c>
      <c r="M53" s="116">
        <v>-2</v>
      </c>
      <c r="N53" s="115">
        <v>-5</v>
      </c>
      <c r="O53" s="116">
        <v>-1</v>
      </c>
      <c r="P53" s="116">
        <v>-1</v>
      </c>
      <c r="Q53" s="116">
        <v>0</v>
      </c>
      <c r="R53" s="115">
        <v>0</v>
      </c>
      <c r="S53" s="116">
        <v>0</v>
      </c>
      <c r="T53" s="116">
        <v>0</v>
      </c>
      <c r="U53" s="116">
        <v>0</v>
      </c>
      <c r="V53" s="115">
        <v>0</v>
      </c>
      <c r="W53" s="116">
        <v>0</v>
      </c>
      <c r="X53" s="116">
        <v>0</v>
      </c>
      <c r="Y53" s="116">
        <v>0</v>
      </c>
      <c r="Z53" s="116">
        <v>0</v>
      </c>
      <c r="AA53" s="131"/>
      <c r="AB53" s="116">
        <v>0</v>
      </c>
      <c r="AC53" s="116">
        <v>0</v>
      </c>
      <c r="AD53" s="116">
        <v>0</v>
      </c>
      <c r="AE53" s="116">
        <v>0</v>
      </c>
      <c r="AG53" s="116">
        <v>0</v>
      </c>
      <c r="AH53" s="116">
        <v>0</v>
      </c>
    </row>
    <row r="54" spans="2:34" s="11" customFormat="1" ht="19" x14ac:dyDescent="0.45">
      <c r="B54" s="124" t="s">
        <v>113</v>
      </c>
      <c r="C54" s="115">
        <v>0</v>
      </c>
      <c r="D54" s="115">
        <v>0</v>
      </c>
      <c r="E54" s="115">
        <v>0</v>
      </c>
      <c r="F54" s="115">
        <v>0</v>
      </c>
      <c r="G54" s="116">
        <v>0</v>
      </c>
      <c r="H54" s="116">
        <v>0</v>
      </c>
      <c r="I54" s="116">
        <v>0</v>
      </c>
      <c r="J54" s="115">
        <v>0</v>
      </c>
      <c r="K54" s="116">
        <v>0</v>
      </c>
      <c r="L54" s="116">
        <v>0</v>
      </c>
      <c r="M54" s="116">
        <v>0</v>
      </c>
      <c r="N54" s="115">
        <v>115</v>
      </c>
      <c r="O54" s="116">
        <v>-106</v>
      </c>
      <c r="P54" s="116">
        <v>-6</v>
      </c>
      <c r="Q54" s="116">
        <v>-2</v>
      </c>
      <c r="R54" s="115">
        <v>0</v>
      </c>
      <c r="S54" s="116">
        <v>-1</v>
      </c>
      <c r="T54" s="116">
        <v>0</v>
      </c>
      <c r="U54" s="116">
        <v>0</v>
      </c>
      <c r="V54" s="115">
        <v>0</v>
      </c>
      <c r="W54" s="116">
        <v>0</v>
      </c>
      <c r="X54" s="116">
        <v>0</v>
      </c>
      <c r="Y54" s="116">
        <v>0</v>
      </c>
      <c r="Z54" s="116">
        <v>0</v>
      </c>
      <c r="AA54" s="131"/>
      <c r="AB54" s="116">
        <v>0</v>
      </c>
      <c r="AC54" s="116">
        <v>0</v>
      </c>
      <c r="AD54" s="116">
        <v>0</v>
      </c>
      <c r="AE54" s="116">
        <v>0</v>
      </c>
      <c r="AG54" s="116">
        <v>0</v>
      </c>
      <c r="AH54" s="116">
        <v>0</v>
      </c>
    </row>
    <row r="55" spans="2:34" s="11" customFormat="1" ht="19" x14ac:dyDescent="0.45">
      <c r="B55" s="124" t="s">
        <v>637</v>
      </c>
      <c r="C55" s="115">
        <v>0</v>
      </c>
      <c r="D55" s="115"/>
      <c r="E55" s="115"/>
      <c r="F55" s="115"/>
      <c r="G55" s="116"/>
      <c r="H55" s="116"/>
      <c r="I55" s="116"/>
      <c r="J55" s="115"/>
      <c r="K55" s="116"/>
      <c r="L55" s="116"/>
      <c r="M55" s="116"/>
      <c r="N55" s="115"/>
      <c r="O55" s="116"/>
      <c r="P55" s="116"/>
      <c r="Q55" s="116"/>
      <c r="R55" s="115"/>
      <c r="S55" s="116"/>
      <c r="T55" s="116"/>
      <c r="U55" s="116"/>
      <c r="V55" s="115">
        <v>-53</v>
      </c>
      <c r="W55" s="116">
        <v>-68</v>
      </c>
      <c r="X55" s="116">
        <v>-8</v>
      </c>
      <c r="Y55" s="116">
        <v>0</v>
      </c>
      <c r="Z55" s="116">
        <v>-3</v>
      </c>
      <c r="AA55" s="131"/>
      <c r="AB55" s="116">
        <v>-82</v>
      </c>
      <c r="AC55" s="116">
        <v>-13</v>
      </c>
      <c r="AD55" s="116">
        <v>-1</v>
      </c>
      <c r="AE55" s="116">
        <v>-2</v>
      </c>
      <c r="AG55" s="116">
        <v>-128</v>
      </c>
      <c r="AH55" s="544">
        <v>-16</v>
      </c>
    </row>
    <row r="56" spans="2:34" s="11" customFormat="1" ht="19" x14ac:dyDescent="0.45">
      <c r="B56" s="124" t="s">
        <v>114</v>
      </c>
      <c r="C56" s="115">
        <v>0</v>
      </c>
      <c r="D56" s="115">
        <v>0</v>
      </c>
      <c r="E56" s="115">
        <v>0</v>
      </c>
      <c r="F56" s="115">
        <v>0</v>
      </c>
      <c r="G56" s="116">
        <v>0</v>
      </c>
      <c r="H56" s="116">
        <v>-9</v>
      </c>
      <c r="I56" s="116">
        <v>9</v>
      </c>
      <c r="J56" s="115">
        <v>0</v>
      </c>
      <c r="K56" s="116">
        <v>0</v>
      </c>
      <c r="L56" s="116">
        <v>-24</v>
      </c>
      <c r="M56" s="116">
        <v>-8</v>
      </c>
      <c r="N56" s="115">
        <v>-21</v>
      </c>
      <c r="O56" s="116">
        <v>-12</v>
      </c>
      <c r="P56" s="116">
        <v>-8</v>
      </c>
      <c r="Q56" s="116">
        <v>-10</v>
      </c>
      <c r="R56" s="115">
        <v>-21</v>
      </c>
      <c r="S56" s="116">
        <v>-10</v>
      </c>
      <c r="T56" s="116">
        <v>-29</v>
      </c>
      <c r="U56" s="116">
        <v>-25</v>
      </c>
      <c r="V56" s="115">
        <v>-41</v>
      </c>
      <c r="W56" s="116">
        <v>-47</v>
      </c>
      <c r="X56" s="116">
        <v>-78</v>
      </c>
      <c r="Y56" s="116">
        <v>-73</v>
      </c>
      <c r="Z56" s="116">
        <v>-20</v>
      </c>
      <c r="AA56" s="131"/>
      <c r="AB56" s="116">
        <v>-10</v>
      </c>
      <c r="AC56" s="116">
        <v>-10</v>
      </c>
      <c r="AD56" s="116">
        <v>-15</v>
      </c>
      <c r="AE56" s="116">
        <v>-11</v>
      </c>
      <c r="AG56" s="116">
        <v>-52</v>
      </c>
      <c r="AH56" s="544">
        <v>-12</v>
      </c>
    </row>
    <row r="57" spans="2:34" s="11" customFormat="1" ht="19" x14ac:dyDescent="0.45">
      <c r="B57" s="124" t="s">
        <v>115</v>
      </c>
      <c r="C57" s="115">
        <v>0</v>
      </c>
      <c r="D57" s="115">
        <v>0</v>
      </c>
      <c r="E57" s="115">
        <v>0</v>
      </c>
      <c r="F57" s="115">
        <v>0</v>
      </c>
      <c r="G57" s="116">
        <v>0</v>
      </c>
      <c r="H57" s="116">
        <v>0</v>
      </c>
      <c r="I57" s="116">
        <v>0</v>
      </c>
      <c r="J57" s="115">
        <v>0</v>
      </c>
      <c r="K57" s="116">
        <v>0</v>
      </c>
      <c r="L57" s="116">
        <v>0</v>
      </c>
      <c r="M57" s="116">
        <v>-1</v>
      </c>
      <c r="N57" s="115">
        <v>-16</v>
      </c>
      <c r="O57" s="116">
        <v>0</v>
      </c>
      <c r="P57" s="116">
        <v>0</v>
      </c>
      <c r="Q57" s="116">
        <v>274</v>
      </c>
      <c r="R57" s="115">
        <v>114</v>
      </c>
      <c r="S57" s="116">
        <v>-75</v>
      </c>
      <c r="T57" s="116">
        <v>25</v>
      </c>
      <c r="U57" s="116">
        <v>58</v>
      </c>
      <c r="V57" s="115">
        <v>-61</v>
      </c>
      <c r="W57" s="116">
        <v>-20</v>
      </c>
      <c r="X57" s="116">
        <v>172</v>
      </c>
      <c r="Y57" s="116">
        <v>-278</v>
      </c>
      <c r="Z57" s="116">
        <v>59</v>
      </c>
      <c r="AA57" s="131"/>
      <c r="AB57" s="116">
        <v>-66</v>
      </c>
      <c r="AC57" s="116">
        <v>340</v>
      </c>
      <c r="AD57" s="116">
        <v>556</v>
      </c>
      <c r="AE57" s="116">
        <v>-870</v>
      </c>
      <c r="AG57" s="116">
        <v>3</v>
      </c>
      <c r="AH57" s="544">
        <v>-3</v>
      </c>
    </row>
    <row r="58" spans="2:34" s="11" customFormat="1" ht="19" x14ac:dyDescent="0.45">
      <c r="B58" s="124" t="s">
        <v>65</v>
      </c>
      <c r="C58" s="115">
        <v>0</v>
      </c>
      <c r="D58" s="115">
        <v>0</v>
      </c>
      <c r="E58" s="115">
        <v>0</v>
      </c>
      <c r="F58" s="115">
        <v>0</v>
      </c>
      <c r="G58" s="115">
        <v>0</v>
      </c>
      <c r="H58" s="115">
        <v>0</v>
      </c>
      <c r="I58" s="115">
        <v>0</v>
      </c>
      <c r="J58" s="115">
        <v>0</v>
      </c>
      <c r="K58" s="115">
        <v>0</v>
      </c>
      <c r="L58" s="115">
        <v>0</v>
      </c>
      <c r="M58" s="115">
        <v>0</v>
      </c>
      <c r="N58" s="115">
        <v>0</v>
      </c>
      <c r="O58" s="115">
        <v>0</v>
      </c>
      <c r="P58" s="115">
        <v>0</v>
      </c>
      <c r="Q58" s="115">
        <v>0</v>
      </c>
      <c r="R58" s="115">
        <v>0</v>
      </c>
      <c r="S58" s="115">
        <v>0</v>
      </c>
      <c r="T58" s="115">
        <v>0</v>
      </c>
      <c r="U58" s="115">
        <v>0</v>
      </c>
      <c r="V58" s="115">
        <v>0</v>
      </c>
      <c r="W58" s="115">
        <v>-242</v>
      </c>
      <c r="X58" s="115">
        <v>143</v>
      </c>
      <c r="Y58" s="115">
        <v>-165</v>
      </c>
      <c r="Z58" s="115">
        <v>128</v>
      </c>
      <c r="AA58" s="131"/>
      <c r="AB58" s="115">
        <v>96</v>
      </c>
      <c r="AC58" s="115">
        <v>-255</v>
      </c>
      <c r="AD58" s="115">
        <v>178</v>
      </c>
      <c r="AE58" s="115">
        <v>-115</v>
      </c>
      <c r="AG58" s="115">
        <v>-108</v>
      </c>
      <c r="AH58" s="544">
        <v>117</v>
      </c>
    </row>
    <row r="59" spans="2:34" s="11" customFormat="1" ht="19" x14ac:dyDescent="0.45">
      <c r="B59" s="124" t="s">
        <v>618</v>
      </c>
      <c r="C59" s="115">
        <v>0</v>
      </c>
      <c r="D59" s="115">
        <v>0</v>
      </c>
      <c r="E59" s="115">
        <v>0</v>
      </c>
      <c r="F59" s="115">
        <v>0</v>
      </c>
      <c r="G59" s="115">
        <v>0</v>
      </c>
      <c r="H59" s="115">
        <v>0</v>
      </c>
      <c r="I59" s="115">
        <v>0</v>
      </c>
      <c r="J59" s="115">
        <v>0</v>
      </c>
      <c r="K59" s="115">
        <v>0</v>
      </c>
      <c r="L59" s="115">
        <v>0</v>
      </c>
      <c r="M59" s="115">
        <v>0</v>
      </c>
      <c r="N59" s="115">
        <v>0</v>
      </c>
      <c r="O59" s="115">
        <v>0</v>
      </c>
      <c r="P59" s="115">
        <v>0</v>
      </c>
      <c r="Q59" s="115">
        <v>0</v>
      </c>
      <c r="R59" s="115">
        <v>0</v>
      </c>
      <c r="S59" s="115">
        <v>0</v>
      </c>
      <c r="T59" s="115">
        <v>0</v>
      </c>
      <c r="U59" s="115">
        <v>0</v>
      </c>
      <c r="V59" s="115">
        <v>0</v>
      </c>
      <c r="W59" s="116">
        <v>0</v>
      </c>
      <c r="X59" s="116">
        <v>0</v>
      </c>
      <c r="Y59" s="116">
        <v>0</v>
      </c>
      <c r="Z59" s="116">
        <v>0</v>
      </c>
      <c r="AA59" s="131"/>
      <c r="AB59" s="116">
        <v>0</v>
      </c>
      <c r="AC59" s="116">
        <v>0</v>
      </c>
      <c r="AD59" s="116">
        <v>0</v>
      </c>
      <c r="AE59" s="116">
        <v>-160</v>
      </c>
      <c r="AG59" s="116">
        <v>0</v>
      </c>
      <c r="AH59" s="544">
        <v>-204</v>
      </c>
    </row>
    <row r="60" spans="2:34" s="5" customFormat="1" x14ac:dyDescent="0.35">
      <c r="B60" s="124" t="s">
        <v>116</v>
      </c>
      <c r="C60" s="115">
        <v>93</v>
      </c>
      <c r="D60" s="115">
        <v>60</v>
      </c>
      <c r="E60" s="115">
        <v>-63</v>
      </c>
      <c r="F60" s="115">
        <v>-92</v>
      </c>
      <c r="G60" s="116">
        <v>18</v>
      </c>
      <c r="H60" s="116">
        <v>-54</v>
      </c>
      <c r="I60" s="116">
        <v>67</v>
      </c>
      <c r="J60" s="115">
        <v>-55</v>
      </c>
      <c r="K60" s="116">
        <v>10</v>
      </c>
      <c r="L60" s="116">
        <v>-28</v>
      </c>
      <c r="M60" s="116">
        <v>28</v>
      </c>
      <c r="N60" s="115">
        <v>59</v>
      </c>
      <c r="O60" s="116">
        <v>372</v>
      </c>
      <c r="P60" s="116">
        <v>174</v>
      </c>
      <c r="Q60" s="116">
        <v>-71</v>
      </c>
      <c r="R60" s="115">
        <v>-113</v>
      </c>
      <c r="S60" s="116">
        <v>-252</v>
      </c>
      <c r="T60" s="116">
        <v>-46</v>
      </c>
      <c r="U60" s="116">
        <v>-19</v>
      </c>
      <c r="V60" s="115">
        <v>-2</v>
      </c>
      <c r="W60" s="116">
        <v>-720</v>
      </c>
      <c r="X60" s="116">
        <v>83</v>
      </c>
      <c r="Y60" s="116">
        <v>194</v>
      </c>
      <c r="Z60" s="116">
        <v>416</v>
      </c>
      <c r="AA60" s="99"/>
      <c r="AB60" s="116">
        <v>302</v>
      </c>
      <c r="AC60" s="116">
        <v>-48</v>
      </c>
      <c r="AD60" s="116">
        <v>-36</v>
      </c>
      <c r="AE60" s="116">
        <v>-13</v>
      </c>
      <c r="AG60" s="116">
        <v>23</v>
      </c>
      <c r="AH60" s="544">
        <v>-34</v>
      </c>
    </row>
    <row r="61" spans="2:34" s="5" customFormat="1" ht="10.5" customHeight="1" x14ac:dyDescent="0.35">
      <c r="B61" s="64"/>
      <c r="C61" s="139"/>
      <c r="D61" s="139"/>
      <c r="E61" s="139"/>
      <c r="F61" s="139"/>
      <c r="G61" s="139"/>
      <c r="H61" s="139"/>
      <c r="I61" s="139"/>
      <c r="J61" s="139"/>
      <c r="K61" s="139"/>
      <c r="L61" s="139"/>
      <c r="M61" s="139"/>
      <c r="N61" s="139"/>
      <c r="O61" s="139"/>
      <c r="P61" s="139"/>
      <c r="Q61" s="139"/>
      <c r="R61" s="139"/>
      <c r="S61" s="139"/>
      <c r="T61" s="139"/>
      <c r="U61" s="140"/>
      <c r="V61" s="139"/>
      <c r="W61" s="139"/>
      <c r="X61" s="139"/>
      <c r="Y61" s="139"/>
      <c r="Z61" s="139"/>
      <c r="AA61" s="99"/>
      <c r="AB61" s="139"/>
      <c r="AC61" s="139"/>
      <c r="AD61" s="139"/>
      <c r="AE61" s="139"/>
      <c r="AG61" s="139"/>
      <c r="AH61" s="139"/>
    </row>
    <row r="62" spans="2:34" s="5" customFormat="1" ht="18.75" customHeight="1" x14ac:dyDescent="0.35">
      <c r="B62" s="65" t="s">
        <v>638</v>
      </c>
      <c r="C62" s="141">
        <f t="shared" ref="C62:X62" si="0">SUM(C10:C60)</f>
        <v>-2094</v>
      </c>
      <c r="D62" s="141">
        <f t="shared" si="0"/>
        <v>482</v>
      </c>
      <c r="E62" s="141">
        <f t="shared" si="0"/>
        <v>2634</v>
      </c>
      <c r="F62" s="141">
        <f t="shared" si="0"/>
        <v>1270</v>
      </c>
      <c r="G62" s="141">
        <f t="shared" si="0"/>
        <v>629</v>
      </c>
      <c r="H62" s="141">
        <f t="shared" si="0"/>
        <v>374</v>
      </c>
      <c r="I62" s="141">
        <f t="shared" si="0"/>
        <v>222</v>
      </c>
      <c r="J62" s="141">
        <f t="shared" si="0"/>
        <v>2103</v>
      </c>
      <c r="K62" s="141">
        <f t="shared" si="0"/>
        <v>1084</v>
      </c>
      <c r="L62" s="141">
        <f t="shared" si="0"/>
        <v>-126</v>
      </c>
      <c r="M62" s="141">
        <f t="shared" si="0"/>
        <v>2080</v>
      </c>
      <c r="N62" s="141">
        <f t="shared" si="0"/>
        <v>-139</v>
      </c>
      <c r="O62" s="141">
        <f t="shared" si="0"/>
        <v>756</v>
      </c>
      <c r="P62" s="141">
        <f t="shared" si="0"/>
        <v>828</v>
      </c>
      <c r="Q62" s="141">
        <f t="shared" si="0"/>
        <v>534</v>
      </c>
      <c r="R62" s="141">
        <f t="shared" si="0"/>
        <v>-300</v>
      </c>
      <c r="S62" s="141">
        <f t="shared" si="0"/>
        <v>351</v>
      </c>
      <c r="T62" s="141">
        <f t="shared" si="0"/>
        <v>-212</v>
      </c>
      <c r="U62" s="142">
        <f t="shared" si="0"/>
        <v>619</v>
      </c>
      <c r="V62" s="141">
        <f t="shared" si="0"/>
        <v>1518</v>
      </c>
      <c r="W62" s="141">
        <f t="shared" si="0"/>
        <v>214</v>
      </c>
      <c r="X62" s="142">
        <f t="shared" si="0"/>
        <v>-725</v>
      </c>
      <c r="Y62" s="142">
        <v>1319</v>
      </c>
      <c r="Z62" s="142">
        <f t="shared" ref="Z62" si="1">SUM(Z10:Z60)</f>
        <v>455</v>
      </c>
      <c r="AA62" s="99"/>
      <c r="AB62" s="142">
        <f t="shared" ref="AB62:AD62" si="2">SUM(AB10:AB60)</f>
        <v>2722</v>
      </c>
      <c r="AC62" s="142">
        <f t="shared" si="2"/>
        <v>358</v>
      </c>
      <c r="AD62" s="142">
        <f t="shared" si="2"/>
        <v>1834</v>
      </c>
      <c r="AE62" s="142">
        <f>SUM(AE10:AE60)</f>
        <v>1333</v>
      </c>
      <c r="AG62" s="142">
        <f>SUM(AG10:AG60)</f>
        <v>-230</v>
      </c>
      <c r="AH62" s="142">
        <f>SUM(AH10:AH60)</f>
        <v>1034</v>
      </c>
    </row>
    <row r="63" spans="2:34" s="5" customFormat="1" ht="18.75" customHeight="1" x14ac:dyDescent="0.35">
      <c r="B63" s="123" t="s">
        <v>117</v>
      </c>
      <c r="C63" s="53"/>
      <c r="D63" s="53"/>
      <c r="E63" s="53"/>
      <c r="F63" s="53"/>
      <c r="G63" s="52"/>
      <c r="H63" s="52"/>
      <c r="I63" s="52"/>
      <c r="J63" s="53"/>
      <c r="K63" s="52"/>
      <c r="L63" s="52"/>
      <c r="M63" s="52"/>
      <c r="N63" s="53"/>
      <c r="O63" s="52"/>
      <c r="P63" s="52"/>
      <c r="Q63" s="52"/>
      <c r="R63" s="53"/>
      <c r="S63" s="52"/>
      <c r="T63" s="52"/>
      <c r="U63" s="52"/>
      <c r="V63" s="53"/>
      <c r="W63" s="52"/>
      <c r="X63" s="52"/>
      <c r="Y63" s="52"/>
      <c r="Z63" s="52"/>
      <c r="AA63" s="99"/>
      <c r="AB63" s="52"/>
      <c r="AC63" s="52"/>
      <c r="AD63" s="52"/>
      <c r="AE63" s="52"/>
      <c r="AG63" s="52"/>
      <c r="AH63" s="52"/>
    </row>
    <row r="64" spans="2:34" s="5" customFormat="1" ht="18.75" customHeight="1" x14ac:dyDescent="0.35">
      <c r="B64" s="64" t="s">
        <v>493</v>
      </c>
      <c r="C64" s="115">
        <v>-959</v>
      </c>
      <c r="D64" s="115">
        <v>-723</v>
      </c>
      <c r="E64" s="115">
        <v>-402</v>
      </c>
      <c r="F64" s="115">
        <v>-298</v>
      </c>
      <c r="G64" s="116">
        <v>-71</v>
      </c>
      <c r="H64" s="116">
        <v>-101</v>
      </c>
      <c r="I64" s="116">
        <v>-115</v>
      </c>
      <c r="J64" s="115">
        <v>-143</v>
      </c>
      <c r="K64" s="116">
        <v>-128</v>
      </c>
      <c r="L64" s="116">
        <v>-132</v>
      </c>
      <c r="M64" s="116">
        <v>-153</v>
      </c>
      <c r="N64" s="115">
        <v>-182</v>
      </c>
      <c r="O64" s="116">
        <v>-106</v>
      </c>
      <c r="P64" s="116">
        <v>-117</v>
      </c>
      <c r="Q64" s="116">
        <v>-176</v>
      </c>
      <c r="R64" s="115">
        <v>-207</v>
      </c>
      <c r="S64" s="143">
        <v>-110</v>
      </c>
      <c r="T64" s="143">
        <v>-125</v>
      </c>
      <c r="U64" s="143">
        <v>-139</v>
      </c>
      <c r="V64" s="115">
        <v>-210</v>
      </c>
      <c r="W64" s="143">
        <v>-115</v>
      </c>
      <c r="X64" s="143">
        <v>-153</v>
      </c>
      <c r="Y64" s="143">
        <v>-180</v>
      </c>
      <c r="Z64" s="143">
        <v>-279</v>
      </c>
      <c r="AA64" s="99"/>
      <c r="AB64" s="143">
        <v>-117</v>
      </c>
      <c r="AC64" s="143">
        <v>-157</v>
      </c>
      <c r="AD64" s="143">
        <v>-136</v>
      </c>
      <c r="AE64" s="143">
        <v>-332</v>
      </c>
      <c r="AG64" s="143">
        <v>-155</v>
      </c>
      <c r="AH64" s="143">
        <v>-322</v>
      </c>
    </row>
    <row r="65" spans="2:34" s="5" customFormat="1" ht="18.75" customHeight="1" x14ac:dyDescent="0.35">
      <c r="B65" s="64" t="s">
        <v>494</v>
      </c>
      <c r="C65" s="115">
        <v>-27</v>
      </c>
      <c r="D65" s="115">
        <v>0</v>
      </c>
      <c r="E65" s="115">
        <v>0</v>
      </c>
      <c r="F65" s="115">
        <v>-2</v>
      </c>
      <c r="G65" s="116">
        <v>0</v>
      </c>
      <c r="H65" s="116">
        <v>0</v>
      </c>
      <c r="I65" s="116">
        <v>0</v>
      </c>
      <c r="J65" s="115">
        <v>-1</v>
      </c>
      <c r="K65" s="116">
        <v>-2</v>
      </c>
      <c r="L65" s="116">
        <v>0</v>
      </c>
      <c r="M65" s="116">
        <v>0</v>
      </c>
      <c r="N65" s="115">
        <v>-34</v>
      </c>
      <c r="O65" s="116">
        <v>0</v>
      </c>
      <c r="P65" s="116">
        <v>-1</v>
      </c>
      <c r="Q65" s="116">
        <v>-2</v>
      </c>
      <c r="R65" s="115">
        <v>-10</v>
      </c>
      <c r="S65" s="143">
        <v>-31</v>
      </c>
      <c r="T65" s="143">
        <v>-21</v>
      </c>
      <c r="U65" s="116">
        <v>0</v>
      </c>
      <c r="V65" s="115">
        <v>0</v>
      </c>
      <c r="W65" s="143">
        <v>-27</v>
      </c>
      <c r="X65" s="143">
        <v>-1211</v>
      </c>
      <c r="Y65" s="143">
        <v>-398</v>
      </c>
      <c r="Z65" s="143">
        <v>-57</v>
      </c>
      <c r="AA65" s="99"/>
      <c r="AB65" s="115">
        <v>0</v>
      </c>
      <c r="AC65" s="115">
        <v>-17</v>
      </c>
      <c r="AD65" s="115">
        <v>0</v>
      </c>
      <c r="AE65" s="115">
        <v>-11</v>
      </c>
      <c r="AG65" s="115">
        <v>-5</v>
      </c>
      <c r="AH65" s="115">
        <v>-14</v>
      </c>
    </row>
    <row r="66" spans="2:34" s="5" customFormat="1" ht="18.75" customHeight="1" x14ac:dyDescent="0.35">
      <c r="B66" s="64" t="s">
        <v>118</v>
      </c>
      <c r="C66" s="115">
        <v>40</v>
      </c>
      <c r="D66" s="115">
        <v>25</v>
      </c>
      <c r="E66" s="115">
        <v>1</v>
      </c>
      <c r="F66" s="115">
        <v>13</v>
      </c>
      <c r="G66" s="116">
        <v>0</v>
      </c>
      <c r="H66" s="116">
        <v>2</v>
      </c>
      <c r="I66" s="116">
        <v>0</v>
      </c>
      <c r="J66" s="115">
        <v>0</v>
      </c>
      <c r="K66" s="116">
        <v>8</v>
      </c>
      <c r="L66" s="116">
        <v>2</v>
      </c>
      <c r="M66" s="116">
        <v>1</v>
      </c>
      <c r="N66" s="115">
        <v>5</v>
      </c>
      <c r="O66" s="116">
        <v>2</v>
      </c>
      <c r="P66" s="116">
        <v>6</v>
      </c>
      <c r="Q66" s="116">
        <v>13</v>
      </c>
      <c r="R66" s="115">
        <v>10</v>
      </c>
      <c r="S66" s="143">
        <v>43</v>
      </c>
      <c r="T66" s="143">
        <v>49</v>
      </c>
      <c r="U66" s="143">
        <v>11</v>
      </c>
      <c r="V66" s="115">
        <v>82</v>
      </c>
      <c r="W66" s="143">
        <v>14</v>
      </c>
      <c r="X66" s="143">
        <v>26</v>
      </c>
      <c r="Y66" s="143">
        <v>133</v>
      </c>
      <c r="Z66" s="143">
        <v>188</v>
      </c>
      <c r="AA66" s="99"/>
      <c r="AB66" s="143">
        <v>108</v>
      </c>
      <c r="AC66" s="143">
        <v>95</v>
      </c>
      <c r="AD66" s="143">
        <v>942</v>
      </c>
      <c r="AE66" s="143">
        <v>126</v>
      </c>
      <c r="AG66" s="143">
        <v>204</v>
      </c>
      <c r="AH66" s="143">
        <v>93</v>
      </c>
    </row>
    <row r="67" spans="2:34" s="5" customFormat="1" ht="18.75" customHeight="1" x14ac:dyDescent="0.35">
      <c r="B67" s="64" t="s">
        <v>119</v>
      </c>
      <c r="C67" s="115">
        <v>-353</v>
      </c>
      <c r="D67" s="115">
        <v>-2208</v>
      </c>
      <c r="E67" s="115">
        <v>307</v>
      </c>
      <c r="F67" s="115">
        <v>2607</v>
      </c>
      <c r="G67" s="116">
        <v>233</v>
      </c>
      <c r="H67" s="116">
        <v>33</v>
      </c>
      <c r="I67" s="116">
        <v>3</v>
      </c>
      <c r="J67" s="115">
        <v>-36</v>
      </c>
      <c r="K67" s="116">
        <v>67</v>
      </c>
      <c r="L67" s="116">
        <v>-13</v>
      </c>
      <c r="M67" s="116">
        <v>188</v>
      </c>
      <c r="N67" s="115">
        <v>0</v>
      </c>
      <c r="O67" s="116">
        <v>0</v>
      </c>
      <c r="P67" s="116">
        <v>0</v>
      </c>
      <c r="Q67" s="116">
        <v>0</v>
      </c>
      <c r="R67" s="115">
        <v>0</v>
      </c>
      <c r="S67" s="143">
        <v>2</v>
      </c>
      <c r="T67" s="116">
        <v>0</v>
      </c>
      <c r="U67" s="116">
        <v>0</v>
      </c>
      <c r="V67" s="115">
        <v>-2000</v>
      </c>
      <c r="W67" s="115">
        <v>0</v>
      </c>
      <c r="X67" s="115">
        <v>0</v>
      </c>
      <c r="Y67" s="115">
        <v>0</v>
      </c>
      <c r="Z67" s="115">
        <v>0</v>
      </c>
      <c r="AA67" s="99"/>
      <c r="AB67" s="115">
        <v>0</v>
      </c>
      <c r="AC67" s="115">
        <v>0</v>
      </c>
      <c r="AD67" s="115">
        <v>0</v>
      </c>
      <c r="AE67" s="115">
        <v>0</v>
      </c>
      <c r="AG67" s="115">
        <v>-6</v>
      </c>
      <c r="AH67" s="115">
        <v>0</v>
      </c>
    </row>
    <row r="68" spans="2:34" s="5" customFormat="1" ht="18.75" customHeight="1" x14ac:dyDescent="0.35">
      <c r="B68" s="64" t="s">
        <v>120</v>
      </c>
      <c r="C68" s="115">
        <v>0</v>
      </c>
      <c r="D68" s="115">
        <v>1</v>
      </c>
      <c r="E68" s="115">
        <v>22</v>
      </c>
      <c r="F68" s="115">
        <v>1</v>
      </c>
      <c r="G68" s="116">
        <v>0</v>
      </c>
      <c r="H68" s="116">
        <v>0</v>
      </c>
      <c r="I68" s="116">
        <v>0</v>
      </c>
      <c r="J68" s="115">
        <v>0</v>
      </c>
      <c r="K68" s="116">
        <v>0</v>
      </c>
      <c r="L68" s="116">
        <v>0</v>
      </c>
      <c r="M68" s="116">
        <v>0</v>
      </c>
      <c r="N68" s="115">
        <v>0</v>
      </c>
      <c r="O68" s="116">
        <v>0</v>
      </c>
      <c r="P68" s="116">
        <v>0</v>
      </c>
      <c r="Q68" s="116">
        <v>0</v>
      </c>
      <c r="R68" s="115">
        <v>1</v>
      </c>
      <c r="S68" s="116">
        <v>0</v>
      </c>
      <c r="T68" s="143">
        <v>11</v>
      </c>
      <c r="U68" s="143">
        <v>4</v>
      </c>
      <c r="V68" s="115">
        <v>0</v>
      </c>
      <c r="W68" s="115">
        <v>3</v>
      </c>
      <c r="X68" s="115">
        <v>3</v>
      </c>
      <c r="Y68" s="115">
        <v>0</v>
      </c>
      <c r="Z68" s="115">
        <v>47</v>
      </c>
      <c r="AA68" s="99"/>
      <c r="AB68" s="115">
        <v>0</v>
      </c>
      <c r="AC68" s="115">
        <v>51</v>
      </c>
      <c r="AD68" s="115">
        <v>56</v>
      </c>
      <c r="AE68" s="115">
        <v>30</v>
      </c>
      <c r="AG68" s="115">
        <v>0</v>
      </c>
      <c r="AH68" s="115">
        <v>7</v>
      </c>
    </row>
    <row r="69" spans="2:34" s="5" customFormat="1" ht="18.75" customHeight="1" x14ac:dyDescent="0.35">
      <c r="B69" s="64" t="s">
        <v>121</v>
      </c>
      <c r="C69" s="115">
        <v>0</v>
      </c>
      <c r="D69" s="115">
        <v>0</v>
      </c>
      <c r="E69" s="115">
        <v>0</v>
      </c>
      <c r="F69" s="115">
        <v>0</v>
      </c>
      <c r="G69" s="116">
        <v>0</v>
      </c>
      <c r="H69" s="116">
        <v>0</v>
      </c>
      <c r="I69" s="116">
        <v>0</v>
      </c>
      <c r="J69" s="115">
        <v>0</v>
      </c>
      <c r="K69" s="116">
        <v>0</v>
      </c>
      <c r="L69" s="116">
        <v>0</v>
      </c>
      <c r="M69" s="116">
        <v>0</v>
      </c>
      <c r="N69" s="115">
        <v>0</v>
      </c>
      <c r="O69" s="116">
        <v>0</v>
      </c>
      <c r="P69" s="116">
        <v>0</v>
      </c>
      <c r="Q69" s="116">
        <v>4</v>
      </c>
      <c r="R69" s="115">
        <v>13</v>
      </c>
      <c r="S69" s="143">
        <v>13</v>
      </c>
      <c r="T69" s="143">
        <v>12</v>
      </c>
      <c r="U69" s="143">
        <v>4</v>
      </c>
      <c r="V69" s="115">
        <v>0</v>
      </c>
      <c r="W69" s="115">
        <v>0</v>
      </c>
      <c r="X69" s="115">
        <v>0</v>
      </c>
      <c r="Y69" s="115">
        <v>0</v>
      </c>
      <c r="Z69" s="115">
        <v>0</v>
      </c>
      <c r="AA69" s="99"/>
      <c r="AB69" s="115">
        <v>0</v>
      </c>
      <c r="AC69" s="115">
        <v>0</v>
      </c>
      <c r="AD69" s="115">
        <v>6</v>
      </c>
      <c r="AE69" s="115">
        <v>0</v>
      </c>
      <c r="AG69" s="115">
        <v>0</v>
      </c>
      <c r="AH69" s="115">
        <v>0</v>
      </c>
    </row>
    <row r="70" spans="2:34" s="5" customFormat="1" ht="20.25" customHeight="1" x14ac:dyDescent="0.35">
      <c r="B70" s="64" t="s">
        <v>495</v>
      </c>
      <c r="C70" s="115">
        <v>0</v>
      </c>
      <c r="D70" s="115">
        <v>0</v>
      </c>
      <c r="E70" s="115">
        <v>0</v>
      </c>
      <c r="F70" s="115">
        <v>0</v>
      </c>
      <c r="G70" s="116">
        <v>0</v>
      </c>
      <c r="H70" s="116">
        <v>0</v>
      </c>
      <c r="I70" s="116">
        <v>0</v>
      </c>
      <c r="J70" s="115">
        <v>0</v>
      </c>
      <c r="K70" s="116">
        <v>0</v>
      </c>
      <c r="L70" s="116">
        <v>0</v>
      </c>
      <c r="M70" s="116">
        <v>0</v>
      </c>
      <c r="N70" s="115">
        <v>0</v>
      </c>
      <c r="O70" s="115">
        <v>0</v>
      </c>
      <c r="P70" s="115">
        <v>0</v>
      </c>
      <c r="Q70" s="115">
        <v>0</v>
      </c>
      <c r="R70" s="115">
        <v>0</v>
      </c>
      <c r="S70" s="115">
        <v>0</v>
      </c>
      <c r="T70" s="115">
        <v>0</v>
      </c>
      <c r="U70" s="115">
        <v>0</v>
      </c>
      <c r="V70" s="115">
        <v>0</v>
      </c>
      <c r="W70" s="115">
        <v>0</v>
      </c>
      <c r="X70" s="115">
        <v>0</v>
      </c>
      <c r="Y70" s="116">
        <v>-4</v>
      </c>
      <c r="Z70" s="116">
        <v>-1</v>
      </c>
      <c r="AA70" s="99"/>
      <c r="AB70" s="115">
        <v>0</v>
      </c>
      <c r="AC70" s="115">
        <v>0</v>
      </c>
      <c r="AD70" s="115">
        <v>-24</v>
      </c>
      <c r="AE70" s="115">
        <v>-13</v>
      </c>
      <c r="AG70" s="115">
        <v>-10</v>
      </c>
      <c r="AH70" s="115">
        <v>0</v>
      </c>
    </row>
    <row r="71" spans="2:34" s="5" customFormat="1" ht="20.25" customHeight="1" x14ac:dyDescent="0.35">
      <c r="B71" s="64" t="s">
        <v>619</v>
      </c>
      <c r="C71" s="115">
        <v>0</v>
      </c>
      <c r="D71" s="115">
        <v>0</v>
      </c>
      <c r="E71" s="115">
        <v>0</v>
      </c>
      <c r="F71" s="115">
        <v>0</v>
      </c>
      <c r="G71" s="116">
        <v>0</v>
      </c>
      <c r="H71" s="116">
        <v>0</v>
      </c>
      <c r="I71" s="116">
        <v>0</v>
      </c>
      <c r="J71" s="115">
        <v>0</v>
      </c>
      <c r="K71" s="116">
        <v>0</v>
      </c>
      <c r="L71" s="116">
        <v>0</v>
      </c>
      <c r="M71" s="116">
        <v>0</v>
      </c>
      <c r="N71" s="115">
        <v>0</v>
      </c>
      <c r="O71" s="115">
        <v>0</v>
      </c>
      <c r="P71" s="115">
        <v>0</v>
      </c>
      <c r="Q71" s="115">
        <v>0</v>
      </c>
      <c r="R71" s="115">
        <v>0</v>
      </c>
      <c r="S71" s="115">
        <v>0</v>
      </c>
      <c r="T71" s="115">
        <v>0</v>
      </c>
      <c r="U71" s="115">
        <v>0</v>
      </c>
      <c r="V71" s="115">
        <v>0</v>
      </c>
      <c r="W71" s="115">
        <v>0</v>
      </c>
      <c r="X71" s="115">
        <v>0</v>
      </c>
      <c r="Y71" s="115">
        <v>0</v>
      </c>
      <c r="Z71" s="115">
        <v>0</v>
      </c>
      <c r="AA71" s="99"/>
      <c r="AB71" s="115">
        <v>0</v>
      </c>
      <c r="AC71" s="115">
        <v>0</v>
      </c>
      <c r="AD71" s="115">
        <v>0</v>
      </c>
      <c r="AE71" s="115">
        <v>-162</v>
      </c>
      <c r="AG71" s="115">
        <v>0</v>
      </c>
      <c r="AH71" s="115">
        <v>0</v>
      </c>
    </row>
    <row r="72" spans="2:34" s="5" customFormat="1" x14ac:dyDescent="0.35">
      <c r="B72" s="64" t="s">
        <v>122</v>
      </c>
      <c r="C72" s="115">
        <v>0</v>
      </c>
      <c r="D72" s="115">
        <v>0</v>
      </c>
      <c r="E72" s="115">
        <v>0</v>
      </c>
      <c r="F72" s="115">
        <v>0</v>
      </c>
      <c r="G72" s="116">
        <v>0</v>
      </c>
      <c r="H72" s="116">
        <v>0</v>
      </c>
      <c r="I72" s="116">
        <v>0</v>
      </c>
      <c r="J72" s="115">
        <v>0</v>
      </c>
      <c r="K72" s="116">
        <v>0</v>
      </c>
      <c r="L72" s="116">
        <v>0</v>
      </c>
      <c r="M72" s="116">
        <v>0</v>
      </c>
      <c r="N72" s="115">
        <v>0</v>
      </c>
      <c r="O72" s="116">
        <v>0</v>
      </c>
      <c r="P72" s="116">
        <v>0</v>
      </c>
      <c r="Q72" s="116">
        <v>-11</v>
      </c>
      <c r="R72" s="115">
        <v>0</v>
      </c>
      <c r="S72" s="143"/>
      <c r="T72" s="116">
        <v>0</v>
      </c>
      <c r="U72" s="143">
        <v>-10</v>
      </c>
      <c r="V72" s="115">
        <v>0</v>
      </c>
      <c r="W72" s="115">
        <v>0</v>
      </c>
      <c r="X72" s="116">
        <v>-2</v>
      </c>
      <c r="Y72" s="115">
        <v>2</v>
      </c>
      <c r="Z72" s="115">
        <v>0</v>
      </c>
      <c r="AA72" s="99"/>
      <c r="AB72" s="115">
        <v>0</v>
      </c>
      <c r="AC72" s="115">
        <v>0</v>
      </c>
      <c r="AD72" s="115">
        <v>0</v>
      </c>
      <c r="AE72" s="115">
        <v>0</v>
      </c>
      <c r="AG72" s="115">
        <v>0</v>
      </c>
      <c r="AH72" s="115">
        <v>0</v>
      </c>
    </row>
    <row r="73" spans="2:34" s="5" customFormat="1" ht="2.25" customHeight="1" x14ac:dyDescent="0.35">
      <c r="B73" s="67"/>
      <c r="C73" s="94"/>
      <c r="D73" s="94"/>
      <c r="E73" s="94"/>
      <c r="F73" s="94"/>
      <c r="G73" s="94"/>
      <c r="H73" s="94"/>
      <c r="I73" s="94"/>
      <c r="J73" s="94"/>
      <c r="K73" s="94"/>
      <c r="L73" s="94"/>
      <c r="M73" s="94"/>
      <c r="N73" s="94"/>
      <c r="O73" s="94"/>
      <c r="P73" s="94"/>
      <c r="Q73" s="94"/>
      <c r="R73" s="94"/>
      <c r="S73" s="144"/>
      <c r="T73" s="144"/>
      <c r="U73" s="144"/>
      <c r="V73" s="94"/>
      <c r="W73" s="144"/>
      <c r="X73" s="144"/>
      <c r="Y73" s="144"/>
      <c r="Z73" s="144"/>
      <c r="AA73" s="99"/>
      <c r="AB73" s="144"/>
      <c r="AC73" s="144"/>
      <c r="AD73" s="144"/>
      <c r="AE73" s="144"/>
      <c r="AG73" s="144"/>
      <c r="AH73" s="144"/>
    </row>
    <row r="74" spans="2:34" s="5" customFormat="1" x14ac:dyDescent="0.35">
      <c r="B74" s="65" t="s">
        <v>620</v>
      </c>
      <c r="C74" s="145">
        <f t="shared" ref="C74:X74" si="3">SUM(C64:C72)</f>
        <v>-1299</v>
      </c>
      <c r="D74" s="145">
        <f t="shared" si="3"/>
        <v>-2905</v>
      </c>
      <c r="E74" s="145">
        <f t="shared" si="3"/>
        <v>-72</v>
      </c>
      <c r="F74" s="145">
        <f t="shared" si="3"/>
        <v>2321</v>
      </c>
      <c r="G74" s="145">
        <f t="shared" si="3"/>
        <v>162</v>
      </c>
      <c r="H74" s="145">
        <f t="shared" si="3"/>
        <v>-66</v>
      </c>
      <c r="I74" s="145">
        <f t="shared" si="3"/>
        <v>-112</v>
      </c>
      <c r="J74" s="145">
        <f t="shared" si="3"/>
        <v>-180</v>
      </c>
      <c r="K74" s="145">
        <f t="shared" si="3"/>
        <v>-55</v>
      </c>
      <c r="L74" s="145">
        <f t="shared" si="3"/>
        <v>-143</v>
      </c>
      <c r="M74" s="145">
        <f t="shared" si="3"/>
        <v>36</v>
      </c>
      <c r="N74" s="145">
        <f t="shared" si="3"/>
        <v>-211</v>
      </c>
      <c r="O74" s="145">
        <f t="shared" si="3"/>
        <v>-104</v>
      </c>
      <c r="P74" s="145">
        <f t="shared" si="3"/>
        <v>-112</v>
      </c>
      <c r="Q74" s="145">
        <f t="shared" si="3"/>
        <v>-172</v>
      </c>
      <c r="R74" s="145">
        <f t="shared" si="3"/>
        <v>-193</v>
      </c>
      <c r="S74" s="145">
        <f t="shared" si="3"/>
        <v>-83</v>
      </c>
      <c r="T74" s="145">
        <f t="shared" si="3"/>
        <v>-74</v>
      </c>
      <c r="U74" s="145">
        <f t="shared" si="3"/>
        <v>-130</v>
      </c>
      <c r="V74" s="145">
        <f t="shared" si="3"/>
        <v>-2128</v>
      </c>
      <c r="W74" s="145">
        <f t="shared" si="3"/>
        <v>-125</v>
      </c>
      <c r="X74" s="145">
        <f t="shared" si="3"/>
        <v>-1337</v>
      </c>
      <c r="Y74" s="145">
        <v>-447</v>
      </c>
      <c r="Z74" s="145">
        <f>SUM(Z64:Z72)</f>
        <v>-102</v>
      </c>
      <c r="AA74" s="99"/>
      <c r="AB74" s="145">
        <f>SUM(AB64:AB72)</f>
        <v>-9</v>
      </c>
      <c r="AC74" s="145">
        <f>SUM(AC64:AC72)</f>
        <v>-28</v>
      </c>
      <c r="AD74" s="145">
        <f>SUM(AD64:AD72)</f>
        <v>844</v>
      </c>
      <c r="AE74" s="145">
        <f>SUM(AE64:AE72)</f>
        <v>-362</v>
      </c>
      <c r="AG74" s="145">
        <f>SUM(AG64:AG72)</f>
        <v>28</v>
      </c>
      <c r="AH74" s="145">
        <f>SUM(AH64:AH72)</f>
        <v>-236</v>
      </c>
    </row>
    <row r="75" spans="2:34" s="5" customFormat="1" x14ac:dyDescent="0.35">
      <c r="B75" s="63"/>
      <c r="C75" s="94"/>
      <c r="D75" s="94"/>
      <c r="E75" s="94"/>
      <c r="F75" s="94"/>
      <c r="G75" s="94"/>
      <c r="H75" s="94"/>
      <c r="I75" s="94"/>
      <c r="J75" s="94"/>
      <c r="K75" s="94"/>
      <c r="L75" s="94"/>
      <c r="M75" s="94"/>
      <c r="N75" s="94"/>
      <c r="O75" s="94"/>
      <c r="P75" s="94"/>
      <c r="Q75" s="94"/>
      <c r="R75" s="94"/>
      <c r="S75" s="94"/>
      <c r="T75" s="94"/>
      <c r="U75" s="94"/>
      <c r="V75" s="94"/>
      <c r="W75" s="94"/>
      <c r="X75" s="94"/>
      <c r="Y75" s="94"/>
      <c r="Z75" s="94"/>
      <c r="AA75" s="99"/>
      <c r="AB75" s="94"/>
      <c r="AC75" s="94"/>
      <c r="AD75" s="94"/>
      <c r="AE75" s="94"/>
      <c r="AG75" s="94"/>
      <c r="AH75" s="94"/>
    </row>
    <row r="76" spans="2:34" s="5" customFormat="1" x14ac:dyDescent="0.35">
      <c r="B76" s="123" t="s">
        <v>123</v>
      </c>
      <c r="C76" s="94"/>
      <c r="D76" s="94"/>
      <c r="E76" s="94"/>
      <c r="F76" s="94"/>
      <c r="G76" s="94"/>
      <c r="H76" s="94"/>
      <c r="I76" s="94"/>
      <c r="J76" s="94"/>
      <c r="K76" s="94"/>
      <c r="L76" s="94"/>
      <c r="M76" s="94"/>
      <c r="N76" s="94"/>
      <c r="O76" s="94"/>
      <c r="P76" s="94"/>
      <c r="Q76" s="94"/>
      <c r="R76" s="94"/>
      <c r="S76" s="94"/>
      <c r="T76" s="94"/>
      <c r="U76" s="94"/>
      <c r="V76" s="94"/>
      <c r="W76" s="94"/>
      <c r="X76" s="94"/>
      <c r="Y76" s="94"/>
      <c r="Z76" s="94"/>
      <c r="AA76" s="99"/>
      <c r="AB76" s="94"/>
      <c r="AC76" s="94"/>
      <c r="AD76" s="94"/>
      <c r="AE76" s="94"/>
      <c r="AG76" s="94"/>
      <c r="AH76" s="94"/>
    </row>
    <row r="77" spans="2:34" s="5" customFormat="1" hidden="1" x14ac:dyDescent="0.35">
      <c r="B77" s="125" t="s">
        <v>379</v>
      </c>
      <c r="C77" s="146">
        <v>6186</v>
      </c>
      <c r="D77" s="146">
        <v>-6950</v>
      </c>
      <c r="E77" s="146">
        <v>0</v>
      </c>
      <c r="F77" s="146">
        <v>6313</v>
      </c>
      <c r="G77" s="115">
        <v>0</v>
      </c>
      <c r="H77" s="115">
        <v>0</v>
      </c>
      <c r="I77" s="115">
        <v>0</v>
      </c>
      <c r="J77" s="115">
        <v>0</v>
      </c>
      <c r="K77" s="115">
        <v>0</v>
      </c>
      <c r="L77" s="115">
        <v>0</v>
      </c>
      <c r="M77" s="115">
        <v>0</v>
      </c>
      <c r="N77" s="115">
        <v>0</v>
      </c>
      <c r="O77" s="115">
        <v>0</v>
      </c>
      <c r="P77" s="115">
        <v>0</v>
      </c>
      <c r="Q77" s="115">
        <v>0</v>
      </c>
      <c r="R77" s="115">
        <v>0</v>
      </c>
      <c r="S77" s="115">
        <v>0</v>
      </c>
      <c r="T77" s="115">
        <v>0</v>
      </c>
      <c r="U77" s="115">
        <v>0</v>
      </c>
      <c r="V77" s="115">
        <v>0</v>
      </c>
      <c r="W77" s="115">
        <v>0</v>
      </c>
      <c r="X77" s="115">
        <v>0</v>
      </c>
      <c r="Y77" s="115">
        <v>0</v>
      </c>
      <c r="Z77" s="115">
        <v>0</v>
      </c>
      <c r="AA77" s="99"/>
      <c r="AB77" s="115">
        <v>0</v>
      </c>
      <c r="AC77" s="115">
        <v>0</v>
      </c>
      <c r="AD77" s="115">
        <v>0</v>
      </c>
      <c r="AE77" s="115">
        <v>0</v>
      </c>
      <c r="AG77" s="115">
        <v>0</v>
      </c>
      <c r="AH77" s="115">
        <v>0</v>
      </c>
    </row>
    <row r="78" spans="2:34" s="5" customFormat="1" x14ac:dyDescent="0.35">
      <c r="B78" s="125" t="s">
        <v>124</v>
      </c>
      <c r="C78" s="94"/>
      <c r="D78" s="94"/>
      <c r="E78" s="94"/>
      <c r="F78" s="94"/>
      <c r="G78" s="94"/>
      <c r="H78" s="94"/>
      <c r="I78" s="94"/>
      <c r="J78" s="94"/>
      <c r="K78" s="94"/>
      <c r="L78" s="94"/>
      <c r="M78" s="94"/>
      <c r="N78" s="94"/>
      <c r="O78" s="94"/>
      <c r="P78" s="94"/>
      <c r="Q78" s="94"/>
      <c r="R78" s="99"/>
      <c r="S78" s="94"/>
      <c r="T78" s="99"/>
      <c r="U78" s="99"/>
      <c r="V78" s="99"/>
      <c r="W78" s="94"/>
      <c r="X78" s="94"/>
      <c r="Y78" s="94"/>
      <c r="Z78" s="94"/>
      <c r="AA78" s="99"/>
      <c r="AB78" s="94"/>
      <c r="AC78" s="94"/>
      <c r="AD78" s="94"/>
      <c r="AE78" s="94"/>
      <c r="AG78" s="94"/>
      <c r="AH78" s="94"/>
    </row>
    <row r="79" spans="2:34" s="5" customFormat="1" x14ac:dyDescent="0.35">
      <c r="B79" s="126" t="s">
        <v>125</v>
      </c>
      <c r="C79" s="115">
        <v>17</v>
      </c>
      <c r="D79" s="115">
        <v>11179</v>
      </c>
      <c r="E79" s="115"/>
      <c r="F79" s="115">
        <v>0</v>
      </c>
      <c r="G79" s="116">
        <v>-100</v>
      </c>
      <c r="H79" s="116">
        <v>100</v>
      </c>
      <c r="I79" s="116">
        <v>964</v>
      </c>
      <c r="J79" s="115">
        <v>0</v>
      </c>
      <c r="K79" s="116">
        <v>0</v>
      </c>
      <c r="L79" s="116">
        <v>0</v>
      </c>
      <c r="M79" s="116">
        <v>30</v>
      </c>
      <c r="N79" s="115">
        <v>500</v>
      </c>
      <c r="O79" s="116">
        <v>3213</v>
      </c>
      <c r="P79" s="116">
        <v>1500</v>
      </c>
      <c r="Q79" s="116">
        <v>0</v>
      </c>
      <c r="R79" s="115">
        <v>0</v>
      </c>
      <c r="S79" s="116">
        <v>2800</v>
      </c>
      <c r="T79" s="116">
        <v>0</v>
      </c>
      <c r="U79" s="116">
        <v>1193</v>
      </c>
      <c r="V79" s="115">
        <v>2768</v>
      </c>
      <c r="W79" s="116">
        <v>1600</v>
      </c>
      <c r="X79" s="116">
        <v>971</v>
      </c>
      <c r="Y79" s="116">
        <v>677</v>
      </c>
      <c r="Z79" s="116">
        <v>1494</v>
      </c>
      <c r="AA79" s="99"/>
      <c r="AB79" s="116">
        <v>784</v>
      </c>
      <c r="AC79" s="116">
        <v>0</v>
      </c>
      <c r="AD79" s="116">
        <v>-8</v>
      </c>
      <c r="AE79" s="116">
        <v>1060</v>
      </c>
      <c r="AG79" s="116">
        <v>149</v>
      </c>
      <c r="AH79" s="545">
        <v>2778</v>
      </c>
    </row>
    <row r="80" spans="2:34" s="5" customFormat="1" x14ac:dyDescent="0.35">
      <c r="B80" s="126" t="s">
        <v>126</v>
      </c>
      <c r="C80" s="115">
        <v>-43</v>
      </c>
      <c r="D80" s="115">
        <v>-299</v>
      </c>
      <c r="E80" s="115">
        <v>-115</v>
      </c>
      <c r="F80" s="115">
        <v>-7812</v>
      </c>
      <c r="G80" s="116">
        <v>-53</v>
      </c>
      <c r="H80" s="116">
        <v>-58</v>
      </c>
      <c r="I80" s="116">
        <v>-26</v>
      </c>
      <c r="J80" s="115">
        <v>0</v>
      </c>
      <c r="K80" s="116">
        <v>-113</v>
      </c>
      <c r="L80" s="116">
        <v>-2</v>
      </c>
      <c r="M80" s="116">
        <v>-6</v>
      </c>
      <c r="N80" s="115">
        <v>-1</v>
      </c>
      <c r="O80" s="116">
        <v>-123</v>
      </c>
      <c r="P80" s="116">
        <v>-2768</v>
      </c>
      <c r="Q80" s="116">
        <v>-5</v>
      </c>
      <c r="R80" s="115">
        <v>-500</v>
      </c>
      <c r="S80" s="116">
        <v>-1911</v>
      </c>
      <c r="T80" s="116">
        <v>-125</v>
      </c>
      <c r="U80" s="116">
        <v>0</v>
      </c>
      <c r="V80" s="115">
        <v>0</v>
      </c>
      <c r="W80" s="116">
        <v>-641</v>
      </c>
      <c r="X80" s="116">
        <v>0</v>
      </c>
      <c r="Y80" s="116">
        <v>-530</v>
      </c>
      <c r="Z80" s="116">
        <v>1</v>
      </c>
      <c r="AA80" s="99"/>
      <c r="AB80" s="116">
        <v>-783</v>
      </c>
      <c r="AC80" s="116">
        <v>-150</v>
      </c>
      <c r="AD80" s="116">
        <v>-1031</v>
      </c>
      <c r="AE80" s="116">
        <v>-1210</v>
      </c>
      <c r="AG80" s="116">
        <v>-343</v>
      </c>
      <c r="AH80" s="545">
        <v>-150</v>
      </c>
    </row>
    <row r="81" spans="2:34" s="5" customFormat="1" x14ac:dyDescent="0.35">
      <c r="B81" s="126" t="s">
        <v>127</v>
      </c>
      <c r="C81" s="115">
        <v>-127</v>
      </c>
      <c r="D81" s="115">
        <v>-521</v>
      </c>
      <c r="E81" s="115">
        <v>-1875</v>
      </c>
      <c r="F81" s="115">
        <v>-1541</v>
      </c>
      <c r="G81" s="116">
        <v>0</v>
      </c>
      <c r="H81" s="116">
        <v>-192</v>
      </c>
      <c r="I81" s="116">
        <v>-3</v>
      </c>
      <c r="J81" s="115">
        <v>-125</v>
      </c>
      <c r="K81" s="116">
        <v>-75</v>
      </c>
      <c r="L81" s="116">
        <v>-123</v>
      </c>
      <c r="M81" s="116">
        <v>-42</v>
      </c>
      <c r="N81" s="115">
        <v>-121</v>
      </c>
      <c r="O81" s="116">
        <v>-69</v>
      </c>
      <c r="P81" s="116">
        <v>-96</v>
      </c>
      <c r="Q81" s="116">
        <v>-62</v>
      </c>
      <c r="R81" s="115">
        <v>-70</v>
      </c>
      <c r="S81" s="116">
        <v>-137</v>
      </c>
      <c r="T81" s="116">
        <v>-22</v>
      </c>
      <c r="U81" s="116">
        <v>-88</v>
      </c>
      <c r="V81" s="115">
        <v>-30</v>
      </c>
      <c r="W81" s="116">
        <v>-166</v>
      </c>
      <c r="X81" s="116">
        <v>-52</v>
      </c>
      <c r="Y81" s="116">
        <v>-345</v>
      </c>
      <c r="Z81" s="116">
        <v>-302</v>
      </c>
      <c r="AA81" s="99"/>
      <c r="AB81" s="116">
        <v>-304</v>
      </c>
      <c r="AC81" s="116">
        <v>-215</v>
      </c>
      <c r="AD81" s="116">
        <v>-438</v>
      </c>
      <c r="AE81" s="116">
        <v>-415</v>
      </c>
      <c r="AG81" s="116">
        <v>-173</v>
      </c>
      <c r="AH81" s="545">
        <v>-200</v>
      </c>
    </row>
    <row r="82" spans="2:34" s="5" customFormat="1" x14ac:dyDescent="0.35">
      <c r="B82" s="125" t="s">
        <v>128</v>
      </c>
      <c r="C82" s="115">
        <v>-520</v>
      </c>
      <c r="D82" s="115">
        <v>-496</v>
      </c>
      <c r="E82" s="115">
        <v>-684</v>
      </c>
      <c r="F82" s="115">
        <v>-683</v>
      </c>
      <c r="G82" s="116">
        <v>0</v>
      </c>
      <c r="H82" s="116">
        <v>0</v>
      </c>
      <c r="I82" s="116">
        <v>-1034</v>
      </c>
      <c r="J82" s="115">
        <v>0</v>
      </c>
      <c r="K82" s="116"/>
      <c r="L82" s="116">
        <v>-1518</v>
      </c>
      <c r="M82" s="116">
        <v>0</v>
      </c>
      <c r="N82" s="115">
        <v>-1531</v>
      </c>
      <c r="O82" s="116">
        <v>0</v>
      </c>
      <c r="P82" s="116">
        <v>0</v>
      </c>
      <c r="Q82" s="116">
        <v>-1080</v>
      </c>
      <c r="R82" s="115">
        <v>0</v>
      </c>
      <c r="S82" s="116">
        <v>-444</v>
      </c>
      <c r="T82" s="116">
        <v>-1106</v>
      </c>
      <c r="U82" s="116">
        <v>-1080</v>
      </c>
      <c r="V82" s="115">
        <v>-131</v>
      </c>
      <c r="W82" s="116">
        <v>0</v>
      </c>
      <c r="X82" s="116">
        <v>-132</v>
      </c>
      <c r="Y82" s="116">
        <v>0</v>
      </c>
      <c r="Z82" s="116">
        <v>-358</v>
      </c>
      <c r="AA82" s="99"/>
      <c r="AB82" s="116">
        <v>-401</v>
      </c>
      <c r="AC82" s="116">
        <v>0</v>
      </c>
      <c r="AD82" s="116">
        <v>0</v>
      </c>
      <c r="AE82" s="116">
        <v>0</v>
      </c>
      <c r="AG82" s="116">
        <v>-441</v>
      </c>
      <c r="AH82" s="545">
        <v>-411</v>
      </c>
    </row>
    <row r="83" spans="2:34" x14ac:dyDescent="0.35">
      <c r="B83" s="125" t="s">
        <v>129</v>
      </c>
      <c r="C83" s="115">
        <v>0</v>
      </c>
      <c r="D83" s="115">
        <v>0</v>
      </c>
      <c r="E83" s="115">
        <v>-48</v>
      </c>
      <c r="F83" s="115">
        <v>-32</v>
      </c>
      <c r="G83" s="116"/>
      <c r="H83" s="116"/>
      <c r="I83" s="116"/>
      <c r="J83" s="115"/>
      <c r="K83" s="116"/>
      <c r="L83" s="116"/>
      <c r="M83" s="116"/>
      <c r="N83" s="115"/>
      <c r="O83" s="116"/>
      <c r="P83" s="116"/>
      <c r="Q83" s="116"/>
      <c r="R83" s="115"/>
      <c r="S83" s="116"/>
      <c r="T83" s="116">
        <v>0</v>
      </c>
      <c r="U83" s="116">
        <v>0</v>
      </c>
      <c r="V83" s="115">
        <v>0</v>
      </c>
      <c r="W83" s="116"/>
      <c r="X83" s="116"/>
      <c r="Y83" s="116"/>
      <c r="Z83" s="116"/>
      <c r="AB83" s="116"/>
      <c r="AC83" s="116"/>
      <c r="AD83" s="116"/>
      <c r="AE83" s="116"/>
      <c r="AG83" s="116"/>
      <c r="AH83" s="545"/>
    </row>
    <row r="84" spans="2:34" x14ac:dyDescent="0.35">
      <c r="B84" s="126" t="s">
        <v>130</v>
      </c>
      <c r="C84" s="115">
        <v>0</v>
      </c>
      <c r="D84" s="115">
        <v>0</v>
      </c>
      <c r="E84" s="115">
        <v>0</v>
      </c>
      <c r="F84" s="115">
        <v>0</v>
      </c>
      <c r="G84" s="116">
        <v>-1</v>
      </c>
      <c r="H84" s="116">
        <v>0</v>
      </c>
      <c r="I84" s="116">
        <v>-1</v>
      </c>
      <c r="J84" s="115">
        <v>-17</v>
      </c>
      <c r="K84" s="116">
        <v>-25</v>
      </c>
      <c r="L84" s="116">
        <v>-13</v>
      </c>
      <c r="M84" s="116">
        <v>-48</v>
      </c>
      <c r="N84" s="115">
        <v>-24</v>
      </c>
      <c r="O84" s="116">
        <v>-20</v>
      </c>
      <c r="P84" s="116">
        <v>-20</v>
      </c>
      <c r="Q84" s="116">
        <v>-22</v>
      </c>
      <c r="R84" s="115">
        <v>-33</v>
      </c>
      <c r="S84" s="116">
        <v>-23</v>
      </c>
      <c r="T84" s="116">
        <v>-23</v>
      </c>
      <c r="U84" s="116">
        <v>-69</v>
      </c>
      <c r="V84" s="115">
        <v>-103</v>
      </c>
      <c r="W84" s="116">
        <v>-27</v>
      </c>
      <c r="X84" s="116">
        <v>-31</v>
      </c>
      <c r="Y84" s="116">
        <v>-38</v>
      </c>
      <c r="Z84" s="116">
        <v>-30</v>
      </c>
      <c r="AB84" s="116">
        <v>-28</v>
      </c>
      <c r="AC84" s="116">
        <v>-29</v>
      </c>
      <c r="AD84" s="116">
        <v>-45</v>
      </c>
      <c r="AE84" s="116">
        <v>-28</v>
      </c>
      <c r="AG84" s="116">
        <v>-25</v>
      </c>
      <c r="AH84" s="545">
        <v>-18</v>
      </c>
    </row>
    <row r="85" spans="2:34" x14ac:dyDescent="0.35">
      <c r="B85" s="126" t="s">
        <v>131</v>
      </c>
      <c r="C85" s="115">
        <v>0</v>
      </c>
      <c r="D85" s="115">
        <v>0</v>
      </c>
      <c r="E85" s="115">
        <v>0</v>
      </c>
      <c r="F85" s="115">
        <v>0</v>
      </c>
      <c r="G85" s="116">
        <v>-1</v>
      </c>
      <c r="H85" s="116">
        <v>-1</v>
      </c>
      <c r="I85" s="116">
        <v>-1</v>
      </c>
      <c r="J85" s="115">
        <v>-11</v>
      </c>
      <c r="K85" s="116">
        <v>-11</v>
      </c>
      <c r="L85" s="116">
        <v>-28</v>
      </c>
      <c r="M85" s="116">
        <v>-18</v>
      </c>
      <c r="N85" s="115">
        <v>-20</v>
      </c>
      <c r="O85" s="116">
        <v>-18</v>
      </c>
      <c r="P85" s="116">
        <v>-17</v>
      </c>
      <c r="Q85" s="116">
        <v>-18</v>
      </c>
      <c r="R85" s="115">
        <v>-17</v>
      </c>
      <c r="S85" s="116">
        <v>-17</v>
      </c>
      <c r="T85" s="116">
        <v>-18</v>
      </c>
      <c r="U85" s="116">
        <v>-22</v>
      </c>
      <c r="V85" s="115">
        <v>-17</v>
      </c>
      <c r="W85" s="116">
        <v>-17</v>
      </c>
      <c r="X85" s="116">
        <v>-18</v>
      </c>
      <c r="Y85" s="116">
        <v>-22</v>
      </c>
      <c r="Z85" s="116">
        <v>-21</v>
      </c>
      <c r="AB85" s="116">
        <v>-19</v>
      </c>
      <c r="AC85" s="116">
        <v>-19</v>
      </c>
      <c r="AD85" s="116">
        <v>-21</v>
      </c>
      <c r="AE85" s="116">
        <v>-16</v>
      </c>
      <c r="AG85" s="116">
        <v>-16</v>
      </c>
      <c r="AH85" s="545">
        <v>-7</v>
      </c>
    </row>
    <row r="86" spans="2:34" x14ac:dyDescent="0.35">
      <c r="B86" s="125" t="s">
        <v>133</v>
      </c>
      <c r="C86" s="115">
        <v>-2251</v>
      </c>
      <c r="D86" s="115">
        <v>-380</v>
      </c>
      <c r="E86" s="115">
        <v>5</v>
      </c>
      <c r="F86" s="115">
        <v>-8</v>
      </c>
      <c r="G86" s="116">
        <v>-14</v>
      </c>
      <c r="H86" s="116">
        <v>90</v>
      </c>
      <c r="I86" s="116">
        <v>139</v>
      </c>
      <c r="J86" s="115">
        <v>-213</v>
      </c>
      <c r="K86" s="116">
        <v>-13</v>
      </c>
      <c r="L86" s="116">
        <v>-11</v>
      </c>
      <c r="M86" s="116">
        <v>-8</v>
      </c>
      <c r="N86" s="115">
        <v>0</v>
      </c>
      <c r="O86" s="116">
        <v>0</v>
      </c>
      <c r="P86" s="116">
        <v>0</v>
      </c>
      <c r="Q86" s="116">
        <v>0</v>
      </c>
      <c r="R86" s="115">
        <v>0</v>
      </c>
      <c r="S86" s="116">
        <v>0</v>
      </c>
      <c r="T86" s="116">
        <v>0</v>
      </c>
      <c r="U86" s="116">
        <v>-658</v>
      </c>
      <c r="V86" s="115">
        <v>-258</v>
      </c>
      <c r="W86" s="116">
        <v>-34</v>
      </c>
      <c r="X86" s="116">
        <v>-200</v>
      </c>
      <c r="Y86" s="116">
        <v>0</v>
      </c>
      <c r="Z86" s="116">
        <v>0</v>
      </c>
      <c r="AB86" s="116">
        <v>0</v>
      </c>
      <c r="AC86" s="116">
        <v>0</v>
      </c>
      <c r="AD86" s="116">
        <v>0</v>
      </c>
      <c r="AE86" s="116">
        <v>0</v>
      </c>
      <c r="AG86" s="116">
        <v>0</v>
      </c>
      <c r="AH86" s="116">
        <v>0</v>
      </c>
    </row>
    <row r="87" spans="2:34" s="5" customFormat="1" x14ac:dyDescent="0.35">
      <c r="B87" s="125" t="s">
        <v>132</v>
      </c>
      <c r="C87" s="115">
        <v>-43</v>
      </c>
      <c r="D87" s="115">
        <v>-42</v>
      </c>
      <c r="E87" s="115"/>
      <c r="F87" s="115">
        <v>0</v>
      </c>
      <c r="G87" s="116">
        <v>0</v>
      </c>
      <c r="H87" s="116">
        <v>0</v>
      </c>
      <c r="I87" s="116">
        <v>0</v>
      </c>
      <c r="J87" s="115">
        <v>0</v>
      </c>
      <c r="K87" s="116">
        <v>0</v>
      </c>
      <c r="L87" s="116">
        <v>0</v>
      </c>
      <c r="M87" s="116">
        <v>0</v>
      </c>
      <c r="N87" s="115">
        <v>0</v>
      </c>
      <c r="O87" s="116">
        <v>0</v>
      </c>
      <c r="P87" s="116">
        <v>-5</v>
      </c>
      <c r="Q87" s="116">
        <v>-6</v>
      </c>
      <c r="R87" s="115">
        <v>-5</v>
      </c>
      <c r="S87" s="116">
        <v>-1</v>
      </c>
      <c r="T87" s="116">
        <v>-2</v>
      </c>
      <c r="U87" s="116">
        <v>-46</v>
      </c>
      <c r="V87" s="115">
        <v>-24</v>
      </c>
      <c r="W87" s="116">
        <v>-86</v>
      </c>
      <c r="X87" s="116">
        <v>-71</v>
      </c>
      <c r="Y87" s="116">
        <v>-296</v>
      </c>
      <c r="Z87" s="116">
        <v>-86</v>
      </c>
      <c r="AA87" s="99"/>
      <c r="AB87" s="116">
        <v>-221</v>
      </c>
      <c r="AC87" s="116">
        <v>-73</v>
      </c>
      <c r="AD87" s="116">
        <v>-375</v>
      </c>
      <c r="AE87" s="116">
        <v>-132</v>
      </c>
      <c r="AG87" s="116">
        <v>-161</v>
      </c>
      <c r="AH87" s="545">
        <v>-98</v>
      </c>
    </row>
    <row r="88" spans="2:34" s="5" customFormat="1" x14ac:dyDescent="0.35">
      <c r="B88" s="125"/>
      <c r="C88" s="94"/>
      <c r="D88" s="94"/>
      <c r="E88" s="94"/>
      <c r="F88" s="94"/>
      <c r="G88" s="94"/>
      <c r="H88" s="94"/>
      <c r="I88" s="94"/>
      <c r="J88" s="94"/>
      <c r="K88" s="38"/>
      <c r="L88" s="38"/>
      <c r="M88" s="38"/>
      <c r="N88" s="38"/>
      <c r="O88" s="38"/>
      <c r="P88" s="38"/>
      <c r="Q88" s="38"/>
      <c r="R88" s="38"/>
      <c r="S88" s="38"/>
      <c r="T88" s="38"/>
      <c r="U88" s="38"/>
      <c r="V88" s="38"/>
      <c r="W88" s="38"/>
      <c r="X88" s="38"/>
      <c r="Y88" s="38"/>
      <c r="Z88" s="38"/>
      <c r="AA88" s="99"/>
      <c r="AB88" s="38"/>
      <c r="AC88" s="38"/>
      <c r="AD88" s="38"/>
      <c r="AE88" s="38"/>
      <c r="AG88" s="38"/>
      <c r="AH88" s="545"/>
    </row>
    <row r="89" spans="2:34" s="5" customFormat="1" x14ac:dyDescent="0.35">
      <c r="B89" s="65" t="s">
        <v>639</v>
      </c>
      <c r="C89" s="147">
        <f>SUM(C77:C88)</f>
        <v>3219</v>
      </c>
      <c r="D89" s="147">
        <f>SUM(D77:D88)</f>
        <v>2491</v>
      </c>
      <c r="E89" s="147">
        <f>SUM(E77:E88)</f>
        <v>-2717</v>
      </c>
      <c r="F89" s="147">
        <f>SUM(F77:F88)</f>
        <v>-3763</v>
      </c>
      <c r="G89" s="147">
        <f t="shared" ref="G89:U89" si="4">SUM(G79:G88)</f>
        <v>-169</v>
      </c>
      <c r="H89" s="147">
        <f t="shared" si="4"/>
        <v>-61</v>
      </c>
      <c r="I89" s="147">
        <f t="shared" si="4"/>
        <v>38</v>
      </c>
      <c r="J89" s="147">
        <f t="shared" si="4"/>
        <v>-366</v>
      </c>
      <c r="K89" s="147">
        <f t="shared" si="4"/>
        <v>-237</v>
      </c>
      <c r="L89" s="147">
        <f t="shared" si="4"/>
        <v>-1695</v>
      </c>
      <c r="M89" s="147">
        <f t="shared" si="4"/>
        <v>-92</v>
      </c>
      <c r="N89" s="147">
        <f t="shared" si="4"/>
        <v>-1197</v>
      </c>
      <c r="O89" s="147">
        <f t="shared" si="4"/>
        <v>2983</v>
      </c>
      <c r="P89" s="147">
        <f t="shared" si="4"/>
        <v>-1406</v>
      </c>
      <c r="Q89" s="147">
        <f t="shared" si="4"/>
        <v>-1193</v>
      </c>
      <c r="R89" s="147">
        <f t="shared" si="4"/>
        <v>-625</v>
      </c>
      <c r="S89" s="147">
        <f t="shared" si="4"/>
        <v>267</v>
      </c>
      <c r="T89" s="147">
        <f t="shared" si="4"/>
        <v>-1296</v>
      </c>
      <c r="U89" s="147">
        <f t="shared" si="4"/>
        <v>-770</v>
      </c>
      <c r="V89" s="147">
        <f t="shared" ref="V89" si="5">SUM(V79:V88)</f>
        <v>2205</v>
      </c>
      <c r="W89" s="147">
        <f t="shared" ref="W89" si="6">SUM(W79:W88)</f>
        <v>629</v>
      </c>
      <c r="X89" s="147">
        <f t="shared" ref="X89" si="7">SUM(X79:X88)</f>
        <v>467</v>
      </c>
      <c r="Y89" s="147">
        <v>-554</v>
      </c>
      <c r="Z89" s="147">
        <f t="shared" ref="Z89" si="8">SUM(Z79:Z88)</f>
        <v>698</v>
      </c>
      <c r="AA89" s="99"/>
      <c r="AB89" s="147">
        <f t="shared" ref="AB89:AE89" si="9">SUM(AB79:AB88)</f>
        <v>-972</v>
      </c>
      <c r="AC89" s="147">
        <f t="shared" si="9"/>
        <v>-486</v>
      </c>
      <c r="AD89" s="147">
        <f t="shared" si="9"/>
        <v>-1918</v>
      </c>
      <c r="AE89" s="147">
        <f t="shared" si="9"/>
        <v>-741</v>
      </c>
      <c r="AG89" s="147">
        <f t="shared" ref="AG89:AH89" si="10">SUM(AG79:AG88)</f>
        <v>-1010</v>
      </c>
      <c r="AH89" s="147">
        <f t="shared" si="10"/>
        <v>1894</v>
      </c>
    </row>
    <row r="90" spans="2:34" ht="7.5" customHeight="1" x14ac:dyDescent="0.35">
      <c r="B90" s="65"/>
      <c r="C90" s="134"/>
      <c r="D90" s="134"/>
      <c r="E90" s="134"/>
      <c r="F90" s="134"/>
      <c r="G90" s="134"/>
      <c r="H90" s="134"/>
      <c r="I90" s="134"/>
      <c r="J90" s="134"/>
      <c r="K90" s="147"/>
      <c r="L90" s="147"/>
      <c r="M90" s="147"/>
      <c r="N90" s="147"/>
      <c r="O90" s="147"/>
      <c r="P90" s="147"/>
      <c r="Q90" s="147"/>
      <c r="R90" s="147"/>
      <c r="S90" s="147"/>
      <c r="T90" s="147"/>
      <c r="U90" s="147"/>
      <c r="V90" s="147"/>
      <c r="W90" s="147"/>
      <c r="X90" s="147"/>
      <c r="Y90" s="147"/>
      <c r="Z90" s="147"/>
      <c r="AB90" s="147"/>
      <c r="AC90" s="147"/>
      <c r="AD90" s="147"/>
      <c r="AE90" s="147"/>
      <c r="AG90" s="147"/>
      <c r="AH90" s="147"/>
    </row>
    <row r="91" spans="2:34" s="5" customFormat="1" x14ac:dyDescent="0.35">
      <c r="B91" s="65" t="s">
        <v>496</v>
      </c>
      <c r="C91" s="147">
        <v>0</v>
      </c>
      <c r="D91" s="147">
        <v>0</v>
      </c>
      <c r="E91" s="147">
        <v>0</v>
      </c>
      <c r="F91" s="147">
        <v>0</v>
      </c>
      <c r="G91" s="147">
        <v>0</v>
      </c>
      <c r="H91" s="147">
        <v>0</v>
      </c>
      <c r="I91" s="147">
        <v>0</v>
      </c>
      <c r="J91" s="147">
        <v>0</v>
      </c>
      <c r="K91" s="147">
        <v>0</v>
      </c>
      <c r="L91" s="147">
        <v>0</v>
      </c>
      <c r="M91" s="147">
        <v>0</v>
      </c>
      <c r="N91" s="147">
        <v>0</v>
      </c>
      <c r="O91" s="147">
        <v>0</v>
      </c>
      <c r="P91" s="147">
        <v>0</v>
      </c>
      <c r="Q91" s="147">
        <v>0</v>
      </c>
      <c r="R91" s="147">
        <v>0</v>
      </c>
      <c r="S91" s="147">
        <v>0</v>
      </c>
      <c r="T91" s="147">
        <v>0</v>
      </c>
      <c r="U91" s="147">
        <v>0</v>
      </c>
      <c r="V91" s="147">
        <v>0</v>
      </c>
      <c r="W91" s="147">
        <v>-34</v>
      </c>
      <c r="X91" s="147">
        <v>45</v>
      </c>
      <c r="Y91" s="147">
        <v>36</v>
      </c>
      <c r="Z91" s="147">
        <v>-19</v>
      </c>
      <c r="AA91" s="99"/>
      <c r="AB91" s="147">
        <v>-70</v>
      </c>
      <c r="AC91" s="147">
        <v>2</v>
      </c>
      <c r="AD91" s="147">
        <v>14</v>
      </c>
      <c r="AE91" s="147">
        <v>0</v>
      </c>
      <c r="AG91" s="147">
        <v>22</v>
      </c>
      <c r="AH91" s="147">
        <v>57</v>
      </c>
    </row>
    <row r="92" spans="2:34" ht="7.5" customHeight="1" x14ac:dyDescent="0.35">
      <c r="B92" s="65"/>
      <c r="C92" s="134"/>
      <c r="D92" s="134"/>
      <c r="E92" s="134"/>
      <c r="F92" s="134"/>
      <c r="G92" s="134"/>
      <c r="H92" s="134"/>
      <c r="I92" s="134"/>
      <c r="J92" s="134"/>
      <c r="K92" s="147"/>
      <c r="L92" s="147"/>
      <c r="M92" s="147"/>
      <c r="N92" s="147"/>
      <c r="O92" s="147"/>
      <c r="P92" s="147"/>
      <c r="Q92" s="147"/>
      <c r="R92" s="147"/>
      <c r="S92" s="147"/>
      <c r="T92" s="147"/>
      <c r="U92" s="147"/>
      <c r="V92" s="147"/>
      <c r="W92" s="147"/>
      <c r="X92" s="147"/>
      <c r="Y92" s="147"/>
      <c r="Z92" s="147"/>
      <c r="AB92" s="147"/>
      <c r="AC92" s="147"/>
      <c r="AD92" s="147"/>
      <c r="AE92" s="147"/>
      <c r="AG92" s="147"/>
      <c r="AH92" s="147"/>
    </row>
    <row r="93" spans="2:34" s="5" customFormat="1" x14ac:dyDescent="0.35">
      <c r="B93" s="65" t="s">
        <v>640</v>
      </c>
      <c r="C93" s="147">
        <f t="shared" ref="C93:V93" si="11">SUM(C89,C74,C62)</f>
        <v>-174</v>
      </c>
      <c r="D93" s="147">
        <f t="shared" si="11"/>
        <v>68</v>
      </c>
      <c r="E93" s="147">
        <f t="shared" si="11"/>
        <v>-155</v>
      </c>
      <c r="F93" s="147">
        <f t="shared" si="11"/>
        <v>-172</v>
      </c>
      <c r="G93" s="147">
        <f t="shared" si="11"/>
        <v>622</v>
      </c>
      <c r="H93" s="147">
        <f t="shared" si="11"/>
        <v>247</v>
      </c>
      <c r="I93" s="147">
        <f t="shared" si="11"/>
        <v>148</v>
      </c>
      <c r="J93" s="147">
        <f t="shared" si="11"/>
        <v>1557</v>
      </c>
      <c r="K93" s="147">
        <f t="shared" si="11"/>
        <v>792</v>
      </c>
      <c r="L93" s="147">
        <f t="shared" si="11"/>
        <v>-1964</v>
      </c>
      <c r="M93" s="147">
        <f t="shared" si="11"/>
        <v>2024</v>
      </c>
      <c r="N93" s="147">
        <f t="shared" si="11"/>
        <v>-1547</v>
      </c>
      <c r="O93" s="147">
        <f t="shared" si="11"/>
        <v>3635</v>
      </c>
      <c r="P93" s="147">
        <f t="shared" si="11"/>
        <v>-690</v>
      </c>
      <c r="Q93" s="147">
        <f t="shared" si="11"/>
        <v>-831</v>
      </c>
      <c r="R93" s="147">
        <f t="shared" si="11"/>
        <v>-1118</v>
      </c>
      <c r="S93" s="147">
        <f t="shared" si="11"/>
        <v>535</v>
      </c>
      <c r="T93" s="147">
        <f t="shared" si="11"/>
        <v>-1582</v>
      </c>
      <c r="U93" s="147">
        <f t="shared" si="11"/>
        <v>-281</v>
      </c>
      <c r="V93" s="147">
        <f t="shared" si="11"/>
        <v>1595</v>
      </c>
      <c r="W93" s="147">
        <f>SUM(W89,W74,W62,W91)</f>
        <v>684</v>
      </c>
      <c r="X93" s="147">
        <f>SUM(X89,X74,X62,X91)</f>
        <v>-1550</v>
      </c>
      <c r="Y93" s="147">
        <v>354</v>
      </c>
      <c r="Z93" s="147">
        <f>SUM(Z89,Z74,Z62,Z91)</f>
        <v>1032</v>
      </c>
      <c r="AA93" s="99"/>
      <c r="AB93" s="147">
        <f>SUM(AB89,AB74,AB62,AB91)</f>
        <v>1671</v>
      </c>
      <c r="AC93" s="147">
        <f>SUM(AC89,AC74,AC62,AC91)</f>
        <v>-154</v>
      </c>
      <c r="AD93" s="147">
        <f>SUM(AD89,AD74,AD62,AD91)</f>
        <v>774</v>
      </c>
      <c r="AE93" s="147">
        <f>SUM(AE89,AE74,AE62,AE91)</f>
        <v>230</v>
      </c>
      <c r="AG93" s="147">
        <f>SUM(AG89,AG74,AG62,AG91)</f>
        <v>-1190</v>
      </c>
      <c r="AH93" s="147">
        <f>SUM(AH89,AH74,AH62,AH91)</f>
        <v>2749</v>
      </c>
    </row>
    <row r="94" spans="2:34" ht="7.5" customHeight="1" x14ac:dyDescent="0.35">
      <c r="B94" s="65"/>
      <c r="C94" s="134"/>
      <c r="D94" s="134"/>
      <c r="E94" s="134"/>
      <c r="F94" s="134"/>
      <c r="G94" s="134"/>
      <c r="H94" s="134"/>
      <c r="I94" s="134"/>
      <c r="J94" s="134"/>
      <c r="K94" s="147"/>
      <c r="L94" s="147"/>
      <c r="M94" s="147"/>
      <c r="N94" s="147"/>
      <c r="O94" s="147"/>
      <c r="P94" s="147"/>
      <c r="Q94" s="147"/>
      <c r="R94" s="147"/>
      <c r="S94" s="147"/>
      <c r="T94" s="147"/>
      <c r="U94" s="147"/>
      <c r="V94" s="147"/>
      <c r="W94" s="147"/>
      <c r="X94" s="147"/>
      <c r="Y94" s="147"/>
      <c r="Z94" s="147"/>
      <c r="AB94" s="147"/>
      <c r="AC94" s="147"/>
      <c r="AD94" s="147"/>
      <c r="AE94" s="147"/>
      <c r="AG94" s="147"/>
      <c r="AH94" s="147"/>
    </row>
    <row r="95" spans="2:34" x14ac:dyDescent="0.35">
      <c r="B95" s="65" t="s">
        <v>641</v>
      </c>
      <c r="C95" s="134">
        <v>916</v>
      </c>
      <c r="D95" s="134">
        <v>742</v>
      </c>
      <c r="E95" s="134">
        <v>810</v>
      </c>
      <c r="F95" s="134">
        <v>655</v>
      </c>
      <c r="G95" s="134">
        <v>483</v>
      </c>
      <c r="H95" s="134">
        <f>G97</f>
        <v>1105</v>
      </c>
      <c r="I95" s="134">
        <f>H97</f>
        <v>1352</v>
      </c>
      <c r="J95" s="134">
        <f>I97</f>
        <v>1500</v>
      </c>
      <c r="K95" s="147">
        <v>3057</v>
      </c>
      <c r="L95" s="147">
        <f t="shared" ref="L95:V95" si="12">K97</f>
        <v>3849</v>
      </c>
      <c r="M95" s="147">
        <f t="shared" si="12"/>
        <v>1885</v>
      </c>
      <c r="N95" s="147">
        <f t="shared" si="12"/>
        <v>3909</v>
      </c>
      <c r="O95" s="147">
        <f t="shared" si="12"/>
        <v>2362</v>
      </c>
      <c r="P95" s="147">
        <f t="shared" si="12"/>
        <v>5997</v>
      </c>
      <c r="Q95" s="147">
        <f t="shared" si="12"/>
        <v>5307</v>
      </c>
      <c r="R95" s="147">
        <f t="shared" si="12"/>
        <v>4476</v>
      </c>
      <c r="S95" s="147">
        <f t="shared" si="12"/>
        <v>3358</v>
      </c>
      <c r="T95" s="147">
        <f t="shared" si="12"/>
        <v>3893</v>
      </c>
      <c r="U95" s="147">
        <f t="shared" si="12"/>
        <v>2311</v>
      </c>
      <c r="V95" s="147">
        <f t="shared" si="12"/>
        <v>2030</v>
      </c>
      <c r="W95" s="147">
        <f>V97</f>
        <v>3625</v>
      </c>
      <c r="X95" s="147">
        <f>W97</f>
        <v>4309</v>
      </c>
      <c r="Y95" s="147">
        <v>2759</v>
      </c>
      <c r="Z95" s="147">
        <f t="shared" ref="Z95" si="13">Y97</f>
        <v>3113</v>
      </c>
      <c r="AB95" s="147">
        <f>Z97</f>
        <v>4145</v>
      </c>
      <c r="AC95" s="147">
        <f>AB97</f>
        <v>5816</v>
      </c>
      <c r="AD95" s="147">
        <f>AC97</f>
        <v>5662</v>
      </c>
      <c r="AE95" s="147">
        <f>AD97</f>
        <v>6436</v>
      </c>
      <c r="AG95" s="147">
        <f>AE97</f>
        <v>6666</v>
      </c>
      <c r="AH95" s="147">
        <v>5476</v>
      </c>
    </row>
    <row r="96" spans="2:34" ht="7.5" customHeight="1" x14ac:dyDescent="0.35">
      <c r="B96" s="65"/>
      <c r="C96" s="134"/>
      <c r="D96" s="134"/>
      <c r="E96" s="134"/>
      <c r="F96" s="134"/>
      <c r="G96" s="134"/>
      <c r="H96" s="134"/>
      <c r="I96" s="134"/>
      <c r="J96" s="134"/>
      <c r="K96" s="147"/>
      <c r="L96" s="147"/>
      <c r="M96" s="147"/>
      <c r="N96" s="147"/>
      <c r="O96" s="147"/>
      <c r="P96" s="147"/>
      <c r="Q96" s="147"/>
      <c r="R96" s="147"/>
      <c r="S96" s="147"/>
      <c r="T96" s="147"/>
      <c r="U96" s="147"/>
      <c r="V96" s="147"/>
      <c r="W96" s="147"/>
      <c r="X96" s="147"/>
      <c r="Y96" s="147"/>
      <c r="Z96" s="147"/>
      <c r="AB96" s="147"/>
      <c r="AC96" s="147"/>
      <c r="AD96" s="147"/>
      <c r="AE96" s="147"/>
      <c r="AG96" s="147"/>
      <c r="AH96" s="147"/>
    </row>
    <row r="97" spans="2:34" x14ac:dyDescent="0.35">
      <c r="B97" s="65" t="s">
        <v>642</v>
      </c>
      <c r="C97" s="134">
        <v>742</v>
      </c>
      <c r="D97" s="134">
        <v>810</v>
      </c>
      <c r="E97" s="134">
        <v>655</v>
      </c>
      <c r="F97" s="134">
        <v>483</v>
      </c>
      <c r="G97" s="134">
        <v>1105</v>
      </c>
      <c r="H97" s="134">
        <v>1352</v>
      </c>
      <c r="I97" s="134">
        <v>1500</v>
      </c>
      <c r="J97" s="134">
        <v>3057</v>
      </c>
      <c r="K97" s="147">
        <v>3849</v>
      </c>
      <c r="L97" s="147">
        <v>1885</v>
      </c>
      <c r="M97" s="147">
        <v>3909</v>
      </c>
      <c r="N97" s="147">
        <v>2362</v>
      </c>
      <c r="O97" s="147">
        <v>5997</v>
      </c>
      <c r="P97" s="147">
        <v>5307</v>
      </c>
      <c r="Q97" s="147">
        <v>4476</v>
      </c>
      <c r="R97" s="147">
        <v>3358</v>
      </c>
      <c r="S97" s="147">
        <f>S95+S93</f>
        <v>3893</v>
      </c>
      <c r="T97" s="147">
        <f>T95+T93</f>
        <v>2311</v>
      </c>
      <c r="U97" s="147">
        <v>2030</v>
      </c>
      <c r="V97" s="147">
        <v>3625</v>
      </c>
      <c r="W97" s="147">
        <f>W95+W93</f>
        <v>4309</v>
      </c>
      <c r="X97" s="147">
        <f>X95+X93</f>
        <v>2759</v>
      </c>
      <c r="Y97" s="147">
        <v>3113</v>
      </c>
      <c r="Z97" s="147">
        <f>Z95+Z93</f>
        <v>4145</v>
      </c>
      <c r="AB97" s="147">
        <f>AB95+AB93</f>
        <v>5816</v>
      </c>
      <c r="AC97" s="147">
        <f>AC95+AC93</f>
        <v>5662</v>
      </c>
      <c r="AD97" s="147">
        <f>AD95+AD93</f>
        <v>6436</v>
      </c>
      <c r="AE97" s="147">
        <f>AE95+AE93</f>
        <v>6666</v>
      </c>
      <c r="AG97" s="147">
        <f>AG95+AG93</f>
        <v>5476</v>
      </c>
      <c r="AH97" s="147">
        <f>AH95+AH93</f>
        <v>8225</v>
      </c>
    </row>
  </sheetData>
  <phoneticPr fontId="96"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7C7CD-34D3-43F4-A314-B6316117C69E}">
  <sheetPr codeName="Planilha7">
    <tabColor rgb="FFFFC000"/>
  </sheetPr>
  <dimension ref="A1:AK51"/>
  <sheetViews>
    <sheetView showGridLines="0" zoomScale="70" zoomScaleNormal="70" workbookViewId="0">
      <pane xSplit="2" ySplit="5" topLeftCell="AG52" activePane="bottomRight" state="frozen"/>
      <selection pane="topRight"/>
      <selection pane="bottomLeft"/>
      <selection pane="bottomRight" activeCell="AS52" sqref="AS52"/>
    </sheetView>
  </sheetViews>
  <sheetFormatPr defaultColWidth="9.1796875" defaultRowHeight="15.5" outlineLevelRow="1" outlineLevelCol="1" x14ac:dyDescent="0.35"/>
  <cols>
    <col min="1" max="1" width="1.54296875" style="71" customWidth="1"/>
    <col min="2" max="2" width="68.81640625" style="56" customWidth="1"/>
    <col min="3" max="3" width="10.7265625" style="99" customWidth="1" outlineLevel="1"/>
    <col min="4" max="8" width="10.7265625" style="38" customWidth="1" outlineLevel="1"/>
    <col min="9" max="9" width="10.7265625" style="39" customWidth="1" outlineLevel="1"/>
    <col min="10" max="12" width="10.7265625" style="38" customWidth="1" outlineLevel="1"/>
    <col min="13" max="13" width="10.7265625" style="39" customWidth="1" outlineLevel="1"/>
    <col min="14" max="16" width="10.7265625" style="38" customWidth="1" outlineLevel="1"/>
    <col min="17" max="17" width="10.7265625" style="39" customWidth="1" outlineLevel="1"/>
    <col min="18" max="20" width="10.7265625" style="38" customWidth="1" outlineLevel="1"/>
    <col min="21" max="21" width="10.7265625" style="39" customWidth="1" outlineLevel="1"/>
    <col min="22" max="24" width="10.7265625" style="38" customWidth="1"/>
    <col min="25" max="25" width="10.7265625" style="39" customWidth="1"/>
    <col min="26" max="28" width="10.7265625" style="38" customWidth="1"/>
    <col min="29" max="29" width="11" style="71" customWidth="1"/>
    <col min="30" max="30" width="0.36328125" style="71" customWidth="1"/>
    <col min="31" max="34" width="10.7265625" style="38" customWidth="1"/>
    <col min="35" max="35" width="0.36328125" style="71" customWidth="1"/>
    <col min="36" max="37" width="10.7265625" style="38" customWidth="1"/>
    <col min="38" max="16384" width="9.1796875" style="71"/>
  </cols>
  <sheetData>
    <row r="1" spans="1:37" ht="41.25" customHeight="1" x14ac:dyDescent="0.35">
      <c r="A1" s="148"/>
      <c r="C1" s="72"/>
      <c r="D1" s="34"/>
      <c r="E1" s="34"/>
      <c r="F1" s="34"/>
      <c r="G1" s="34"/>
      <c r="H1" s="34"/>
      <c r="I1" s="35"/>
      <c r="J1" s="34"/>
      <c r="K1" s="34"/>
      <c r="L1" s="34"/>
      <c r="M1" s="35"/>
      <c r="N1" s="34"/>
      <c r="O1" s="34"/>
      <c r="P1" s="34"/>
      <c r="Q1" s="35"/>
      <c r="R1" s="34"/>
      <c r="S1" s="34"/>
      <c r="T1" s="34"/>
      <c r="U1" s="35"/>
      <c r="V1" s="34"/>
      <c r="W1" s="34"/>
      <c r="X1" s="34"/>
      <c r="Y1" s="35"/>
      <c r="Z1" s="34"/>
      <c r="AA1" s="34"/>
      <c r="AB1" s="34"/>
      <c r="AE1" s="34"/>
      <c r="AF1" s="34"/>
      <c r="AG1" s="34"/>
      <c r="AH1" s="34"/>
      <c r="AJ1" s="34"/>
      <c r="AK1" s="34"/>
    </row>
    <row r="2" spans="1:37" ht="18" x14ac:dyDescent="0.3">
      <c r="B2" s="57" t="s">
        <v>215</v>
      </c>
      <c r="C2" s="152"/>
      <c r="D2" s="36"/>
      <c r="E2" s="37"/>
      <c r="F2" s="36"/>
      <c r="G2" s="36"/>
      <c r="H2" s="36"/>
      <c r="I2" s="37"/>
      <c r="J2" s="36"/>
      <c r="K2" s="36"/>
      <c r="L2" s="36"/>
      <c r="M2" s="37"/>
      <c r="N2" s="36"/>
      <c r="O2" s="36"/>
      <c r="P2" s="36"/>
      <c r="Q2" s="37"/>
      <c r="R2" s="36"/>
      <c r="S2" s="36"/>
      <c r="T2" s="36"/>
      <c r="U2" s="37"/>
      <c r="V2" s="36"/>
      <c r="W2" s="36"/>
      <c r="X2" s="36"/>
      <c r="Y2" s="37"/>
      <c r="Z2" s="36"/>
      <c r="AA2" s="36"/>
      <c r="AB2" s="36"/>
      <c r="AC2" s="36"/>
      <c r="AE2" s="36"/>
      <c r="AF2" s="36"/>
      <c r="AG2" s="36"/>
      <c r="AH2" s="36"/>
      <c r="AJ2" s="36"/>
      <c r="AK2" s="36"/>
    </row>
    <row r="3" spans="1:37" ht="9.75" customHeight="1" x14ac:dyDescent="0.35">
      <c r="C3" s="38"/>
      <c r="E3" s="39"/>
    </row>
    <row r="4" spans="1:37" x14ac:dyDescent="0.3">
      <c r="B4" s="58"/>
      <c r="C4" s="41">
        <v>2014</v>
      </c>
      <c r="D4" s="41">
        <v>2015</v>
      </c>
      <c r="E4" s="42">
        <v>2016</v>
      </c>
      <c r="F4" s="40" t="s">
        <v>211</v>
      </c>
      <c r="G4" s="41" t="s">
        <v>212</v>
      </c>
      <c r="H4" s="41" t="s">
        <v>213</v>
      </c>
      <c r="I4" s="42" t="s">
        <v>195</v>
      </c>
      <c r="J4" s="40" t="s">
        <v>196</v>
      </c>
      <c r="K4" s="41" t="s">
        <v>197</v>
      </c>
      <c r="L4" s="41" t="s">
        <v>198</v>
      </c>
      <c r="M4" s="42" t="s">
        <v>199</v>
      </c>
      <c r="N4" s="41" t="s">
        <v>200</v>
      </c>
      <c r="O4" s="41" t="s">
        <v>201</v>
      </c>
      <c r="P4" s="41" t="s">
        <v>202</v>
      </c>
      <c r="Q4" s="42" t="s">
        <v>203</v>
      </c>
      <c r="R4" s="41" t="s">
        <v>204</v>
      </c>
      <c r="S4" s="41" t="s">
        <v>205</v>
      </c>
      <c r="T4" s="41" t="s">
        <v>206</v>
      </c>
      <c r="U4" s="42" t="s">
        <v>207</v>
      </c>
      <c r="V4" s="41" t="s">
        <v>208</v>
      </c>
      <c r="W4" s="41" t="s">
        <v>209</v>
      </c>
      <c r="X4" s="41" t="s">
        <v>210</v>
      </c>
      <c r="Y4" s="42" t="s">
        <v>428</v>
      </c>
      <c r="Z4" s="41" t="s">
        <v>435</v>
      </c>
      <c r="AA4" s="41" t="s">
        <v>440</v>
      </c>
      <c r="AB4" s="41" t="s">
        <v>470</v>
      </c>
      <c r="AC4" s="41" t="s">
        <v>480</v>
      </c>
      <c r="AE4" s="41" t="s">
        <v>500</v>
      </c>
      <c r="AF4" s="41" t="s">
        <v>524</v>
      </c>
      <c r="AG4" s="41" t="s">
        <v>588</v>
      </c>
      <c r="AH4" s="41" t="s">
        <v>604</v>
      </c>
      <c r="AJ4" s="41" t="s">
        <v>633</v>
      </c>
      <c r="AK4" s="41" t="s">
        <v>672</v>
      </c>
    </row>
    <row r="5" spans="1:37" x14ac:dyDescent="0.35">
      <c r="B5" s="59"/>
      <c r="C5" s="43" t="s">
        <v>216</v>
      </c>
      <c r="D5" s="43" t="s">
        <v>216</v>
      </c>
      <c r="E5" s="43" t="s">
        <v>216</v>
      </c>
      <c r="F5" s="43" t="s">
        <v>37</v>
      </c>
      <c r="G5" s="43" t="s">
        <v>194</v>
      </c>
      <c r="H5" s="43" t="s">
        <v>471</v>
      </c>
      <c r="I5" s="44" t="s">
        <v>376</v>
      </c>
      <c r="J5" s="43" t="s">
        <v>37</v>
      </c>
      <c r="K5" s="43" t="s">
        <v>194</v>
      </c>
      <c r="L5" s="43" t="s">
        <v>471</v>
      </c>
      <c r="M5" s="44" t="s">
        <v>193</v>
      </c>
      <c r="N5" s="43" t="s">
        <v>37</v>
      </c>
      <c r="O5" s="43" t="s">
        <v>194</v>
      </c>
      <c r="P5" s="43" t="s">
        <v>471</v>
      </c>
      <c r="Q5" s="44" t="s">
        <v>193</v>
      </c>
      <c r="R5" s="43" t="s">
        <v>37</v>
      </c>
      <c r="S5" s="43" t="s">
        <v>194</v>
      </c>
      <c r="T5" s="43" t="s">
        <v>471</v>
      </c>
      <c r="U5" s="44" t="s">
        <v>193</v>
      </c>
      <c r="V5" s="43" t="s">
        <v>37</v>
      </c>
      <c r="W5" s="43" t="s">
        <v>194</v>
      </c>
      <c r="X5" s="43" t="s">
        <v>471</v>
      </c>
      <c r="Y5" s="44" t="s">
        <v>193</v>
      </c>
      <c r="Z5" s="43" t="s">
        <v>37</v>
      </c>
      <c r="AA5" s="43" t="s">
        <v>194</v>
      </c>
      <c r="AB5" s="43" t="s">
        <v>471</v>
      </c>
      <c r="AC5" s="44" t="s">
        <v>193</v>
      </c>
      <c r="AE5" s="43" t="s">
        <v>37</v>
      </c>
      <c r="AF5" s="43" t="s">
        <v>194</v>
      </c>
      <c r="AG5" s="43" t="s">
        <v>471</v>
      </c>
      <c r="AH5" s="44" t="s">
        <v>193</v>
      </c>
      <c r="AJ5" s="43" t="s">
        <v>37</v>
      </c>
      <c r="AK5" s="43" t="s">
        <v>673</v>
      </c>
    </row>
    <row r="6" spans="1:37" ht="8.25" customHeight="1" x14ac:dyDescent="0.35">
      <c r="C6" s="34"/>
      <c r="D6" s="34"/>
      <c r="E6" s="35"/>
      <c r="F6" s="34"/>
      <c r="G6" s="34"/>
      <c r="H6" s="34"/>
      <c r="I6" s="35"/>
      <c r="J6" s="34"/>
      <c r="K6" s="34"/>
      <c r="L6" s="34"/>
      <c r="M6" s="35"/>
      <c r="N6" s="34"/>
      <c r="O6" s="34"/>
      <c r="P6" s="34"/>
      <c r="Q6" s="35"/>
      <c r="R6" s="34"/>
      <c r="S6" s="34"/>
      <c r="T6" s="34"/>
      <c r="U6" s="35"/>
      <c r="V6" s="34"/>
      <c r="W6" s="34"/>
      <c r="X6" s="34"/>
      <c r="Y6" s="35"/>
      <c r="Z6" s="34"/>
      <c r="AA6" s="34"/>
      <c r="AB6" s="34"/>
      <c r="AE6" s="34"/>
      <c r="AF6" s="34"/>
      <c r="AG6" s="34"/>
      <c r="AH6" s="34"/>
      <c r="AJ6" s="34"/>
      <c r="AK6" s="34"/>
    </row>
    <row r="7" spans="1:37" s="128" customFormat="1" ht="18" x14ac:dyDescent="0.4">
      <c r="B7" s="60" t="s">
        <v>60</v>
      </c>
      <c r="C7" s="153"/>
      <c r="D7" s="45"/>
      <c r="E7" s="46"/>
      <c r="F7" s="45"/>
      <c r="G7" s="45"/>
      <c r="H7" s="45"/>
      <c r="I7" s="46"/>
      <c r="J7" s="45"/>
      <c r="K7" s="45"/>
      <c r="L7" s="45"/>
      <c r="M7" s="46"/>
      <c r="N7" s="45"/>
      <c r="O7" s="47"/>
      <c r="P7" s="47"/>
      <c r="Q7" s="48"/>
      <c r="R7" s="47"/>
      <c r="S7" s="47"/>
      <c r="T7" s="47"/>
      <c r="U7" s="48"/>
      <c r="V7" s="47"/>
      <c r="W7" s="49"/>
      <c r="X7" s="47"/>
      <c r="Y7" s="48"/>
      <c r="Z7" s="47"/>
      <c r="AA7" s="47"/>
      <c r="AB7" s="47"/>
      <c r="AE7" s="47"/>
      <c r="AF7" s="47"/>
      <c r="AG7" s="47"/>
      <c r="AH7" s="47"/>
      <c r="AJ7" s="47"/>
      <c r="AK7" s="47"/>
    </row>
    <row r="8" spans="1:37" s="129" customFormat="1" ht="18" x14ac:dyDescent="0.4">
      <c r="B8" s="61" t="s">
        <v>135</v>
      </c>
      <c r="C8" s="50"/>
      <c r="D8" s="50"/>
      <c r="E8" s="51"/>
      <c r="F8" s="50"/>
      <c r="G8" s="50"/>
      <c r="H8" s="50"/>
      <c r="I8" s="51"/>
      <c r="J8" s="50"/>
      <c r="K8" s="50"/>
      <c r="L8" s="50"/>
      <c r="M8" s="51"/>
      <c r="N8" s="50"/>
      <c r="O8" s="50"/>
      <c r="P8" s="50"/>
      <c r="Q8" s="51"/>
      <c r="R8" s="50"/>
      <c r="S8" s="50"/>
      <c r="T8" s="50"/>
      <c r="U8" s="51"/>
      <c r="V8" s="50"/>
      <c r="W8" s="50"/>
      <c r="X8" s="50"/>
      <c r="Y8" s="51"/>
      <c r="Z8" s="50"/>
      <c r="AA8" s="50"/>
      <c r="AB8" s="50"/>
      <c r="AC8" s="434"/>
      <c r="AE8" s="50"/>
      <c r="AF8" s="50"/>
      <c r="AG8" s="50"/>
      <c r="AH8" s="50"/>
      <c r="AJ8" s="50"/>
      <c r="AK8" s="50"/>
    </row>
    <row r="9" spans="1:37" s="56" customFormat="1" x14ac:dyDescent="0.35">
      <c r="B9" s="65" t="s">
        <v>142</v>
      </c>
      <c r="C9" s="154">
        <f t="shared" ref="C9:AC9" si="0">SUM(C10:C13)</f>
        <v>98528</v>
      </c>
      <c r="D9" s="154">
        <f t="shared" si="0"/>
        <v>97280</v>
      </c>
      <c r="E9" s="154">
        <f t="shared" si="0"/>
        <v>86637</v>
      </c>
      <c r="F9" s="154">
        <f t="shared" si="0"/>
        <v>20049</v>
      </c>
      <c r="G9" s="154">
        <f t="shared" si="0"/>
        <v>19475</v>
      </c>
      <c r="H9" s="154">
        <f t="shared" si="0"/>
        <v>21839</v>
      </c>
      <c r="I9" s="154">
        <f t="shared" si="0"/>
        <v>23204</v>
      </c>
      <c r="J9" s="154">
        <f t="shared" si="0"/>
        <v>22499</v>
      </c>
      <c r="K9" s="154">
        <f t="shared" si="0"/>
        <v>23597</v>
      </c>
      <c r="L9" s="154">
        <f t="shared" si="0"/>
        <v>26455</v>
      </c>
      <c r="M9" s="154">
        <f t="shared" si="0"/>
        <v>25219</v>
      </c>
      <c r="N9" s="154">
        <f t="shared" si="0"/>
        <v>22432</v>
      </c>
      <c r="O9" s="154">
        <f t="shared" si="0"/>
        <v>24045</v>
      </c>
      <c r="P9" s="154">
        <f t="shared" si="0"/>
        <v>24360</v>
      </c>
      <c r="Q9" s="154">
        <f t="shared" si="0"/>
        <v>24148</v>
      </c>
      <c r="R9" s="154">
        <f t="shared" si="0"/>
        <v>21188</v>
      </c>
      <c r="S9" s="154">
        <f t="shared" si="0"/>
        <v>14882</v>
      </c>
      <c r="T9" s="154">
        <f t="shared" si="0"/>
        <v>21137</v>
      </c>
      <c r="U9" s="154">
        <f t="shared" si="0"/>
        <v>24294</v>
      </c>
      <c r="V9" s="154">
        <f t="shared" si="0"/>
        <v>26133</v>
      </c>
      <c r="W9" s="154">
        <f t="shared" si="0"/>
        <v>29023</v>
      </c>
      <c r="X9" s="154">
        <f t="shared" si="0"/>
        <v>35694</v>
      </c>
      <c r="Y9" s="154">
        <f t="shared" si="0"/>
        <v>39271</v>
      </c>
      <c r="Z9" s="154">
        <f t="shared" si="0"/>
        <v>38381</v>
      </c>
      <c r="AA9" s="154">
        <f t="shared" si="0"/>
        <v>47154</v>
      </c>
      <c r="AB9" s="154">
        <f t="shared" si="0"/>
        <v>50834</v>
      </c>
      <c r="AC9" s="154">
        <f t="shared" si="0"/>
        <v>45077</v>
      </c>
      <c r="AE9" s="154">
        <f>SUM(AE10:AE13)</f>
        <v>39037</v>
      </c>
      <c r="AF9" s="154">
        <f>SUM(AF10:AF13)</f>
        <v>37184</v>
      </c>
      <c r="AG9" s="154">
        <f>SUM(AG10:AG13)</f>
        <v>43063</v>
      </c>
      <c r="AH9" s="154">
        <f>SUM(AH10:AH13)</f>
        <v>43663</v>
      </c>
      <c r="AJ9" s="154">
        <f>SUM(AJ10:AJ13)</f>
        <v>39599</v>
      </c>
      <c r="AK9" s="154">
        <f>SUM(AK10:AK13)</f>
        <v>42109</v>
      </c>
    </row>
    <row r="10" spans="1:37" s="56" customFormat="1" ht="18" customHeight="1" outlineLevel="1" x14ac:dyDescent="0.35">
      <c r="B10" s="64" t="s">
        <v>143</v>
      </c>
      <c r="C10" s="155">
        <v>49990</v>
      </c>
      <c r="D10" s="155">
        <v>53791</v>
      </c>
      <c r="E10" s="156">
        <v>52634</v>
      </c>
      <c r="F10" s="155">
        <v>12157</v>
      </c>
      <c r="G10" s="155">
        <v>11756</v>
      </c>
      <c r="H10" s="155">
        <v>12995</v>
      </c>
      <c r="I10" s="155">
        <v>14091</v>
      </c>
      <c r="J10" s="155">
        <v>13432</v>
      </c>
      <c r="K10" s="155">
        <v>14240</v>
      </c>
      <c r="L10" s="155">
        <v>14729</v>
      </c>
      <c r="M10" s="155">
        <v>14910</v>
      </c>
      <c r="N10" s="155">
        <v>13061</v>
      </c>
      <c r="O10" s="155">
        <v>14268</v>
      </c>
      <c r="P10" s="155">
        <v>14295</v>
      </c>
      <c r="Q10" s="155">
        <v>14900</v>
      </c>
      <c r="R10" s="155">
        <v>12601</v>
      </c>
      <c r="S10" s="155">
        <v>9137</v>
      </c>
      <c r="T10" s="155">
        <v>13563</v>
      </c>
      <c r="U10" s="155">
        <v>15512</v>
      </c>
      <c r="V10" s="155">
        <v>16142</v>
      </c>
      <c r="W10" s="155">
        <v>18245</v>
      </c>
      <c r="X10" s="155">
        <v>21069</v>
      </c>
      <c r="Y10" s="155">
        <v>23614</v>
      </c>
      <c r="Z10" s="155">
        <v>23305</v>
      </c>
      <c r="AA10" s="155">
        <v>27827</v>
      </c>
      <c r="AB10" s="155">
        <v>28745</v>
      </c>
      <c r="AC10" s="155">
        <v>25799</v>
      </c>
      <c r="AE10" s="155">
        <v>22809</v>
      </c>
      <c r="AF10" s="155">
        <v>22945</v>
      </c>
      <c r="AG10" s="155">
        <v>26878</v>
      </c>
      <c r="AH10" s="155">
        <v>27154</v>
      </c>
      <c r="AJ10" s="155">
        <v>24357</v>
      </c>
      <c r="AK10" s="155">
        <v>26165</v>
      </c>
    </row>
    <row r="11" spans="1:37" s="56" customFormat="1" ht="18" customHeight="1" outlineLevel="1" x14ac:dyDescent="0.35">
      <c r="B11" s="64" t="s">
        <v>4</v>
      </c>
      <c r="C11" s="155">
        <v>48903</v>
      </c>
      <c r="D11" s="155">
        <v>43903</v>
      </c>
      <c r="E11" s="156">
        <v>34545</v>
      </c>
      <c r="F11" s="155">
        <v>8016</v>
      </c>
      <c r="G11" s="155">
        <v>7859</v>
      </c>
      <c r="H11" s="155">
        <v>8997</v>
      </c>
      <c r="I11" s="155">
        <v>9240</v>
      </c>
      <c r="J11" s="155">
        <v>9188</v>
      </c>
      <c r="K11" s="155">
        <v>9493</v>
      </c>
      <c r="L11" s="155">
        <v>11857</v>
      </c>
      <c r="M11" s="155">
        <v>10443</v>
      </c>
      <c r="N11" s="155">
        <v>9495</v>
      </c>
      <c r="O11" s="155">
        <v>9892</v>
      </c>
      <c r="P11" s="155">
        <v>10200</v>
      </c>
      <c r="Q11" s="155">
        <v>9387</v>
      </c>
      <c r="R11" s="155">
        <v>8737</v>
      </c>
      <c r="S11" s="155">
        <v>5902</v>
      </c>
      <c r="T11" s="155">
        <v>7722</v>
      </c>
      <c r="U11" s="155">
        <v>8965</v>
      </c>
      <c r="V11" s="155">
        <v>10184</v>
      </c>
      <c r="W11" s="155">
        <v>11018</v>
      </c>
      <c r="X11" s="155">
        <v>14813</v>
      </c>
      <c r="Y11" s="155">
        <v>15841</v>
      </c>
      <c r="Z11" s="155">
        <v>15198</v>
      </c>
      <c r="AA11" s="155">
        <v>19463</v>
      </c>
      <c r="AB11" s="155">
        <v>22316</v>
      </c>
      <c r="AC11" s="155">
        <v>19444</v>
      </c>
      <c r="AE11" s="155">
        <v>16403</v>
      </c>
      <c r="AF11" s="155">
        <v>14418</v>
      </c>
      <c r="AG11" s="155">
        <v>16365</v>
      </c>
      <c r="AH11" s="155">
        <v>16692</v>
      </c>
      <c r="AJ11" s="155">
        <v>15414</v>
      </c>
      <c r="AK11" s="545">
        <v>16132</v>
      </c>
    </row>
    <row r="12" spans="1:37" s="56" customFormat="1" ht="18" customHeight="1" outlineLevel="1" x14ac:dyDescent="0.35">
      <c r="B12" s="64" t="s">
        <v>501</v>
      </c>
      <c r="C12" s="157">
        <v>-17</v>
      </c>
      <c r="D12" s="157">
        <v>-2</v>
      </c>
      <c r="E12" s="157">
        <v>0</v>
      </c>
      <c r="F12" s="157">
        <v>1</v>
      </c>
      <c r="G12" s="157">
        <v>0</v>
      </c>
      <c r="H12" s="157">
        <v>0</v>
      </c>
      <c r="I12" s="157">
        <v>0</v>
      </c>
      <c r="J12" s="157">
        <v>0</v>
      </c>
      <c r="K12" s="157">
        <v>0</v>
      </c>
      <c r="L12" s="157">
        <v>0</v>
      </c>
      <c r="M12" s="157">
        <v>0</v>
      </c>
      <c r="N12" s="157">
        <v>0</v>
      </c>
      <c r="O12" s="157">
        <v>0</v>
      </c>
      <c r="P12" s="157">
        <v>0</v>
      </c>
      <c r="Q12" s="157">
        <v>0</v>
      </c>
      <c r="R12" s="157">
        <v>0</v>
      </c>
      <c r="S12" s="157">
        <v>0</v>
      </c>
      <c r="T12" s="157">
        <v>0</v>
      </c>
      <c r="U12" s="157">
        <v>0</v>
      </c>
      <c r="V12" s="157">
        <v>0</v>
      </c>
      <c r="W12" s="157">
        <v>0</v>
      </c>
      <c r="X12" s="157">
        <v>0</v>
      </c>
      <c r="Y12" s="157">
        <v>0</v>
      </c>
      <c r="Z12" s="157">
        <v>0</v>
      </c>
      <c r="AA12" s="157">
        <v>0</v>
      </c>
      <c r="AB12" s="157"/>
      <c r="AC12" s="157"/>
      <c r="AE12" s="157">
        <v>0</v>
      </c>
      <c r="AF12" s="157">
        <v>0</v>
      </c>
      <c r="AG12" s="157">
        <v>0</v>
      </c>
      <c r="AH12" s="157">
        <v>0</v>
      </c>
      <c r="AJ12" s="157">
        <v>0</v>
      </c>
      <c r="AK12" s="157">
        <v>0</v>
      </c>
    </row>
    <row r="13" spans="1:37" s="56" customFormat="1" ht="18" customHeight="1" outlineLevel="1" x14ac:dyDescent="0.35">
      <c r="B13" s="64" t="s">
        <v>502</v>
      </c>
      <c r="C13" s="155">
        <v>-348</v>
      </c>
      <c r="D13" s="155">
        <v>-412</v>
      </c>
      <c r="E13" s="156">
        <v>-542</v>
      </c>
      <c r="F13" s="155">
        <v>-125</v>
      </c>
      <c r="G13" s="155">
        <v>-140</v>
      </c>
      <c r="H13" s="155">
        <v>-153</v>
      </c>
      <c r="I13" s="156">
        <f>-545+418</f>
        <v>-127</v>
      </c>
      <c r="J13" s="155">
        <v>-121</v>
      </c>
      <c r="K13" s="155">
        <v>-136</v>
      </c>
      <c r="L13" s="155">
        <v>-131</v>
      </c>
      <c r="M13" s="156">
        <v>-134</v>
      </c>
      <c r="N13" s="155">
        <v>-124</v>
      </c>
      <c r="O13" s="155">
        <v>-115</v>
      </c>
      <c r="P13" s="155">
        <v>-135</v>
      </c>
      <c r="Q13" s="156">
        <v>-139</v>
      </c>
      <c r="R13" s="155">
        <v>-150</v>
      </c>
      <c r="S13" s="155">
        <v>-157</v>
      </c>
      <c r="T13" s="155">
        <v>-148</v>
      </c>
      <c r="U13" s="156">
        <v>-183</v>
      </c>
      <c r="V13" s="155">
        <v>-193</v>
      </c>
      <c r="W13" s="155">
        <v>-240</v>
      </c>
      <c r="X13" s="155">
        <v>-188</v>
      </c>
      <c r="Y13" s="156">
        <v>-184</v>
      </c>
      <c r="Z13" s="155">
        <v>-122</v>
      </c>
      <c r="AA13" s="155">
        <v>-136</v>
      </c>
      <c r="AB13" s="155">
        <v>-227</v>
      </c>
      <c r="AC13" s="155">
        <v>-166</v>
      </c>
      <c r="AE13" s="155">
        <v>-175</v>
      </c>
      <c r="AF13" s="155">
        <v>-179</v>
      </c>
      <c r="AG13" s="155">
        <v>-180</v>
      </c>
      <c r="AH13" s="155">
        <v>-183</v>
      </c>
      <c r="AJ13" s="155">
        <v>-172</v>
      </c>
      <c r="AK13" s="545">
        <v>-188</v>
      </c>
    </row>
    <row r="14" spans="1:37" s="56" customFormat="1" x14ac:dyDescent="0.35">
      <c r="B14" s="65" t="s">
        <v>145</v>
      </c>
      <c r="C14" s="158">
        <f t="shared" ref="C14:AC14" si="1">SUM(C15:C18)</f>
        <v>-91237</v>
      </c>
      <c r="D14" s="158">
        <f t="shared" si="1"/>
        <v>-89967</v>
      </c>
      <c r="E14" s="158">
        <f t="shared" si="1"/>
        <v>-80172</v>
      </c>
      <c r="F14" s="158">
        <f t="shared" si="1"/>
        <v>-18568</v>
      </c>
      <c r="G14" s="158">
        <f t="shared" si="1"/>
        <v>-18199</v>
      </c>
      <c r="H14" s="158">
        <f t="shared" si="1"/>
        <v>-20035</v>
      </c>
      <c r="I14" s="158">
        <f t="shared" si="1"/>
        <v>-21398</v>
      </c>
      <c r="J14" s="158">
        <f t="shared" si="1"/>
        <v>-20982</v>
      </c>
      <c r="K14" s="158">
        <f t="shared" si="1"/>
        <v>-22281</v>
      </c>
      <c r="L14" s="158">
        <f t="shared" si="1"/>
        <v>-24936</v>
      </c>
      <c r="M14" s="158">
        <f t="shared" si="1"/>
        <v>-23715</v>
      </c>
      <c r="N14" s="158">
        <f t="shared" si="1"/>
        <v>-20842</v>
      </c>
      <c r="O14" s="158">
        <f t="shared" si="1"/>
        <v>-22756</v>
      </c>
      <c r="P14" s="158">
        <f t="shared" si="1"/>
        <v>-22966</v>
      </c>
      <c r="Q14" s="158">
        <f t="shared" si="1"/>
        <v>-22463</v>
      </c>
      <c r="R14" s="158">
        <f t="shared" si="1"/>
        <v>-20242</v>
      </c>
      <c r="S14" s="158">
        <f t="shared" si="1"/>
        <v>-14286</v>
      </c>
      <c r="T14" s="158">
        <f t="shared" si="1"/>
        <v>-19751</v>
      </c>
      <c r="U14" s="158">
        <f t="shared" si="1"/>
        <v>-22765</v>
      </c>
      <c r="V14" s="158">
        <f t="shared" si="1"/>
        <v>-24260</v>
      </c>
      <c r="W14" s="158">
        <f t="shared" si="1"/>
        <v>-27750</v>
      </c>
      <c r="X14" s="158">
        <f t="shared" si="1"/>
        <v>-34161</v>
      </c>
      <c r="Y14" s="158">
        <f t="shared" si="1"/>
        <v>-37099</v>
      </c>
      <c r="Z14" s="158">
        <f t="shared" si="1"/>
        <v>-36168</v>
      </c>
      <c r="AA14" s="158">
        <f t="shared" si="1"/>
        <v>-44495</v>
      </c>
      <c r="AB14" s="158">
        <f t="shared" si="1"/>
        <v>-49782</v>
      </c>
      <c r="AC14" s="158">
        <f t="shared" si="1"/>
        <v>-43512</v>
      </c>
      <c r="AE14" s="158">
        <f>SUM(AE15:AE18)</f>
        <v>-37679</v>
      </c>
      <c r="AF14" s="158">
        <f>SUM(AF15:AF18)</f>
        <v>-35648</v>
      </c>
      <c r="AG14" s="158">
        <f>SUM(AG15:AG18)</f>
        <v>-40001</v>
      </c>
      <c r="AH14" s="158">
        <f>SUM(AH15:AH18)</f>
        <v>-41258</v>
      </c>
      <c r="AJ14" s="158">
        <f>SUM(AJ15:AJ18)</f>
        <v>-37488</v>
      </c>
      <c r="AK14" s="158">
        <f>SUM(AK15:AK18)</f>
        <v>-40097</v>
      </c>
    </row>
    <row r="15" spans="1:37" s="56" customFormat="1" ht="18.75" customHeight="1" outlineLevel="1" x14ac:dyDescent="0.35">
      <c r="B15" s="64" t="s">
        <v>144</v>
      </c>
      <c r="C15" s="155">
        <v>-46968</v>
      </c>
      <c r="D15" s="155">
        <v>-49986</v>
      </c>
      <c r="E15" s="156">
        <v>-48698</v>
      </c>
      <c r="F15" s="155">
        <v>-11273</v>
      </c>
      <c r="G15" s="155">
        <v>-11028</v>
      </c>
      <c r="H15" s="155">
        <v>-11895</v>
      </c>
      <c r="I15" s="156">
        <f>-47227+34196</f>
        <v>-13031</v>
      </c>
      <c r="J15" s="155">
        <v>-12586</v>
      </c>
      <c r="K15" s="155">
        <v>-13535</v>
      </c>
      <c r="L15" s="155">
        <v>-14018</v>
      </c>
      <c r="M15" s="156">
        <v>-14062</v>
      </c>
      <c r="N15" s="155">
        <v>-12172</v>
      </c>
      <c r="O15" s="155">
        <v>-13626</v>
      </c>
      <c r="P15" s="155">
        <v>-13549</v>
      </c>
      <c r="Q15" s="156">
        <v>-13907</v>
      </c>
      <c r="R15" s="155">
        <v>-12119</v>
      </c>
      <c r="S15" s="155">
        <v>-8836</v>
      </c>
      <c r="T15" s="155">
        <v>-12769</v>
      </c>
      <c r="U15" s="156">
        <v>-14562</v>
      </c>
      <c r="V15" s="155">
        <v>-15024</v>
      </c>
      <c r="W15" s="155">
        <v>-17521</v>
      </c>
      <c r="X15" s="155">
        <v>-20267</v>
      </c>
      <c r="Y15" s="156">
        <v>-22369</v>
      </c>
      <c r="Z15" s="155">
        <v>-22076</v>
      </c>
      <c r="AA15" s="155">
        <v>-26427</v>
      </c>
      <c r="AB15" s="155">
        <v>-28535</v>
      </c>
      <c r="AC15" s="155">
        <v>-24866</v>
      </c>
      <c r="AE15" s="155">
        <v>-21930</v>
      </c>
      <c r="AF15" s="155">
        <v>-21787</v>
      </c>
      <c r="AG15" s="155">
        <v>-24983</v>
      </c>
      <c r="AH15" s="155">
        <v>-25589</v>
      </c>
      <c r="AJ15" s="155">
        <v>-22984</v>
      </c>
      <c r="AK15" s="545">
        <v>-24979</v>
      </c>
    </row>
    <row r="16" spans="1:37" s="56" customFormat="1" ht="18.75" customHeight="1" outlineLevel="1" x14ac:dyDescent="0.35">
      <c r="B16" s="64" t="s">
        <v>5</v>
      </c>
      <c r="C16" s="155">
        <v>-44253</v>
      </c>
      <c r="D16" s="155">
        <v>-39966</v>
      </c>
      <c r="E16" s="156">
        <v>-31458</v>
      </c>
      <c r="F16" s="155">
        <v>-7287</v>
      </c>
      <c r="G16" s="155">
        <v>-7168</v>
      </c>
      <c r="H16" s="155">
        <v>-8137</v>
      </c>
      <c r="I16" s="156">
        <v>-8364</v>
      </c>
      <c r="J16" s="155">
        <v>-8393</v>
      </c>
      <c r="K16" s="155">
        <v>-8743</v>
      </c>
      <c r="L16" s="155">
        <v>-10915</v>
      </c>
      <c r="M16" s="156">
        <v>-9650</v>
      </c>
      <c r="N16" s="155">
        <v>-8667</v>
      </c>
      <c r="O16" s="155">
        <v>-9127</v>
      </c>
      <c r="P16" s="155">
        <v>-9413</v>
      </c>
      <c r="Q16" s="156">
        <v>-8554</v>
      </c>
      <c r="R16" s="155">
        <v>-8120</v>
      </c>
      <c r="S16" s="155">
        <v>-5447</v>
      </c>
      <c r="T16" s="155">
        <v>-6979</v>
      </c>
      <c r="U16" s="156">
        <v>-8212</v>
      </c>
      <c r="V16" s="155">
        <v>-9233</v>
      </c>
      <c r="W16" s="155">
        <v>-10226</v>
      </c>
      <c r="X16" s="155">
        <v>-13891</v>
      </c>
      <c r="Y16" s="156">
        <v>-14730</v>
      </c>
      <c r="Z16" s="155">
        <v>-14089</v>
      </c>
      <c r="AA16" s="155">
        <v>-18065</v>
      </c>
      <c r="AB16" s="155">
        <v>-21242</v>
      </c>
      <c r="AC16" s="155">
        <v>-18643</v>
      </c>
      <c r="AE16" s="155">
        <v>-15746</v>
      </c>
      <c r="AF16" s="155">
        <v>-13858</v>
      </c>
      <c r="AG16" s="155">
        <v>-15015</v>
      </c>
      <c r="AH16" s="155">
        <v>-15665</v>
      </c>
      <c r="AJ16" s="155">
        <v>-14501</v>
      </c>
      <c r="AK16" s="545">
        <v>-15116</v>
      </c>
    </row>
    <row r="17" spans="2:37" s="56" customFormat="1" ht="18.75" customHeight="1" outlineLevel="1" x14ac:dyDescent="0.35">
      <c r="B17" s="64" t="s">
        <v>503</v>
      </c>
      <c r="C17" s="155">
        <v>-6</v>
      </c>
      <c r="D17" s="155">
        <v>-3</v>
      </c>
      <c r="E17" s="155">
        <v>-4</v>
      </c>
      <c r="F17" s="155">
        <v>-4</v>
      </c>
      <c r="G17" s="155">
        <v>0</v>
      </c>
      <c r="H17" s="155">
        <v>0</v>
      </c>
      <c r="I17" s="155"/>
      <c r="J17" s="155">
        <v>0</v>
      </c>
      <c r="K17" s="155">
        <v>0</v>
      </c>
      <c r="L17" s="155">
        <v>0</v>
      </c>
      <c r="M17" s="155">
        <v>0</v>
      </c>
      <c r="N17" s="155">
        <v>0</v>
      </c>
      <c r="O17" s="155">
        <v>0</v>
      </c>
      <c r="P17" s="155">
        <v>0</v>
      </c>
      <c r="Q17" s="155">
        <v>0</v>
      </c>
      <c r="R17" s="155">
        <v>0</v>
      </c>
      <c r="S17" s="155">
        <v>0</v>
      </c>
      <c r="T17" s="155">
        <v>0</v>
      </c>
      <c r="U17" s="155">
        <v>0</v>
      </c>
      <c r="V17" s="155">
        <v>0</v>
      </c>
      <c r="W17" s="155">
        <v>0</v>
      </c>
      <c r="X17" s="155">
        <v>0</v>
      </c>
      <c r="Y17" s="155">
        <v>0</v>
      </c>
      <c r="Z17" s="155"/>
      <c r="AA17" s="155">
        <v>0</v>
      </c>
      <c r="AB17" s="155"/>
      <c r="AC17" s="155"/>
      <c r="AE17" s="155">
        <v>0</v>
      </c>
      <c r="AF17" s="155">
        <v>0</v>
      </c>
      <c r="AG17" s="155">
        <v>0</v>
      </c>
      <c r="AH17" s="155">
        <v>0</v>
      </c>
      <c r="AJ17" s="155">
        <v>0</v>
      </c>
      <c r="AK17" s="155">
        <v>0</v>
      </c>
    </row>
    <row r="18" spans="2:37" s="56" customFormat="1" ht="18.75" customHeight="1" outlineLevel="1" x14ac:dyDescent="0.35">
      <c r="B18" s="64" t="s">
        <v>504</v>
      </c>
      <c r="C18" s="155">
        <v>-10</v>
      </c>
      <c r="D18" s="155">
        <v>-12</v>
      </c>
      <c r="E18" s="156">
        <v>-12</v>
      </c>
      <c r="F18" s="155">
        <v>-4</v>
      </c>
      <c r="G18" s="155">
        <v>-3</v>
      </c>
      <c r="H18" s="155">
        <v>-3</v>
      </c>
      <c r="I18" s="156">
        <v>-3</v>
      </c>
      <c r="J18" s="155">
        <v>-3</v>
      </c>
      <c r="K18" s="155">
        <v>-3</v>
      </c>
      <c r="L18" s="155">
        <v>-3</v>
      </c>
      <c r="M18" s="156">
        <v>-3</v>
      </c>
      <c r="N18" s="155">
        <v>-3</v>
      </c>
      <c r="O18" s="155">
        <v>-3</v>
      </c>
      <c r="P18" s="155">
        <v>-4</v>
      </c>
      <c r="Q18" s="156">
        <v>-2</v>
      </c>
      <c r="R18" s="155">
        <v>-3</v>
      </c>
      <c r="S18" s="155">
        <v>-3</v>
      </c>
      <c r="T18" s="155">
        <v>-3</v>
      </c>
      <c r="U18" s="156">
        <v>9</v>
      </c>
      <c r="V18" s="155">
        <v>-3</v>
      </c>
      <c r="W18" s="155">
        <v>-3</v>
      </c>
      <c r="X18" s="155">
        <v>-3</v>
      </c>
      <c r="Y18" s="156">
        <v>0</v>
      </c>
      <c r="Z18" s="155">
        <v>-3</v>
      </c>
      <c r="AA18" s="155">
        <v>-3</v>
      </c>
      <c r="AB18" s="155">
        <v>-5</v>
      </c>
      <c r="AC18" s="155">
        <v>-3</v>
      </c>
      <c r="AE18" s="155">
        <v>-3</v>
      </c>
      <c r="AF18" s="155">
        <v>-3</v>
      </c>
      <c r="AG18" s="155">
        <v>-3</v>
      </c>
      <c r="AH18" s="155">
        <v>-4</v>
      </c>
      <c r="AJ18" s="155">
        <v>-3</v>
      </c>
      <c r="AK18" s="545">
        <v>-2</v>
      </c>
    </row>
    <row r="19" spans="2:37" s="56" customFormat="1" x14ac:dyDescent="0.35">
      <c r="B19" s="65" t="s">
        <v>600</v>
      </c>
      <c r="C19" s="158">
        <f t="shared" ref="C19:AC19" si="2">SUM(C20:C23)</f>
        <v>7291</v>
      </c>
      <c r="D19" s="158">
        <f t="shared" si="2"/>
        <v>7313</v>
      </c>
      <c r="E19" s="158">
        <f t="shared" si="2"/>
        <v>6465</v>
      </c>
      <c r="F19" s="158">
        <f t="shared" si="2"/>
        <v>1481</v>
      </c>
      <c r="G19" s="158">
        <f t="shared" si="2"/>
        <v>1276</v>
      </c>
      <c r="H19" s="158">
        <f t="shared" si="2"/>
        <v>1804</v>
      </c>
      <c r="I19" s="158">
        <f t="shared" si="2"/>
        <v>1806</v>
      </c>
      <c r="J19" s="158">
        <f t="shared" si="2"/>
        <v>1517</v>
      </c>
      <c r="K19" s="158">
        <f t="shared" si="2"/>
        <v>1316</v>
      </c>
      <c r="L19" s="158">
        <f t="shared" si="2"/>
        <v>1519</v>
      </c>
      <c r="M19" s="158">
        <f t="shared" si="2"/>
        <v>1504</v>
      </c>
      <c r="N19" s="158">
        <f t="shared" si="2"/>
        <v>1590</v>
      </c>
      <c r="O19" s="158">
        <f t="shared" si="2"/>
        <v>1289</v>
      </c>
      <c r="P19" s="158">
        <f t="shared" si="2"/>
        <v>1394</v>
      </c>
      <c r="Q19" s="158">
        <f t="shared" si="2"/>
        <v>1685</v>
      </c>
      <c r="R19" s="158">
        <f t="shared" si="2"/>
        <v>946</v>
      </c>
      <c r="S19" s="158">
        <f t="shared" si="2"/>
        <v>596</v>
      </c>
      <c r="T19" s="158">
        <f t="shared" si="2"/>
        <v>1386</v>
      </c>
      <c r="U19" s="158">
        <f t="shared" si="2"/>
        <v>1529</v>
      </c>
      <c r="V19" s="158">
        <f t="shared" si="2"/>
        <v>1873</v>
      </c>
      <c r="W19" s="158">
        <f t="shared" si="2"/>
        <v>1273</v>
      </c>
      <c r="X19" s="158">
        <f t="shared" si="2"/>
        <v>1533</v>
      </c>
      <c r="Y19" s="158">
        <f t="shared" si="2"/>
        <v>2172</v>
      </c>
      <c r="Z19" s="158">
        <f t="shared" si="2"/>
        <v>2213</v>
      </c>
      <c r="AA19" s="158">
        <f t="shared" si="2"/>
        <v>2659</v>
      </c>
      <c r="AB19" s="158">
        <f t="shared" si="2"/>
        <v>1052</v>
      </c>
      <c r="AC19" s="158">
        <f t="shared" si="2"/>
        <v>1565</v>
      </c>
      <c r="AE19" s="158">
        <f>SUM(AE20:AE23)</f>
        <v>1358</v>
      </c>
      <c r="AF19" s="158">
        <f>SUM(AF20:AF23)</f>
        <v>1536</v>
      </c>
      <c r="AG19" s="158">
        <f>SUM(AG20:AG23)</f>
        <v>3062</v>
      </c>
      <c r="AH19" s="158">
        <f>SUM(AH20:AH23)</f>
        <v>2405</v>
      </c>
      <c r="AJ19" s="158">
        <f>SUM(AJ20:AJ23)</f>
        <v>2111</v>
      </c>
      <c r="AK19" s="158">
        <f>SUM(AK20:AK23)</f>
        <v>2012</v>
      </c>
    </row>
    <row r="20" spans="2:37" s="129" customFormat="1" ht="18" outlineLevel="1" x14ac:dyDescent="0.4">
      <c r="B20" s="64" t="s">
        <v>146</v>
      </c>
      <c r="C20" s="155">
        <f t="shared" ref="C20:AC23" si="3">C10+C15</f>
        <v>3022</v>
      </c>
      <c r="D20" s="155">
        <f t="shared" si="3"/>
        <v>3805</v>
      </c>
      <c r="E20" s="155">
        <f t="shared" si="3"/>
        <v>3936</v>
      </c>
      <c r="F20" s="155">
        <f t="shared" si="3"/>
        <v>884</v>
      </c>
      <c r="G20" s="155">
        <f t="shared" si="3"/>
        <v>728</v>
      </c>
      <c r="H20" s="155">
        <f t="shared" si="3"/>
        <v>1100</v>
      </c>
      <c r="I20" s="155">
        <f t="shared" si="3"/>
        <v>1060</v>
      </c>
      <c r="J20" s="155">
        <f t="shared" si="3"/>
        <v>846</v>
      </c>
      <c r="K20" s="155">
        <f t="shared" si="3"/>
        <v>705</v>
      </c>
      <c r="L20" s="155">
        <f t="shared" si="3"/>
        <v>711</v>
      </c>
      <c r="M20" s="155">
        <f t="shared" si="3"/>
        <v>848</v>
      </c>
      <c r="N20" s="155">
        <f t="shared" si="3"/>
        <v>889</v>
      </c>
      <c r="O20" s="155">
        <f t="shared" si="3"/>
        <v>642</v>
      </c>
      <c r="P20" s="155">
        <f t="shared" si="3"/>
        <v>746</v>
      </c>
      <c r="Q20" s="155">
        <f t="shared" si="3"/>
        <v>993</v>
      </c>
      <c r="R20" s="155">
        <f t="shared" si="3"/>
        <v>482</v>
      </c>
      <c r="S20" s="155">
        <f t="shared" si="3"/>
        <v>301</v>
      </c>
      <c r="T20" s="155">
        <f t="shared" si="3"/>
        <v>794</v>
      </c>
      <c r="U20" s="155">
        <f t="shared" si="3"/>
        <v>950</v>
      </c>
      <c r="V20" s="155">
        <f t="shared" si="3"/>
        <v>1118</v>
      </c>
      <c r="W20" s="155">
        <f t="shared" si="3"/>
        <v>724</v>
      </c>
      <c r="X20" s="155">
        <f t="shared" si="3"/>
        <v>802</v>
      </c>
      <c r="Y20" s="155">
        <f t="shared" si="3"/>
        <v>1245</v>
      </c>
      <c r="Z20" s="155">
        <f t="shared" si="3"/>
        <v>1229</v>
      </c>
      <c r="AA20" s="155">
        <f t="shared" si="3"/>
        <v>1400</v>
      </c>
      <c r="AB20" s="155">
        <f t="shared" si="3"/>
        <v>210</v>
      </c>
      <c r="AC20" s="155">
        <f t="shared" si="3"/>
        <v>933</v>
      </c>
      <c r="AD20" s="56"/>
      <c r="AE20" s="155">
        <f t="shared" ref="AE20:AH23" si="4">AE10+AE15</f>
        <v>879</v>
      </c>
      <c r="AF20" s="155">
        <f t="shared" si="4"/>
        <v>1158</v>
      </c>
      <c r="AG20" s="155">
        <f t="shared" si="4"/>
        <v>1895</v>
      </c>
      <c r="AH20" s="155">
        <f t="shared" si="4"/>
        <v>1565</v>
      </c>
      <c r="AJ20" s="155">
        <f t="shared" ref="AJ20:AJ23" si="5">AJ10+AJ15</f>
        <v>1373</v>
      </c>
      <c r="AK20" s="545">
        <v>1186</v>
      </c>
    </row>
    <row r="21" spans="2:37" s="129" customFormat="1" ht="18" outlineLevel="1" x14ac:dyDescent="0.4">
      <c r="B21" s="64" t="s">
        <v>6</v>
      </c>
      <c r="C21" s="155">
        <f t="shared" si="3"/>
        <v>4650</v>
      </c>
      <c r="D21" s="155">
        <f t="shared" si="3"/>
        <v>3937</v>
      </c>
      <c r="E21" s="155">
        <f t="shared" si="3"/>
        <v>3087</v>
      </c>
      <c r="F21" s="155">
        <f t="shared" si="3"/>
        <v>729</v>
      </c>
      <c r="G21" s="155">
        <f t="shared" si="3"/>
        <v>691</v>
      </c>
      <c r="H21" s="155">
        <f t="shared" si="3"/>
        <v>860</v>
      </c>
      <c r="I21" s="155">
        <f t="shared" si="3"/>
        <v>876</v>
      </c>
      <c r="J21" s="155">
        <f t="shared" si="3"/>
        <v>795</v>
      </c>
      <c r="K21" s="155">
        <f t="shared" si="3"/>
        <v>750</v>
      </c>
      <c r="L21" s="155">
        <f t="shared" si="3"/>
        <v>942</v>
      </c>
      <c r="M21" s="155">
        <f t="shared" si="3"/>
        <v>793</v>
      </c>
      <c r="N21" s="155">
        <f t="shared" si="3"/>
        <v>828</v>
      </c>
      <c r="O21" s="155">
        <f t="shared" si="3"/>
        <v>765</v>
      </c>
      <c r="P21" s="155">
        <f t="shared" si="3"/>
        <v>787</v>
      </c>
      <c r="Q21" s="155">
        <f t="shared" si="3"/>
        <v>833</v>
      </c>
      <c r="R21" s="155">
        <f t="shared" si="3"/>
        <v>617</v>
      </c>
      <c r="S21" s="155">
        <f t="shared" si="3"/>
        <v>455</v>
      </c>
      <c r="T21" s="155">
        <f t="shared" si="3"/>
        <v>743</v>
      </c>
      <c r="U21" s="155">
        <f t="shared" si="3"/>
        <v>753</v>
      </c>
      <c r="V21" s="155">
        <f t="shared" si="3"/>
        <v>951</v>
      </c>
      <c r="W21" s="155">
        <f t="shared" si="3"/>
        <v>792</v>
      </c>
      <c r="X21" s="155">
        <f t="shared" si="3"/>
        <v>922</v>
      </c>
      <c r="Y21" s="155">
        <f t="shared" si="3"/>
        <v>1111</v>
      </c>
      <c r="Z21" s="155">
        <f t="shared" si="3"/>
        <v>1109</v>
      </c>
      <c r="AA21" s="155">
        <f t="shared" si="3"/>
        <v>1398</v>
      </c>
      <c r="AB21" s="155">
        <f t="shared" si="3"/>
        <v>1074</v>
      </c>
      <c r="AC21" s="155">
        <f t="shared" si="3"/>
        <v>801</v>
      </c>
      <c r="AD21" s="56"/>
      <c r="AE21" s="155">
        <f t="shared" si="4"/>
        <v>657</v>
      </c>
      <c r="AF21" s="155">
        <f t="shared" si="4"/>
        <v>560</v>
      </c>
      <c r="AG21" s="155">
        <f t="shared" si="4"/>
        <v>1350</v>
      </c>
      <c r="AH21" s="155">
        <f t="shared" si="4"/>
        <v>1027</v>
      </c>
      <c r="AJ21" s="155">
        <f t="shared" si="5"/>
        <v>913</v>
      </c>
      <c r="AK21" s="545">
        <v>1016</v>
      </c>
    </row>
    <row r="22" spans="2:37" s="129" customFormat="1" ht="18" outlineLevel="1" x14ac:dyDescent="0.4">
      <c r="B22" s="64" t="s">
        <v>505</v>
      </c>
      <c r="C22" s="155">
        <f t="shared" si="3"/>
        <v>-23</v>
      </c>
      <c r="D22" s="155">
        <f t="shared" si="3"/>
        <v>-5</v>
      </c>
      <c r="E22" s="155">
        <f t="shared" si="3"/>
        <v>-4</v>
      </c>
      <c r="F22" s="155">
        <f t="shared" si="3"/>
        <v>-3</v>
      </c>
      <c r="G22" s="155">
        <f t="shared" si="3"/>
        <v>0</v>
      </c>
      <c r="H22" s="155">
        <f t="shared" si="3"/>
        <v>0</v>
      </c>
      <c r="I22" s="155">
        <f t="shared" si="3"/>
        <v>0</v>
      </c>
      <c r="J22" s="155">
        <f t="shared" si="3"/>
        <v>0</v>
      </c>
      <c r="K22" s="155">
        <f t="shared" si="3"/>
        <v>0</v>
      </c>
      <c r="L22" s="155">
        <f t="shared" si="3"/>
        <v>0</v>
      </c>
      <c r="M22" s="155">
        <f t="shared" si="3"/>
        <v>0</v>
      </c>
      <c r="N22" s="155">
        <f t="shared" si="3"/>
        <v>0</v>
      </c>
      <c r="O22" s="155">
        <f t="shared" si="3"/>
        <v>0</v>
      </c>
      <c r="P22" s="155">
        <f t="shared" si="3"/>
        <v>0</v>
      </c>
      <c r="Q22" s="155">
        <f t="shared" si="3"/>
        <v>0</v>
      </c>
      <c r="R22" s="155">
        <f t="shared" si="3"/>
        <v>0</v>
      </c>
      <c r="S22" s="155">
        <f t="shared" si="3"/>
        <v>0</v>
      </c>
      <c r="T22" s="155">
        <f t="shared" si="3"/>
        <v>0</v>
      </c>
      <c r="U22" s="155">
        <f t="shared" si="3"/>
        <v>0</v>
      </c>
      <c r="V22" s="155">
        <f t="shared" si="3"/>
        <v>0</v>
      </c>
      <c r="W22" s="155">
        <f t="shared" si="3"/>
        <v>0</v>
      </c>
      <c r="X22" s="155">
        <f t="shared" si="3"/>
        <v>0</v>
      </c>
      <c r="Y22" s="155">
        <f t="shared" si="3"/>
        <v>0</v>
      </c>
      <c r="Z22" s="155">
        <f t="shared" si="3"/>
        <v>0</v>
      </c>
      <c r="AA22" s="155">
        <f t="shared" si="3"/>
        <v>0</v>
      </c>
      <c r="AB22" s="155">
        <f t="shared" si="3"/>
        <v>0</v>
      </c>
      <c r="AC22" s="155">
        <f t="shared" si="3"/>
        <v>0</v>
      </c>
      <c r="AD22" s="56"/>
      <c r="AE22" s="155">
        <f t="shared" si="4"/>
        <v>0</v>
      </c>
      <c r="AF22" s="155">
        <f t="shared" si="4"/>
        <v>0</v>
      </c>
      <c r="AG22" s="155">
        <f t="shared" si="4"/>
        <v>0</v>
      </c>
      <c r="AH22" s="155">
        <f t="shared" si="4"/>
        <v>0</v>
      </c>
      <c r="AJ22" s="155">
        <f t="shared" si="5"/>
        <v>0</v>
      </c>
      <c r="AK22" s="155">
        <f>AK12+AK17</f>
        <v>0</v>
      </c>
    </row>
    <row r="23" spans="2:37" s="129" customFormat="1" ht="18" outlineLevel="1" x14ac:dyDescent="0.4">
      <c r="B23" s="64" t="s">
        <v>506</v>
      </c>
      <c r="C23" s="155">
        <f t="shared" si="3"/>
        <v>-358</v>
      </c>
      <c r="D23" s="155">
        <f t="shared" si="3"/>
        <v>-424</v>
      </c>
      <c r="E23" s="155">
        <f t="shared" si="3"/>
        <v>-554</v>
      </c>
      <c r="F23" s="155">
        <f t="shared" si="3"/>
        <v>-129</v>
      </c>
      <c r="G23" s="155">
        <f t="shared" si="3"/>
        <v>-143</v>
      </c>
      <c r="H23" s="155">
        <f t="shared" si="3"/>
        <v>-156</v>
      </c>
      <c r="I23" s="155">
        <f t="shared" si="3"/>
        <v>-130</v>
      </c>
      <c r="J23" s="155">
        <f t="shared" si="3"/>
        <v>-124</v>
      </c>
      <c r="K23" s="155">
        <f t="shared" si="3"/>
        <v>-139</v>
      </c>
      <c r="L23" s="155">
        <f t="shared" si="3"/>
        <v>-134</v>
      </c>
      <c r="M23" s="155">
        <f t="shared" si="3"/>
        <v>-137</v>
      </c>
      <c r="N23" s="155">
        <f t="shared" si="3"/>
        <v>-127</v>
      </c>
      <c r="O23" s="155">
        <f t="shared" si="3"/>
        <v>-118</v>
      </c>
      <c r="P23" s="155">
        <f t="shared" si="3"/>
        <v>-139</v>
      </c>
      <c r="Q23" s="155">
        <f t="shared" si="3"/>
        <v>-141</v>
      </c>
      <c r="R23" s="155">
        <f t="shared" si="3"/>
        <v>-153</v>
      </c>
      <c r="S23" s="155">
        <f t="shared" si="3"/>
        <v>-160</v>
      </c>
      <c r="T23" s="155">
        <f t="shared" si="3"/>
        <v>-151</v>
      </c>
      <c r="U23" s="155">
        <f t="shared" si="3"/>
        <v>-174</v>
      </c>
      <c r="V23" s="155">
        <f t="shared" si="3"/>
        <v>-196</v>
      </c>
      <c r="W23" s="155">
        <f t="shared" si="3"/>
        <v>-243</v>
      </c>
      <c r="X23" s="155">
        <f t="shared" si="3"/>
        <v>-191</v>
      </c>
      <c r="Y23" s="155">
        <f t="shared" si="3"/>
        <v>-184</v>
      </c>
      <c r="Z23" s="155">
        <f t="shared" si="3"/>
        <v>-125</v>
      </c>
      <c r="AA23" s="155">
        <f t="shared" si="3"/>
        <v>-139</v>
      </c>
      <c r="AB23" s="155">
        <f t="shared" si="3"/>
        <v>-232</v>
      </c>
      <c r="AC23" s="155">
        <f t="shared" si="3"/>
        <v>-169</v>
      </c>
      <c r="AD23" s="56"/>
      <c r="AE23" s="155">
        <f t="shared" si="4"/>
        <v>-178</v>
      </c>
      <c r="AF23" s="155">
        <f t="shared" si="4"/>
        <v>-182</v>
      </c>
      <c r="AG23" s="155">
        <f t="shared" si="4"/>
        <v>-183</v>
      </c>
      <c r="AH23" s="155">
        <f t="shared" si="4"/>
        <v>-187</v>
      </c>
      <c r="AJ23" s="155">
        <f t="shared" si="5"/>
        <v>-175</v>
      </c>
      <c r="AK23" s="545">
        <v>-190</v>
      </c>
    </row>
    <row r="24" spans="2:37" s="56" customFormat="1" x14ac:dyDescent="0.35">
      <c r="B24" s="65" t="s">
        <v>158</v>
      </c>
      <c r="C24" s="158">
        <f t="shared" ref="C24:AC24" si="6">C25+C30+C35</f>
        <v>-6033</v>
      </c>
      <c r="D24" s="158">
        <f t="shared" si="6"/>
        <v>-8952</v>
      </c>
      <c r="E24" s="158">
        <f t="shared" si="6"/>
        <v>-6479</v>
      </c>
      <c r="F24" s="158">
        <f t="shared" si="6"/>
        <v>-1055</v>
      </c>
      <c r="G24" s="158">
        <f t="shared" si="6"/>
        <v>-1047</v>
      </c>
      <c r="H24" s="158">
        <f t="shared" si="6"/>
        <v>-971</v>
      </c>
      <c r="I24" s="158">
        <f t="shared" si="6"/>
        <v>-1170</v>
      </c>
      <c r="J24" s="158">
        <f t="shared" si="6"/>
        <v>-1060</v>
      </c>
      <c r="K24" s="158">
        <f t="shared" si="6"/>
        <v>-1142</v>
      </c>
      <c r="L24" s="158">
        <f t="shared" si="6"/>
        <v>-97</v>
      </c>
      <c r="M24" s="158">
        <f t="shared" si="6"/>
        <v>-1170</v>
      </c>
      <c r="N24" s="158">
        <f t="shared" si="6"/>
        <v>-1102</v>
      </c>
      <c r="O24" s="158">
        <f t="shared" si="6"/>
        <v>-989</v>
      </c>
      <c r="P24" s="158">
        <f t="shared" si="6"/>
        <v>-897</v>
      </c>
      <c r="Q24" s="158">
        <f t="shared" si="6"/>
        <v>-1654</v>
      </c>
      <c r="R24" s="158">
        <f t="shared" si="6"/>
        <v>-445</v>
      </c>
      <c r="S24" s="158">
        <f t="shared" si="6"/>
        <v>-340</v>
      </c>
      <c r="T24" s="158">
        <f t="shared" si="6"/>
        <v>-861</v>
      </c>
      <c r="U24" s="158">
        <f t="shared" si="6"/>
        <v>1746</v>
      </c>
      <c r="V24" s="158">
        <f t="shared" si="6"/>
        <v>-1003</v>
      </c>
      <c r="W24" s="158">
        <f t="shared" si="6"/>
        <v>-600</v>
      </c>
      <c r="X24" s="158">
        <f t="shared" si="6"/>
        <v>-1110</v>
      </c>
      <c r="Y24" s="158">
        <f t="shared" si="6"/>
        <v>-1644</v>
      </c>
      <c r="Z24" s="158">
        <f t="shared" si="6"/>
        <v>-1239</v>
      </c>
      <c r="AA24" s="158">
        <f t="shared" si="6"/>
        <v>-994</v>
      </c>
      <c r="AB24" s="158">
        <f t="shared" si="6"/>
        <v>-804</v>
      </c>
      <c r="AC24" s="158">
        <f t="shared" si="6"/>
        <v>-487</v>
      </c>
      <c r="AE24" s="158">
        <f>AE25+AE30+AE35</f>
        <v>-929</v>
      </c>
      <c r="AF24" s="158">
        <f>AF25+AF30+AF35</f>
        <v>-986</v>
      </c>
      <c r="AG24" s="158">
        <f>AG25+AG30+AG35</f>
        <v>-930</v>
      </c>
      <c r="AH24" s="158">
        <f>AH25+AH30+AH35</f>
        <v>2063</v>
      </c>
      <c r="AJ24" s="158">
        <f>AJ25+AJ30+AJ35</f>
        <v>-482</v>
      </c>
      <c r="AK24" s="158">
        <f>AK25+AK30+AK35</f>
        <v>-870</v>
      </c>
    </row>
    <row r="25" spans="2:37" s="151" customFormat="1" ht="18.75" customHeight="1" x14ac:dyDescent="0.4">
      <c r="B25" s="125" t="s">
        <v>156</v>
      </c>
      <c r="C25" s="159">
        <f t="shared" ref="C25:AC25" si="7">SUM(C26:C29)</f>
        <v>-5272</v>
      </c>
      <c r="D25" s="159">
        <f t="shared" si="7"/>
        <v>-7274</v>
      </c>
      <c r="E25" s="159">
        <f t="shared" si="7"/>
        <v>-4673</v>
      </c>
      <c r="F25" s="159">
        <f t="shared" si="7"/>
        <v>-908</v>
      </c>
      <c r="G25" s="159">
        <f t="shared" si="7"/>
        <v>-965</v>
      </c>
      <c r="H25" s="159">
        <f t="shared" si="7"/>
        <v>-955</v>
      </c>
      <c r="I25" s="159">
        <f t="shared" si="7"/>
        <v>-959</v>
      </c>
      <c r="J25" s="159">
        <f t="shared" si="7"/>
        <v>-898</v>
      </c>
      <c r="K25" s="159">
        <f t="shared" si="7"/>
        <v>-958</v>
      </c>
      <c r="L25" s="159">
        <f t="shared" si="7"/>
        <v>-970</v>
      </c>
      <c r="M25" s="159">
        <f t="shared" si="7"/>
        <v>-887</v>
      </c>
      <c r="N25" s="159">
        <f t="shared" si="7"/>
        <v>-928</v>
      </c>
      <c r="O25" s="159">
        <f t="shared" si="7"/>
        <v>-912</v>
      </c>
      <c r="P25" s="159">
        <f t="shared" si="7"/>
        <v>-933</v>
      </c>
      <c r="Q25" s="159">
        <f t="shared" si="7"/>
        <v>-1112</v>
      </c>
      <c r="R25" s="159">
        <f t="shared" si="7"/>
        <v>-768</v>
      </c>
      <c r="S25" s="159">
        <f t="shared" si="7"/>
        <v>-723</v>
      </c>
      <c r="T25" s="159">
        <f t="shared" si="7"/>
        <v>-683</v>
      </c>
      <c r="U25" s="159">
        <f t="shared" si="7"/>
        <v>-575</v>
      </c>
      <c r="V25" s="159">
        <f t="shared" si="7"/>
        <v>-878</v>
      </c>
      <c r="W25" s="159">
        <f t="shared" si="7"/>
        <v>-743</v>
      </c>
      <c r="X25" s="159">
        <f t="shared" si="7"/>
        <v>-866</v>
      </c>
      <c r="Y25" s="159">
        <f t="shared" si="7"/>
        <v>-810</v>
      </c>
      <c r="Z25" s="159">
        <f t="shared" si="7"/>
        <v>-740</v>
      </c>
      <c r="AA25" s="159">
        <f t="shared" si="7"/>
        <v>-811</v>
      </c>
      <c r="AB25" s="159">
        <f t="shared" si="7"/>
        <v>-935</v>
      </c>
      <c r="AC25" s="159">
        <f t="shared" si="7"/>
        <v>-895</v>
      </c>
      <c r="AD25" s="129"/>
      <c r="AE25" s="159">
        <f>SUM(AE26:AE29)</f>
        <v>-877</v>
      </c>
      <c r="AF25" s="159">
        <f>SUM(AF26:AF29)</f>
        <v>-867</v>
      </c>
      <c r="AG25" s="159">
        <f>SUM(AG26:AG29)</f>
        <v>-926</v>
      </c>
      <c r="AH25" s="159">
        <f>SUM(AH26:AH29)</f>
        <v>-907</v>
      </c>
      <c r="AJ25" s="159">
        <f>SUM(AJ26:AJ29)</f>
        <v>-890</v>
      </c>
      <c r="AK25" s="159">
        <f>SUM(AK26:AK29)</f>
        <v>-882</v>
      </c>
    </row>
    <row r="26" spans="2:37" s="56" customFormat="1" ht="18.75" customHeight="1" outlineLevel="1" x14ac:dyDescent="0.4">
      <c r="B26" s="126" t="s">
        <v>157</v>
      </c>
      <c r="C26" s="155">
        <v>-1518</v>
      </c>
      <c r="D26" s="155">
        <v>-1631</v>
      </c>
      <c r="E26" s="156">
        <v>-1617</v>
      </c>
      <c r="F26" s="155">
        <v>-396</v>
      </c>
      <c r="G26" s="155">
        <v>-419</v>
      </c>
      <c r="H26" s="155">
        <v>-416</v>
      </c>
      <c r="I26" s="160">
        <f>-1624+1231</f>
        <v>-393</v>
      </c>
      <c r="J26" s="157">
        <v>-396</v>
      </c>
      <c r="K26" s="157">
        <v>-395</v>
      </c>
      <c r="L26" s="157">
        <v>-462</v>
      </c>
      <c r="M26" s="160">
        <v>-421</v>
      </c>
      <c r="N26" s="157">
        <v>-389</v>
      </c>
      <c r="O26" s="157">
        <v>-383</v>
      </c>
      <c r="P26" s="157">
        <v>-385</v>
      </c>
      <c r="Q26" s="160">
        <v>-366</v>
      </c>
      <c r="R26" s="157">
        <v>-294</v>
      </c>
      <c r="S26" s="157">
        <v>-243</v>
      </c>
      <c r="T26" s="157">
        <v>-279</v>
      </c>
      <c r="U26" s="160">
        <v>-264</v>
      </c>
      <c r="V26" s="157">
        <v>-239</v>
      </c>
      <c r="W26" s="157">
        <v>-253</v>
      </c>
      <c r="X26" s="157">
        <v>-281</v>
      </c>
      <c r="Y26" s="160">
        <v>-304</v>
      </c>
      <c r="Z26" s="157">
        <v>-257</v>
      </c>
      <c r="AA26" s="157">
        <v>-278</v>
      </c>
      <c r="AB26" s="157">
        <v>-312</v>
      </c>
      <c r="AC26" s="157">
        <v>-307</v>
      </c>
      <c r="AD26" s="129"/>
      <c r="AE26" s="157">
        <v>-294</v>
      </c>
      <c r="AF26" s="157">
        <v>-316</v>
      </c>
      <c r="AG26" s="157">
        <v>-329</v>
      </c>
      <c r="AH26" s="157">
        <v>-303</v>
      </c>
      <c r="AJ26" s="157">
        <v>-318</v>
      </c>
      <c r="AK26" s="544">
        <v>-298</v>
      </c>
    </row>
    <row r="27" spans="2:37" s="56" customFormat="1" ht="18.75" customHeight="1" outlineLevel="1" x14ac:dyDescent="0.4">
      <c r="B27" s="126" t="s">
        <v>15</v>
      </c>
      <c r="C27" s="155">
        <v>-2049</v>
      </c>
      <c r="D27" s="155">
        <v>-2124</v>
      </c>
      <c r="E27" s="156">
        <v>-1975</v>
      </c>
      <c r="F27" s="155">
        <v>-451</v>
      </c>
      <c r="G27" s="155">
        <v>-426</v>
      </c>
      <c r="H27" s="155">
        <v>-412</v>
      </c>
      <c r="I27" s="160">
        <v>-441</v>
      </c>
      <c r="J27" s="157">
        <v>-358</v>
      </c>
      <c r="K27" s="157">
        <v>-414</v>
      </c>
      <c r="L27" s="157">
        <v>-386</v>
      </c>
      <c r="M27" s="160">
        <v>-435</v>
      </c>
      <c r="N27" s="157">
        <v>-382</v>
      </c>
      <c r="O27" s="157">
        <v>-371</v>
      </c>
      <c r="P27" s="157">
        <v>-369</v>
      </c>
      <c r="Q27" s="160">
        <v>-377</v>
      </c>
      <c r="R27" s="157">
        <v>-327</v>
      </c>
      <c r="S27" s="157">
        <v>-337</v>
      </c>
      <c r="T27" s="157">
        <v>-301</v>
      </c>
      <c r="U27" s="160">
        <v>-302</v>
      </c>
      <c r="V27" s="157">
        <v>-481</v>
      </c>
      <c r="W27" s="157">
        <v>-292</v>
      </c>
      <c r="X27" s="157">
        <v>-292</v>
      </c>
      <c r="Y27" s="160">
        <v>-385</v>
      </c>
      <c r="Z27" s="157">
        <v>-306</v>
      </c>
      <c r="AA27" s="157">
        <v>-368</v>
      </c>
      <c r="AB27" s="157">
        <v>-419</v>
      </c>
      <c r="AC27" s="157">
        <v>-402</v>
      </c>
      <c r="AD27" s="129"/>
      <c r="AE27" s="157">
        <v>-378</v>
      </c>
      <c r="AF27" s="157">
        <v>-386</v>
      </c>
      <c r="AG27" s="157">
        <v>-421</v>
      </c>
      <c r="AH27" s="157">
        <v>-403</v>
      </c>
      <c r="AJ27" s="157">
        <v>-394</v>
      </c>
      <c r="AK27" s="544">
        <v>-393</v>
      </c>
    </row>
    <row r="28" spans="2:37" s="56" customFormat="1" ht="18.75" customHeight="1" outlineLevel="1" x14ac:dyDescent="0.4">
      <c r="B28" s="126" t="s">
        <v>507</v>
      </c>
      <c r="C28" s="155">
        <v>-216</v>
      </c>
      <c r="D28" s="155">
        <v>-197</v>
      </c>
      <c r="E28" s="156">
        <v>-228</v>
      </c>
      <c r="F28" s="155">
        <v>-41</v>
      </c>
      <c r="G28" s="155">
        <v>-36</v>
      </c>
      <c r="H28" s="155">
        <v>-43</v>
      </c>
      <c r="I28" s="160">
        <v>-29</v>
      </c>
      <c r="J28" s="157">
        <v>-60</v>
      </c>
      <c r="K28" s="157">
        <v>-45</v>
      </c>
      <c r="L28" s="157">
        <v>-28</v>
      </c>
      <c r="M28" s="160">
        <v>-28</v>
      </c>
      <c r="N28" s="157">
        <v>-39</v>
      </c>
      <c r="O28" s="157">
        <v>-38</v>
      </c>
      <c r="P28" s="157">
        <v>-57</v>
      </c>
      <c r="Q28" s="160">
        <v>-41</v>
      </c>
      <c r="R28" s="157">
        <v>-15</v>
      </c>
      <c r="S28" s="157">
        <v>-11</v>
      </c>
      <c r="T28" s="157">
        <v>26</v>
      </c>
      <c r="U28" s="160">
        <v>-71</v>
      </c>
      <c r="V28" s="157">
        <v>-23</v>
      </c>
      <c r="W28" s="157">
        <v>-62</v>
      </c>
      <c r="X28" s="157">
        <v>-150</v>
      </c>
      <c r="Y28" s="160">
        <v>-46</v>
      </c>
      <c r="Z28" s="157">
        <v>-41</v>
      </c>
      <c r="AA28" s="157">
        <v>-33</v>
      </c>
      <c r="AB28" s="157">
        <v>-52</v>
      </c>
      <c r="AC28" s="157">
        <v>-54</v>
      </c>
      <c r="AD28" s="129"/>
      <c r="AE28" s="157">
        <v>-70</v>
      </c>
      <c r="AF28" s="157">
        <v>-32</v>
      </c>
      <c r="AG28" s="157">
        <v>-40</v>
      </c>
      <c r="AH28" s="157">
        <v>-62</v>
      </c>
      <c r="AJ28" s="157">
        <v>-37</v>
      </c>
      <c r="AK28" s="544">
        <v>-59</v>
      </c>
    </row>
    <row r="29" spans="2:37" s="56" customFormat="1" ht="18.75" customHeight="1" outlineLevel="1" x14ac:dyDescent="0.4">
      <c r="B29" s="126" t="s">
        <v>508</v>
      </c>
      <c r="C29" s="155">
        <v>-1489</v>
      </c>
      <c r="D29" s="155">
        <v>-3322</v>
      </c>
      <c r="E29" s="156">
        <v>-853</v>
      </c>
      <c r="F29" s="155">
        <v>-20</v>
      </c>
      <c r="G29" s="155">
        <v>-84</v>
      </c>
      <c r="H29" s="155">
        <v>-84</v>
      </c>
      <c r="I29" s="160">
        <v>-96</v>
      </c>
      <c r="J29" s="157">
        <v>-84</v>
      </c>
      <c r="K29" s="157">
        <v>-104</v>
      </c>
      <c r="L29" s="157">
        <v>-94</v>
      </c>
      <c r="M29" s="160">
        <v>-3</v>
      </c>
      <c r="N29" s="157">
        <v>-118</v>
      </c>
      <c r="O29" s="157">
        <v>-120</v>
      </c>
      <c r="P29" s="157">
        <v>-122</v>
      </c>
      <c r="Q29" s="160">
        <v>-328</v>
      </c>
      <c r="R29" s="157">
        <v>-132</v>
      </c>
      <c r="S29" s="157">
        <v>-132</v>
      </c>
      <c r="T29" s="157">
        <v>-129</v>
      </c>
      <c r="U29" s="160">
        <v>62</v>
      </c>
      <c r="V29" s="157">
        <v>-135</v>
      </c>
      <c r="W29" s="157">
        <v>-136</v>
      </c>
      <c r="X29" s="157">
        <v>-143</v>
      </c>
      <c r="Y29" s="160">
        <v>-75</v>
      </c>
      <c r="Z29" s="157">
        <v>-136</v>
      </c>
      <c r="AA29" s="157">
        <v>-132</v>
      </c>
      <c r="AB29" s="157">
        <v>-152</v>
      </c>
      <c r="AC29" s="157">
        <v>-132</v>
      </c>
      <c r="AD29" s="129"/>
      <c r="AE29" s="157">
        <v>-135</v>
      </c>
      <c r="AF29" s="157">
        <v>-133</v>
      </c>
      <c r="AG29" s="157">
        <v>-136</v>
      </c>
      <c r="AH29" s="157">
        <v>-139</v>
      </c>
      <c r="AJ29" s="157">
        <v>-141</v>
      </c>
      <c r="AK29" s="544">
        <v>-132</v>
      </c>
    </row>
    <row r="30" spans="2:37" s="151" customFormat="1" ht="18.75" customHeight="1" x14ac:dyDescent="0.4">
      <c r="B30" s="125" t="s">
        <v>154</v>
      </c>
      <c r="C30" s="159">
        <f t="shared" ref="C30:AC30" si="8">SUM(C31:C34)</f>
        <v>-160</v>
      </c>
      <c r="D30" s="159">
        <f t="shared" si="8"/>
        <v>-208</v>
      </c>
      <c r="E30" s="159">
        <f t="shared" si="8"/>
        <v>-137</v>
      </c>
      <c r="F30" s="159">
        <f t="shared" si="8"/>
        <v>-37</v>
      </c>
      <c r="G30" s="159">
        <f t="shared" si="8"/>
        <v>-25</v>
      </c>
      <c r="H30" s="159">
        <f t="shared" si="8"/>
        <v>-92</v>
      </c>
      <c r="I30" s="159">
        <f t="shared" si="8"/>
        <v>-18</v>
      </c>
      <c r="J30" s="159">
        <f t="shared" si="8"/>
        <v>-27</v>
      </c>
      <c r="K30" s="159">
        <f t="shared" si="8"/>
        <v>-22</v>
      </c>
      <c r="L30" s="159">
        <f t="shared" si="8"/>
        <v>-209</v>
      </c>
      <c r="M30" s="159">
        <f t="shared" si="8"/>
        <v>-57</v>
      </c>
      <c r="N30" s="159">
        <f t="shared" si="8"/>
        <v>-37</v>
      </c>
      <c r="O30" s="159">
        <f t="shared" si="8"/>
        <v>-13</v>
      </c>
      <c r="P30" s="159">
        <f t="shared" si="8"/>
        <v>-36</v>
      </c>
      <c r="Q30" s="159">
        <f t="shared" si="8"/>
        <v>-22</v>
      </c>
      <c r="R30" s="159">
        <f t="shared" si="8"/>
        <v>-41</v>
      </c>
      <c r="S30" s="159">
        <f t="shared" si="8"/>
        <v>-17</v>
      </c>
      <c r="T30" s="159">
        <f t="shared" si="8"/>
        <v>-58</v>
      </c>
      <c r="U30" s="159">
        <f t="shared" si="8"/>
        <v>-31</v>
      </c>
      <c r="V30" s="159">
        <f t="shared" si="8"/>
        <v>-65</v>
      </c>
      <c r="W30" s="159">
        <f t="shared" si="8"/>
        <v>-22</v>
      </c>
      <c r="X30" s="159">
        <f t="shared" si="8"/>
        <v>-224</v>
      </c>
      <c r="Y30" s="159">
        <f t="shared" si="8"/>
        <v>-34</v>
      </c>
      <c r="Z30" s="159">
        <f t="shared" si="8"/>
        <v>-35</v>
      </c>
      <c r="AA30" s="159">
        <f t="shared" si="8"/>
        <v>-16</v>
      </c>
      <c r="AB30" s="159">
        <f t="shared" si="8"/>
        <v>-14</v>
      </c>
      <c r="AC30" s="159">
        <f t="shared" si="8"/>
        <v>-35</v>
      </c>
      <c r="AD30" s="129"/>
      <c r="AE30" s="159">
        <f>SUM(AE31:AE34)</f>
        <v>-29</v>
      </c>
      <c r="AF30" s="159">
        <f>SUM(AF31:AF34)</f>
        <v>-20</v>
      </c>
      <c r="AG30" s="159">
        <f>SUM(AG31:AG34)</f>
        <v>-23</v>
      </c>
      <c r="AH30" s="159">
        <f>SUM(AH31:AH34)</f>
        <v>-67</v>
      </c>
      <c r="AJ30" s="159">
        <f>SUM(AJ31:AJ34)</f>
        <v>-35</v>
      </c>
      <c r="AK30" s="546">
        <v>-25</v>
      </c>
    </row>
    <row r="31" spans="2:37" s="56" customFormat="1" ht="18.75" customHeight="1" outlineLevel="1" x14ac:dyDescent="0.4">
      <c r="B31" s="126" t="s">
        <v>155</v>
      </c>
      <c r="C31" s="155">
        <v>-4</v>
      </c>
      <c r="D31" s="155">
        <v>-4</v>
      </c>
      <c r="E31" s="156">
        <v>-6</v>
      </c>
      <c r="F31" s="155">
        <v>-7</v>
      </c>
      <c r="G31" s="155">
        <v>0</v>
      </c>
      <c r="H31" s="155">
        <v>2</v>
      </c>
      <c r="I31" s="160">
        <v>0</v>
      </c>
      <c r="J31" s="157">
        <v>-4</v>
      </c>
      <c r="K31" s="157">
        <v>-2</v>
      </c>
      <c r="L31" s="157">
        <v>2</v>
      </c>
      <c r="M31" s="160">
        <v>0</v>
      </c>
      <c r="N31" s="157">
        <v>-10</v>
      </c>
      <c r="O31" s="157">
        <v>4</v>
      </c>
      <c r="P31" s="157">
        <v>1</v>
      </c>
      <c r="Q31" s="160">
        <v>0</v>
      </c>
      <c r="R31" s="157">
        <v>-8</v>
      </c>
      <c r="S31" s="157">
        <v>0</v>
      </c>
      <c r="T31" s="157">
        <v>2</v>
      </c>
      <c r="U31" s="160">
        <v>0</v>
      </c>
      <c r="V31" s="157">
        <v>-12</v>
      </c>
      <c r="W31" s="157">
        <v>2</v>
      </c>
      <c r="X31" s="157">
        <v>0</v>
      </c>
      <c r="Y31" s="160">
        <v>-3</v>
      </c>
      <c r="Z31" s="157">
        <v>-7</v>
      </c>
      <c r="AA31" s="157">
        <v>-2</v>
      </c>
      <c r="AB31" s="157">
        <v>0</v>
      </c>
      <c r="AC31" s="157">
        <v>-2</v>
      </c>
      <c r="AD31" s="129"/>
      <c r="AE31" s="157">
        <v>-8</v>
      </c>
      <c r="AF31" s="157">
        <v>-1</v>
      </c>
      <c r="AG31" s="157">
        <v>-5</v>
      </c>
      <c r="AH31" s="157">
        <v>-2</v>
      </c>
      <c r="AJ31" s="157">
        <v>-11</v>
      </c>
      <c r="AK31" s="544">
        <v>-1</v>
      </c>
    </row>
    <row r="32" spans="2:37" s="56" customFormat="1" ht="18.75" customHeight="1" outlineLevel="1" x14ac:dyDescent="0.35">
      <c r="B32" s="126" t="s">
        <v>35</v>
      </c>
      <c r="C32" s="155">
        <v>-9</v>
      </c>
      <c r="D32" s="155">
        <v>-11</v>
      </c>
      <c r="E32" s="156">
        <v>-14</v>
      </c>
      <c r="F32" s="155">
        <v>-4</v>
      </c>
      <c r="G32" s="155">
        <v>-2</v>
      </c>
      <c r="H32" s="155">
        <v>-3</v>
      </c>
      <c r="I32" s="160">
        <v>-6</v>
      </c>
      <c r="J32" s="157">
        <v>-3</v>
      </c>
      <c r="K32" s="157">
        <v>-1</v>
      </c>
      <c r="L32" s="157">
        <v>-5</v>
      </c>
      <c r="M32" s="160">
        <v>-1</v>
      </c>
      <c r="N32" s="157">
        <v>-4</v>
      </c>
      <c r="O32" s="157">
        <v>-2</v>
      </c>
      <c r="P32" s="157">
        <v>-1</v>
      </c>
      <c r="Q32" s="160">
        <v>-9</v>
      </c>
      <c r="R32" s="157">
        <v>-4</v>
      </c>
      <c r="S32" s="157">
        <v>-3</v>
      </c>
      <c r="T32" s="157">
        <v>0</v>
      </c>
      <c r="U32" s="160">
        <v>-1</v>
      </c>
      <c r="V32" s="157">
        <v>-1</v>
      </c>
      <c r="W32" s="157">
        <v>-4</v>
      </c>
      <c r="X32" s="157">
        <v>0</v>
      </c>
      <c r="Y32" s="160">
        <v>-3</v>
      </c>
      <c r="Z32" s="157">
        <v>-4</v>
      </c>
      <c r="AA32" s="157">
        <v>-1</v>
      </c>
      <c r="AB32" s="157">
        <v>-1</v>
      </c>
      <c r="AC32" s="157">
        <v>-1</v>
      </c>
      <c r="AE32" s="157">
        <v>-4</v>
      </c>
      <c r="AF32" s="157">
        <v>-2</v>
      </c>
      <c r="AG32" s="157">
        <v>-1</v>
      </c>
      <c r="AH32" s="157">
        <v>-2</v>
      </c>
      <c r="AJ32" s="157">
        <v>-5</v>
      </c>
      <c r="AK32" s="545">
        <v>-2</v>
      </c>
    </row>
    <row r="33" spans="2:37" s="56" customFormat="1" ht="18.75" customHeight="1" outlineLevel="1" x14ac:dyDescent="0.35">
      <c r="B33" s="126" t="s">
        <v>509</v>
      </c>
      <c r="C33" s="155">
        <v>-15</v>
      </c>
      <c r="D33" s="155">
        <v>-26</v>
      </c>
      <c r="E33" s="156">
        <v>-27</v>
      </c>
      <c r="F33" s="155">
        <v>-11</v>
      </c>
      <c r="G33" s="155">
        <v>-6</v>
      </c>
      <c r="H33" s="155">
        <v>-3</v>
      </c>
      <c r="I33" s="160">
        <v>-4</v>
      </c>
      <c r="J33" s="157">
        <v>-11</v>
      </c>
      <c r="K33" s="157">
        <v>-11</v>
      </c>
      <c r="L33" s="157">
        <v>-14</v>
      </c>
      <c r="M33" s="160">
        <v>-13</v>
      </c>
      <c r="N33" s="157">
        <v>-13</v>
      </c>
      <c r="O33" s="157">
        <v>-6</v>
      </c>
      <c r="P33" s="157">
        <v>-7</v>
      </c>
      <c r="Q33" s="160">
        <v>3</v>
      </c>
      <c r="R33" s="157">
        <v>-9</v>
      </c>
      <c r="S33" s="157">
        <v>2</v>
      </c>
      <c r="T33" s="157">
        <v>-18</v>
      </c>
      <c r="U33" s="160">
        <v>-2</v>
      </c>
      <c r="V33" s="157">
        <v>-3</v>
      </c>
      <c r="W33" s="157">
        <v>3</v>
      </c>
      <c r="X33" s="157">
        <v>5</v>
      </c>
      <c r="Y33" s="160">
        <v>-6</v>
      </c>
      <c r="Z33" s="157">
        <v>-3</v>
      </c>
      <c r="AA33" s="157">
        <v>-4</v>
      </c>
      <c r="AB33" s="157">
        <v>-6</v>
      </c>
      <c r="AC33" s="157">
        <v>-20</v>
      </c>
      <c r="AE33" s="157">
        <v>-7</v>
      </c>
      <c r="AF33" s="157">
        <v>-7</v>
      </c>
      <c r="AG33" s="157">
        <v>-7</v>
      </c>
      <c r="AH33" s="157">
        <v>-44</v>
      </c>
      <c r="AJ33" s="157">
        <v>-8</v>
      </c>
      <c r="AK33" s="545">
        <v>-5</v>
      </c>
    </row>
    <row r="34" spans="2:37" s="56" customFormat="1" ht="18.75" customHeight="1" outlineLevel="1" x14ac:dyDescent="0.35">
      <c r="B34" s="126" t="s">
        <v>510</v>
      </c>
      <c r="C34" s="155">
        <v>-132</v>
      </c>
      <c r="D34" s="155">
        <v>-167</v>
      </c>
      <c r="E34" s="156">
        <v>-90</v>
      </c>
      <c r="F34" s="155">
        <v>-15</v>
      </c>
      <c r="G34" s="155">
        <v>-17</v>
      </c>
      <c r="H34" s="155">
        <v>-88</v>
      </c>
      <c r="I34" s="160">
        <v>-8</v>
      </c>
      <c r="J34" s="157">
        <v>-9</v>
      </c>
      <c r="K34" s="157">
        <v>-8</v>
      </c>
      <c r="L34" s="157">
        <v>-192</v>
      </c>
      <c r="M34" s="160">
        <v>-43</v>
      </c>
      <c r="N34" s="157">
        <v>-10</v>
      </c>
      <c r="O34" s="157">
        <v>-9</v>
      </c>
      <c r="P34" s="157">
        <v>-29</v>
      </c>
      <c r="Q34" s="160">
        <v>-16</v>
      </c>
      <c r="R34" s="157">
        <v>-20</v>
      </c>
      <c r="S34" s="157">
        <v>-16</v>
      </c>
      <c r="T34" s="157">
        <v>-42</v>
      </c>
      <c r="U34" s="160">
        <v>-28</v>
      </c>
      <c r="V34" s="157">
        <v>-49</v>
      </c>
      <c r="W34" s="157">
        <v>-23</v>
      </c>
      <c r="X34" s="157">
        <v>-229</v>
      </c>
      <c r="Y34" s="160">
        <v>-22</v>
      </c>
      <c r="Z34" s="157">
        <v>-21</v>
      </c>
      <c r="AA34" s="157">
        <v>-9</v>
      </c>
      <c r="AB34" s="157">
        <v>-7</v>
      </c>
      <c r="AC34" s="157">
        <v>-12</v>
      </c>
      <c r="AE34" s="157">
        <v>-10</v>
      </c>
      <c r="AF34" s="157">
        <v>-10</v>
      </c>
      <c r="AG34" s="157">
        <v>-10</v>
      </c>
      <c r="AH34" s="157">
        <v>-19</v>
      </c>
      <c r="AJ34" s="157">
        <v>-11</v>
      </c>
      <c r="AK34" s="545">
        <v>-17</v>
      </c>
    </row>
    <row r="35" spans="2:37" s="151" customFormat="1" ht="18.75" customHeight="1" x14ac:dyDescent="0.35">
      <c r="B35" s="125" t="s">
        <v>152</v>
      </c>
      <c r="C35" s="159">
        <f t="shared" ref="C35:AC35" si="9">SUM(C36:C39)</f>
        <v>-601</v>
      </c>
      <c r="D35" s="159">
        <f t="shared" si="9"/>
        <v>-1470</v>
      </c>
      <c r="E35" s="159">
        <f t="shared" si="9"/>
        <v>-1669</v>
      </c>
      <c r="F35" s="159">
        <f t="shared" si="9"/>
        <v>-110</v>
      </c>
      <c r="G35" s="159">
        <f t="shared" si="9"/>
        <v>-57</v>
      </c>
      <c r="H35" s="159">
        <f t="shared" si="9"/>
        <v>76</v>
      </c>
      <c r="I35" s="159">
        <f t="shared" si="9"/>
        <v>-193</v>
      </c>
      <c r="J35" s="159">
        <f t="shared" si="9"/>
        <v>-135</v>
      </c>
      <c r="K35" s="159">
        <f t="shared" si="9"/>
        <v>-162</v>
      </c>
      <c r="L35" s="159">
        <f t="shared" si="9"/>
        <v>1082</v>
      </c>
      <c r="M35" s="159">
        <f t="shared" si="9"/>
        <v>-226</v>
      </c>
      <c r="N35" s="159">
        <f t="shared" si="9"/>
        <v>-137</v>
      </c>
      <c r="O35" s="159">
        <f t="shared" si="9"/>
        <v>-64</v>
      </c>
      <c r="P35" s="159">
        <f t="shared" si="9"/>
        <v>72</v>
      </c>
      <c r="Q35" s="159">
        <f t="shared" si="9"/>
        <v>-520</v>
      </c>
      <c r="R35" s="159">
        <f t="shared" si="9"/>
        <v>364</v>
      </c>
      <c r="S35" s="159">
        <f t="shared" si="9"/>
        <v>400</v>
      </c>
      <c r="T35" s="159">
        <f t="shared" si="9"/>
        <v>-120</v>
      </c>
      <c r="U35" s="159">
        <f t="shared" si="9"/>
        <v>2352</v>
      </c>
      <c r="V35" s="159">
        <f t="shared" si="9"/>
        <v>-60</v>
      </c>
      <c r="W35" s="159">
        <f t="shared" si="9"/>
        <v>165</v>
      </c>
      <c r="X35" s="159">
        <f t="shared" si="9"/>
        <v>-20</v>
      </c>
      <c r="Y35" s="159">
        <f t="shared" si="9"/>
        <v>-800</v>
      </c>
      <c r="Z35" s="159">
        <f t="shared" si="9"/>
        <v>-464</v>
      </c>
      <c r="AA35" s="159">
        <f t="shared" si="9"/>
        <v>-167</v>
      </c>
      <c r="AB35" s="159">
        <f t="shared" si="9"/>
        <v>145</v>
      </c>
      <c r="AC35" s="159">
        <f t="shared" si="9"/>
        <v>443</v>
      </c>
      <c r="AD35" s="56"/>
      <c r="AE35" s="159">
        <f>SUM(AE36:AE39)</f>
        <v>-23</v>
      </c>
      <c r="AF35" s="159">
        <f>SUM(AF36:AF39)</f>
        <v>-99</v>
      </c>
      <c r="AG35" s="159">
        <f>SUM(AG36:AG39)</f>
        <v>19</v>
      </c>
      <c r="AH35" s="159">
        <f>SUM(AH36:AH39)</f>
        <v>3037</v>
      </c>
      <c r="AJ35" s="159">
        <f>SUM(AJ36:AJ39)</f>
        <v>443</v>
      </c>
      <c r="AK35" s="547">
        <f>SUM(AK36:AK39)</f>
        <v>37</v>
      </c>
    </row>
    <row r="36" spans="2:37" s="56" customFormat="1" ht="18.75" customHeight="1" outlineLevel="1" x14ac:dyDescent="0.35">
      <c r="B36" s="126" t="s">
        <v>153</v>
      </c>
      <c r="C36" s="155">
        <v>139</v>
      </c>
      <c r="D36" s="155">
        <v>236</v>
      </c>
      <c r="E36" s="156">
        <v>225</v>
      </c>
      <c r="F36" s="155">
        <v>62</v>
      </c>
      <c r="G36" s="155">
        <v>56</v>
      </c>
      <c r="H36" s="155">
        <v>38</v>
      </c>
      <c r="I36" s="160">
        <v>30</v>
      </c>
      <c r="J36" s="157">
        <v>47</v>
      </c>
      <c r="K36" s="157">
        <v>11</v>
      </c>
      <c r="L36" s="157">
        <v>12</v>
      </c>
      <c r="M36" s="160">
        <v>78</v>
      </c>
      <c r="N36" s="157">
        <v>73</v>
      </c>
      <c r="O36" s="157">
        <v>34</v>
      </c>
      <c r="P36" s="157">
        <v>129</v>
      </c>
      <c r="Q36" s="160">
        <v>44</v>
      </c>
      <c r="R36" s="157">
        <v>125</v>
      </c>
      <c r="S36" s="157">
        <v>225</v>
      </c>
      <c r="T36" s="157">
        <v>-47</v>
      </c>
      <c r="U36" s="160">
        <v>-35</v>
      </c>
      <c r="V36" s="157">
        <v>-146</v>
      </c>
      <c r="W36" s="157">
        <v>-39</v>
      </c>
      <c r="X36" s="157">
        <v>1</v>
      </c>
      <c r="Y36" s="160">
        <v>-30</v>
      </c>
      <c r="Z36" s="157">
        <v>-356</v>
      </c>
      <c r="AA36" s="157">
        <v>-337</v>
      </c>
      <c r="AB36" s="157">
        <v>194</v>
      </c>
      <c r="AC36" s="157">
        <v>-104</v>
      </c>
      <c r="AE36" s="157">
        <v>-122</v>
      </c>
      <c r="AF36" s="157">
        <v>-66</v>
      </c>
      <c r="AG36" s="157">
        <v>-161</v>
      </c>
      <c r="AH36" s="157">
        <v>1605</v>
      </c>
      <c r="AJ36" s="157">
        <v>-135</v>
      </c>
      <c r="AK36" s="545">
        <v>-1</v>
      </c>
    </row>
    <row r="37" spans="2:37" s="56" customFormat="1" ht="18.75" customHeight="1" outlineLevel="1" x14ac:dyDescent="0.35">
      <c r="B37" s="126" t="s">
        <v>36</v>
      </c>
      <c r="C37" s="155">
        <v>69</v>
      </c>
      <c r="D37" s="155">
        <v>65</v>
      </c>
      <c r="E37" s="156">
        <v>24</v>
      </c>
      <c r="F37" s="155">
        <v>17</v>
      </c>
      <c r="G37" s="155">
        <v>14</v>
      </c>
      <c r="H37" s="155">
        <v>31</v>
      </c>
      <c r="I37" s="160">
        <v>-20</v>
      </c>
      <c r="J37" s="157">
        <v>4</v>
      </c>
      <c r="K37" s="157">
        <v>10</v>
      </c>
      <c r="L37" s="157">
        <v>4</v>
      </c>
      <c r="M37" s="160">
        <v>15</v>
      </c>
      <c r="N37" s="157">
        <v>26</v>
      </c>
      <c r="O37" s="157">
        <v>-8</v>
      </c>
      <c r="P37" s="157">
        <v>79</v>
      </c>
      <c r="Q37" s="160">
        <v>15</v>
      </c>
      <c r="R37" s="157">
        <v>67</v>
      </c>
      <c r="S37" s="157">
        <v>120</v>
      </c>
      <c r="T37" s="157">
        <v>-38</v>
      </c>
      <c r="U37" s="160">
        <v>27</v>
      </c>
      <c r="V37" s="157">
        <v>-92</v>
      </c>
      <c r="W37" s="157">
        <v>-31</v>
      </c>
      <c r="X37" s="157">
        <v>-21</v>
      </c>
      <c r="Y37" s="160">
        <v>-61</v>
      </c>
      <c r="Z37" s="157">
        <v>-251</v>
      </c>
      <c r="AA37" s="157">
        <v>-154</v>
      </c>
      <c r="AB37" s="157">
        <v>111</v>
      </c>
      <c r="AC37" s="157">
        <v>-246</v>
      </c>
      <c r="AE37" s="157">
        <v>43</v>
      </c>
      <c r="AF37" s="157">
        <v>39</v>
      </c>
      <c r="AG37" s="157">
        <v>55</v>
      </c>
      <c r="AH37" s="157">
        <v>1545</v>
      </c>
      <c r="AJ37" s="157">
        <v>62</v>
      </c>
      <c r="AK37" s="545">
        <v>68</v>
      </c>
    </row>
    <row r="38" spans="2:37" s="56" customFormat="1" ht="18.75" customHeight="1" outlineLevel="1" x14ac:dyDescent="0.35">
      <c r="B38" s="126" t="s">
        <v>511</v>
      </c>
      <c r="C38" s="155">
        <v>-517</v>
      </c>
      <c r="D38" s="155">
        <v>-596</v>
      </c>
      <c r="E38" s="156">
        <v>-405</v>
      </c>
      <c r="F38" s="155">
        <v>-130</v>
      </c>
      <c r="G38" s="155">
        <v>-119</v>
      </c>
      <c r="H38" s="155">
        <v>-99</v>
      </c>
      <c r="I38" s="160">
        <f>-537+348</f>
        <v>-189</v>
      </c>
      <c r="J38" s="157">
        <v>-86</v>
      </c>
      <c r="K38" s="157">
        <v>-100</v>
      </c>
      <c r="L38" s="157">
        <v>-144</v>
      </c>
      <c r="M38" s="160">
        <v>-191</v>
      </c>
      <c r="N38" s="157">
        <v>-120</v>
      </c>
      <c r="O38" s="157">
        <v>-131</v>
      </c>
      <c r="P38" s="157">
        <v>-104</v>
      </c>
      <c r="Q38" s="160">
        <v>-144</v>
      </c>
      <c r="R38" s="157">
        <v>-88</v>
      </c>
      <c r="S38" s="157">
        <v>308</v>
      </c>
      <c r="T38" s="157">
        <v>-47</v>
      </c>
      <c r="U38" s="160">
        <v>549</v>
      </c>
      <c r="V38" s="157">
        <v>103</v>
      </c>
      <c r="W38" s="157">
        <v>176</v>
      </c>
      <c r="X38" s="157">
        <v>123</v>
      </c>
      <c r="Y38" s="160">
        <v>53</v>
      </c>
      <c r="Z38" s="157">
        <v>-23</v>
      </c>
      <c r="AA38" s="157">
        <v>-23</v>
      </c>
      <c r="AB38" s="157">
        <v>117</v>
      </c>
      <c r="AC38" s="157">
        <v>909</v>
      </c>
      <c r="AE38" s="157">
        <v>-8</v>
      </c>
      <c r="AF38" s="157">
        <v>-37</v>
      </c>
      <c r="AG38" s="157">
        <v>-3</v>
      </c>
      <c r="AH38" s="157">
        <v>-7</v>
      </c>
      <c r="AJ38" s="157">
        <v>505</v>
      </c>
      <c r="AK38" s="545">
        <v>39</v>
      </c>
    </row>
    <row r="39" spans="2:37" s="56" customFormat="1" ht="18.75" customHeight="1" outlineLevel="1" x14ac:dyDescent="0.35">
      <c r="B39" s="126" t="s">
        <v>512</v>
      </c>
      <c r="C39" s="155">
        <v>-292</v>
      </c>
      <c r="D39" s="155">
        <v>-1175</v>
      </c>
      <c r="E39" s="156">
        <v>-1513</v>
      </c>
      <c r="F39" s="155">
        <v>-59</v>
      </c>
      <c r="G39" s="155">
        <v>-8</v>
      </c>
      <c r="H39" s="155">
        <v>106</v>
      </c>
      <c r="I39" s="160">
        <v>-14</v>
      </c>
      <c r="J39" s="157">
        <v>-100</v>
      </c>
      <c r="K39" s="157">
        <v>-83</v>
      </c>
      <c r="L39" s="157">
        <v>1210</v>
      </c>
      <c r="M39" s="160">
        <v>-128</v>
      </c>
      <c r="N39" s="157">
        <v>-116</v>
      </c>
      <c r="O39" s="157">
        <v>41</v>
      </c>
      <c r="P39" s="157">
        <v>-32</v>
      </c>
      <c r="Q39" s="160">
        <v>-435</v>
      </c>
      <c r="R39" s="157">
        <v>260</v>
      </c>
      <c r="S39" s="157">
        <v>-253</v>
      </c>
      <c r="T39" s="157">
        <v>12</v>
      </c>
      <c r="U39" s="160">
        <v>1811</v>
      </c>
      <c r="V39" s="157">
        <v>75</v>
      </c>
      <c r="W39" s="157">
        <v>59</v>
      </c>
      <c r="X39" s="157">
        <v>-123</v>
      </c>
      <c r="Y39" s="160">
        <v>-762</v>
      </c>
      <c r="Z39" s="157">
        <v>166</v>
      </c>
      <c r="AA39" s="157">
        <v>347</v>
      </c>
      <c r="AB39" s="157">
        <v>-277</v>
      </c>
      <c r="AC39" s="157">
        <v>-116</v>
      </c>
      <c r="AE39" s="157">
        <v>64</v>
      </c>
      <c r="AF39" s="157">
        <v>-35</v>
      </c>
      <c r="AG39" s="157">
        <v>128</v>
      </c>
      <c r="AH39" s="157">
        <v>-106</v>
      </c>
      <c r="AJ39" s="157">
        <v>11</v>
      </c>
      <c r="AK39" s="545">
        <v>-69</v>
      </c>
    </row>
    <row r="40" spans="2:37" s="56" customFormat="1" x14ac:dyDescent="0.35">
      <c r="B40" s="65" t="s">
        <v>151</v>
      </c>
      <c r="C40" s="158">
        <f t="shared" ref="C40:AC40" si="10">SUM(C41:C41)</f>
        <v>-2</v>
      </c>
      <c r="D40" s="158">
        <f t="shared" si="10"/>
        <v>3</v>
      </c>
      <c r="E40" s="158">
        <f t="shared" si="10"/>
        <v>-1</v>
      </c>
      <c r="F40" s="158">
        <f t="shared" si="10"/>
        <v>-2</v>
      </c>
      <c r="G40" s="158">
        <f t="shared" si="10"/>
        <v>0</v>
      </c>
      <c r="H40" s="158">
        <f t="shared" si="10"/>
        <v>1</v>
      </c>
      <c r="I40" s="158">
        <f t="shared" si="10"/>
        <v>-1</v>
      </c>
      <c r="J40" s="158">
        <f t="shared" si="10"/>
        <v>-1</v>
      </c>
      <c r="K40" s="158">
        <f t="shared" si="10"/>
        <v>0</v>
      </c>
      <c r="L40" s="158">
        <f t="shared" si="10"/>
        <v>-1</v>
      </c>
      <c r="M40" s="158">
        <f t="shared" si="10"/>
        <v>1</v>
      </c>
      <c r="N40" s="158">
        <f t="shared" si="10"/>
        <v>1</v>
      </c>
      <c r="O40" s="158">
        <f t="shared" si="10"/>
        <v>0</v>
      </c>
      <c r="P40" s="158">
        <f t="shared" si="10"/>
        <v>0</v>
      </c>
      <c r="Q40" s="158">
        <f t="shared" si="10"/>
        <v>1</v>
      </c>
      <c r="R40" s="158">
        <f t="shared" si="10"/>
        <v>-1</v>
      </c>
      <c r="S40" s="158">
        <f t="shared" si="10"/>
        <v>-1</v>
      </c>
      <c r="T40" s="158">
        <f t="shared" si="10"/>
        <v>-1</v>
      </c>
      <c r="U40" s="158">
        <f t="shared" si="10"/>
        <v>12</v>
      </c>
      <c r="V40" s="158">
        <f t="shared" si="10"/>
        <v>7</v>
      </c>
      <c r="W40" s="158">
        <f t="shared" si="10"/>
        <v>2</v>
      </c>
      <c r="X40" s="158">
        <f t="shared" si="10"/>
        <v>76</v>
      </c>
      <c r="Y40" s="158">
        <f t="shared" si="10"/>
        <v>27</v>
      </c>
      <c r="Z40" s="158">
        <f t="shared" si="10"/>
        <v>17</v>
      </c>
      <c r="AA40" s="158">
        <f t="shared" si="10"/>
        <v>14</v>
      </c>
      <c r="AB40" s="158">
        <f t="shared" si="10"/>
        <v>16</v>
      </c>
      <c r="AC40" s="158">
        <f t="shared" si="10"/>
        <v>-51</v>
      </c>
      <c r="AD40" s="151"/>
      <c r="AE40" s="158">
        <f>SUM(AE41:AE41)</f>
        <v>-2</v>
      </c>
      <c r="AF40" s="158">
        <f>SUM(AF41:AF41)</f>
        <v>-26</v>
      </c>
      <c r="AG40" s="158">
        <f>SUM(AG41:AG41)</f>
        <v>-49</v>
      </c>
      <c r="AH40" s="158">
        <f>SUM(AH41:AH41)</f>
        <v>41</v>
      </c>
      <c r="AJ40" s="158">
        <f>SUM(AJ41:AJ41)</f>
        <v>-71</v>
      </c>
      <c r="AK40" s="158">
        <f>SUM(AK41:AK41)</f>
        <v>79</v>
      </c>
    </row>
    <row r="41" spans="2:37" s="56" customFormat="1" ht="18.75" customHeight="1" outlineLevel="1" x14ac:dyDescent="0.35">
      <c r="B41" s="64" t="s">
        <v>513</v>
      </c>
      <c r="C41" s="155">
        <v>-2</v>
      </c>
      <c r="D41" s="155">
        <v>3</v>
      </c>
      <c r="E41" s="156">
        <v>-1</v>
      </c>
      <c r="F41" s="155">
        <v>-2</v>
      </c>
      <c r="G41" s="155">
        <v>0</v>
      </c>
      <c r="H41" s="160">
        <v>1</v>
      </c>
      <c r="I41" s="160">
        <v>-1</v>
      </c>
      <c r="J41" s="157">
        <v>-1</v>
      </c>
      <c r="K41" s="157">
        <v>0</v>
      </c>
      <c r="L41" s="157">
        <v>-1</v>
      </c>
      <c r="M41" s="160">
        <v>1</v>
      </c>
      <c r="N41" s="160">
        <v>1</v>
      </c>
      <c r="O41" s="160">
        <v>0</v>
      </c>
      <c r="P41" s="160">
        <v>0</v>
      </c>
      <c r="Q41" s="160">
        <v>1</v>
      </c>
      <c r="R41" s="157">
        <v>-1</v>
      </c>
      <c r="S41" s="157">
        <v>-1</v>
      </c>
      <c r="T41" s="157">
        <v>-1</v>
      </c>
      <c r="U41" s="160">
        <v>12</v>
      </c>
      <c r="V41" s="157">
        <v>7</v>
      </c>
      <c r="W41" s="157">
        <v>2</v>
      </c>
      <c r="X41" s="157">
        <v>76</v>
      </c>
      <c r="Y41" s="160">
        <v>27</v>
      </c>
      <c r="Z41" s="157">
        <v>17</v>
      </c>
      <c r="AA41" s="157">
        <v>14</v>
      </c>
      <c r="AB41" s="157">
        <v>16</v>
      </c>
      <c r="AC41" s="157">
        <v>-51</v>
      </c>
      <c r="AE41" s="157">
        <v>-2</v>
      </c>
      <c r="AF41" s="157">
        <v>-26</v>
      </c>
      <c r="AG41" s="157">
        <v>-49</v>
      </c>
      <c r="AH41" s="157">
        <v>41</v>
      </c>
      <c r="AJ41" s="157">
        <v>-71</v>
      </c>
      <c r="AK41" s="157">
        <v>79</v>
      </c>
    </row>
    <row r="42" spans="2:37" s="56" customFormat="1" x14ac:dyDescent="0.35">
      <c r="B42" s="65" t="s">
        <v>601</v>
      </c>
      <c r="C42" s="158">
        <f t="shared" ref="C42:AC42" si="11">SUM(C43:C43)</f>
        <v>290</v>
      </c>
      <c r="D42" s="158">
        <f t="shared" si="11"/>
        <v>-299</v>
      </c>
      <c r="E42" s="158">
        <f t="shared" si="11"/>
        <v>-622</v>
      </c>
      <c r="F42" s="158">
        <f t="shared" si="11"/>
        <v>-148</v>
      </c>
      <c r="G42" s="158">
        <f t="shared" si="11"/>
        <v>-88</v>
      </c>
      <c r="H42" s="158">
        <f t="shared" si="11"/>
        <v>-232</v>
      </c>
      <c r="I42" s="158">
        <f t="shared" si="11"/>
        <v>-89</v>
      </c>
      <c r="J42" s="158">
        <f t="shared" si="11"/>
        <v>-46</v>
      </c>
      <c r="K42" s="158">
        <f t="shared" si="11"/>
        <v>269</v>
      </c>
      <c r="L42" s="158">
        <f t="shared" si="11"/>
        <v>353</v>
      </c>
      <c r="M42" s="158">
        <f t="shared" si="11"/>
        <v>1847</v>
      </c>
      <c r="N42" s="158">
        <f t="shared" si="11"/>
        <v>272</v>
      </c>
      <c r="O42" s="158">
        <f t="shared" si="11"/>
        <v>188</v>
      </c>
      <c r="P42" s="158">
        <f t="shared" si="11"/>
        <v>1557</v>
      </c>
      <c r="Q42" s="158">
        <f t="shared" si="11"/>
        <v>-27</v>
      </c>
      <c r="R42" s="158">
        <f t="shared" si="11"/>
        <v>-96</v>
      </c>
      <c r="S42" s="158">
        <f t="shared" si="11"/>
        <v>77</v>
      </c>
      <c r="T42" s="158">
        <f t="shared" si="11"/>
        <v>22</v>
      </c>
      <c r="U42" s="158">
        <f t="shared" si="11"/>
        <v>261</v>
      </c>
      <c r="V42" s="158">
        <f t="shared" si="11"/>
        <v>-118</v>
      </c>
      <c r="W42" s="158">
        <f t="shared" si="11"/>
        <v>-73</v>
      </c>
      <c r="X42" s="158">
        <f t="shared" si="11"/>
        <v>-48</v>
      </c>
      <c r="Y42" s="158">
        <f t="shared" si="11"/>
        <v>807</v>
      </c>
      <c r="Z42" s="158">
        <f t="shared" si="11"/>
        <v>-449</v>
      </c>
      <c r="AA42" s="158">
        <f t="shared" si="11"/>
        <v>-614</v>
      </c>
      <c r="AB42" s="158">
        <f t="shared" si="11"/>
        <v>-564</v>
      </c>
      <c r="AC42" s="158">
        <f t="shared" si="11"/>
        <v>-404</v>
      </c>
      <c r="AE42" s="158">
        <f>SUM(AE43:AE43)</f>
        <v>-280</v>
      </c>
      <c r="AF42" s="158">
        <f>SUM(AF43:AF43)</f>
        <v>-341</v>
      </c>
      <c r="AG42" s="158">
        <f>SUM(AG43:AG43)</f>
        <v>-413</v>
      </c>
      <c r="AH42" s="158">
        <f>SUM(AH43:AH43)</f>
        <v>-50</v>
      </c>
      <c r="AJ42" s="158">
        <f>SUM(AJ43:AJ43)</f>
        <v>-334</v>
      </c>
      <c r="AK42" s="158">
        <f>SUM(AK43:AK43)</f>
        <v>-213</v>
      </c>
    </row>
    <row r="43" spans="2:37" s="56" customFormat="1" ht="18.75" customHeight="1" outlineLevel="1" x14ac:dyDescent="0.35">
      <c r="B43" s="64" t="s">
        <v>514</v>
      </c>
      <c r="C43" s="155">
        <v>290</v>
      </c>
      <c r="D43" s="155">
        <v>-299</v>
      </c>
      <c r="E43" s="156">
        <v>-622</v>
      </c>
      <c r="F43" s="155">
        <v>-148</v>
      </c>
      <c r="G43" s="155">
        <v>-88</v>
      </c>
      <c r="H43" s="155">
        <v>-232</v>
      </c>
      <c r="I43" s="160">
        <f>-557+468</f>
        <v>-89</v>
      </c>
      <c r="J43" s="157">
        <v>-46</v>
      </c>
      <c r="K43" s="157">
        <v>269</v>
      </c>
      <c r="L43" s="157">
        <v>353</v>
      </c>
      <c r="M43" s="160">
        <v>1847</v>
      </c>
      <c r="N43" s="161">
        <v>272</v>
      </c>
      <c r="O43" s="161">
        <v>188</v>
      </c>
      <c r="P43" s="161">
        <v>1557</v>
      </c>
      <c r="Q43" s="162">
        <v>-27</v>
      </c>
      <c r="R43" s="157">
        <v>-96</v>
      </c>
      <c r="S43" s="157">
        <v>77</v>
      </c>
      <c r="T43" s="157">
        <v>22</v>
      </c>
      <c r="U43" s="160">
        <v>261</v>
      </c>
      <c r="V43" s="157">
        <v>-118</v>
      </c>
      <c r="W43" s="157">
        <v>-73</v>
      </c>
      <c r="X43" s="157">
        <v>-48</v>
      </c>
      <c r="Y43" s="160">
        <v>807</v>
      </c>
      <c r="Z43" s="157">
        <v>-449</v>
      </c>
      <c r="AA43" s="157">
        <v>-614</v>
      </c>
      <c r="AB43" s="157">
        <v>-564</v>
      </c>
      <c r="AC43" s="157">
        <v>-404</v>
      </c>
      <c r="AE43" s="157">
        <v>-280</v>
      </c>
      <c r="AF43" s="157">
        <v>-341</v>
      </c>
      <c r="AG43" s="157">
        <v>-413</v>
      </c>
      <c r="AH43" s="157">
        <v>-50</v>
      </c>
      <c r="AJ43" s="157">
        <v>-334</v>
      </c>
      <c r="AK43" s="157">
        <v>-213</v>
      </c>
    </row>
    <row r="44" spans="2:37" s="56" customFormat="1" x14ac:dyDescent="0.35">
      <c r="B44" s="65" t="s">
        <v>149</v>
      </c>
      <c r="C44" s="158">
        <f t="shared" ref="C44:AC44" si="12">SUM(C45:C48)</f>
        <v>3527</v>
      </c>
      <c r="D44" s="158">
        <f t="shared" si="12"/>
        <v>3452</v>
      </c>
      <c r="E44" s="158">
        <f t="shared" si="12"/>
        <v>2995</v>
      </c>
      <c r="F44" s="158">
        <f t="shared" si="12"/>
        <v>647</v>
      </c>
      <c r="G44" s="158">
        <f t="shared" si="12"/>
        <v>481</v>
      </c>
      <c r="H44" s="158">
        <f t="shared" si="12"/>
        <v>1056</v>
      </c>
      <c r="I44" s="158">
        <f t="shared" si="12"/>
        <v>883</v>
      </c>
      <c r="J44" s="158">
        <f t="shared" si="12"/>
        <v>773</v>
      </c>
      <c r="K44" s="158">
        <f t="shared" si="12"/>
        <v>508</v>
      </c>
      <c r="L44" s="158">
        <f t="shared" si="12"/>
        <v>631</v>
      </c>
      <c r="M44" s="158">
        <f t="shared" si="12"/>
        <v>646</v>
      </c>
      <c r="N44" s="158">
        <f t="shared" si="12"/>
        <v>860</v>
      </c>
      <c r="O44" s="158">
        <f t="shared" si="12"/>
        <v>506</v>
      </c>
      <c r="P44" s="158">
        <f t="shared" si="12"/>
        <v>819</v>
      </c>
      <c r="Q44" s="158">
        <f t="shared" si="12"/>
        <v>947</v>
      </c>
      <c r="R44" s="158">
        <f t="shared" si="12"/>
        <v>545</v>
      </c>
      <c r="S44" s="158">
        <f t="shared" si="12"/>
        <v>816</v>
      </c>
      <c r="T44" s="158">
        <f t="shared" si="12"/>
        <v>834</v>
      </c>
      <c r="U44" s="158">
        <f t="shared" si="12"/>
        <v>1616</v>
      </c>
      <c r="V44" s="158">
        <f t="shared" si="12"/>
        <v>1182</v>
      </c>
      <c r="W44" s="158">
        <f t="shared" si="12"/>
        <v>1018</v>
      </c>
      <c r="X44" s="158">
        <f t="shared" si="12"/>
        <v>1185</v>
      </c>
      <c r="Y44" s="158">
        <f t="shared" si="12"/>
        <v>1598</v>
      </c>
      <c r="Z44" s="158">
        <f t="shared" si="12"/>
        <v>1090</v>
      </c>
      <c r="AA44" s="158">
        <f t="shared" si="12"/>
        <v>1598</v>
      </c>
      <c r="AB44" s="158">
        <f t="shared" si="12"/>
        <v>916</v>
      </c>
      <c r="AC44" s="158">
        <f t="shared" si="12"/>
        <v>1507</v>
      </c>
      <c r="AE44" s="158">
        <f t="shared" ref="AE44:AH44" si="13">SUM(AE45:AE48)</f>
        <v>688</v>
      </c>
      <c r="AF44" s="158">
        <f t="shared" si="13"/>
        <v>910</v>
      </c>
      <c r="AG44" s="158">
        <f t="shared" si="13"/>
        <v>2333</v>
      </c>
      <c r="AH44" s="158">
        <f t="shared" si="13"/>
        <v>4919</v>
      </c>
      <c r="AJ44" s="158">
        <f t="shared" ref="AJ44:AK44" si="14">SUM(AJ45:AJ48)</f>
        <v>1945</v>
      </c>
      <c r="AK44" s="158">
        <f t="shared" si="14"/>
        <v>1550</v>
      </c>
    </row>
    <row r="45" spans="2:37" s="56" customFormat="1" ht="18.75" customHeight="1" outlineLevel="1" x14ac:dyDescent="0.35">
      <c r="B45" s="64" t="s">
        <v>150</v>
      </c>
      <c r="C45" s="155">
        <v>1639</v>
      </c>
      <c r="D45" s="155">
        <v>2406</v>
      </c>
      <c r="E45" s="156">
        <v>2538</v>
      </c>
      <c r="F45" s="155">
        <v>543</v>
      </c>
      <c r="G45" s="155">
        <v>365</v>
      </c>
      <c r="H45" s="155">
        <v>724</v>
      </c>
      <c r="I45" s="160">
        <f>2329-1632</f>
        <v>697</v>
      </c>
      <c r="J45" s="157">
        <v>493</v>
      </c>
      <c r="K45" s="157">
        <v>319</v>
      </c>
      <c r="L45" s="157">
        <v>263</v>
      </c>
      <c r="M45" s="160">
        <v>505</v>
      </c>
      <c r="N45" s="161">
        <v>563</v>
      </c>
      <c r="O45" s="161">
        <v>297</v>
      </c>
      <c r="P45" s="161">
        <v>491</v>
      </c>
      <c r="Q45" s="162">
        <v>668</v>
      </c>
      <c r="R45" s="157">
        <v>305</v>
      </c>
      <c r="S45" s="157">
        <v>283</v>
      </c>
      <c r="T45" s="157">
        <v>470</v>
      </c>
      <c r="U45" s="160">
        <v>651</v>
      </c>
      <c r="V45" s="157">
        <v>721</v>
      </c>
      <c r="W45" s="157">
        <v>434</v>
      </c>
      <c r="X45" s="157">
        <v>522</v>
      </c>
      <c r="Y45" s="160">
        <v>908</v>
      </c>
      <c r="Z45" s="157">
        <v>609</v>
      </c>
      <c r="AA45" s="157">
        <v>783</v>
      </c>
      <c r="AB45" s="157">
        <v>92</v>
      </c>
      <c r="AC45" s="157">
        <v>520</v>
      </c>
      <c r="AE45" s="157">
        <v>455</v>
      </c>
      <c r="AF45" s="157">
        <v>775</v>
      </c>
      <c r="AG45" s="157">
        <v>1400</v>
      </c>
      <c r="AH45" s="157">
        <v>2865</v>
      </c>
      <c r="AJ45" s="157">
        <v>909</v>
      </c>
      <c r="AK45" s="545">
        <v>886</v>
      </c>
    </row>
    <row r="46" spans="2:37" s="56" customFormat="1" ht="18.75" customHeight="1" outlineLevel="1" x14ac:dyDescent="0.35">
      <c r="B46" s="64" t="s">
        <v>7</v>
      </c>
      <c r="C46" s="155">
        <v>2658</v>
      </c>
      <c r="D46" s="155">
        <v>1870</v>
      </c>
      <c r="E46" s="156">
        <v>1127</v>
      </c>
      <c r="F46" s="155">
        <v>292</v>
      </c>
      <c r="G46" s="155">
        <v>278</v>
      </c>
      <c r="H46" s="155">
        <v>475</v>
      </c>
      <c r="I46" s="160">
        <v>414</v>
      </c>
      <c r="J46" s="157">
        <v>439</v>
      </c>
      <c r="K46" s="157">
        <v>344</v>
      </c>
      <c r="L46" s="157">
        <v>555</v>
      </c>
      <c r="M46" s="160">
        <v>372</v>
      </c>
      <c r="N46" s="161">
        <v>468</v>
      </c>
      <c r="O46" s="161">
        <v>384</v>
      </c>
      <c r="P46" s="161">
        <v>496</v>
      </c>
      <c r="Q46" s="162">
        <v>460</v>
      </c>
      <c r="R46" s="157">
        <v>353</v>
      </c>
      <c r="S46" s="157">
        <v>235</v>
      </c>
      <c r="T46" s="157">
        <v>403</v>
      </c>
      <c r="U46" s="160">
        <v>490</v>
      </c>
      <c r="V46" s="157">
        <v>384</v>
      </c>
      <c r="W46" s="157">
        <v>471</v>
      </c>
      <c r="X46" s="157">
        <v>685</v>
      </c>
      <c r="Y46" s="160">
        <v>690</v>
      </c>
      <c r="Z46" s="157">
        <v>548</v>
      </c>
      <c r="AA46" s="157">
        <v>875</v>
      </c>
      <c r="AB46" s="157">
        <v>765</v>
      </c>
      <c r="AC46" s="157">
        <v>152</v>
      </c>
      <c r="AE46" s="157">
        <v>318</v>
      </c>
      <c r="AF46" s="157">
        <v>211</v>
      </c>
      <c r="AG46" s="157">
        <v>983</v>
      </c>
      <c r="AH46" s="157">
        <v>2167</v>
      </c>
      <c r="AJ46" s="157">
        <v>576</v>
      </c>
      <c r="AK46" s="545">
        <v>689</v>
      </c>
    </row>
    <row r="47" spans="2:37" s="56" customFormat="1" ht="18.75" customHeight="1" outlineLevel="1" x14ac:dyDescent="0.35">
      <c r="B47" s="64" t="s">
        <v>515</v>
      </c>
      <c r="C47" s="155">
        <v>-770</v>
      </c>
      <c r="D47" s="155">
        <v>-824</v>
      </c>
      <c r="E47" s="156">
        <v>-670</v>
      </c>
      <c r="F47" s="155">
        <v>-188</v>
      </c>
      <c r="G47" s="155">
        <v>-162</v>
      </c>
      <c r="H47" s="155">
        <v>-143</v>
      </c>
      <c r="I47" s="160">
        <v>-228</v>
      </c>
      <c r="J47" s="157">
        <v>-159</v>
      </c>
      <c r="K47" s="157">
        <v>-155</v>
      </c>
      <c r="L47" s="157">
        <v>-187</v>
      </c>
      <c r="M47" s="160">
        <v>-231</v>
      </c>
      <c r="N47" s="161">
        <v>-171</v>
      </c>
      <c r="O47" s="161">
        <v>-175</v>
      </c>
      <c r="P47" s="161">
        <v>-168</v>
      </c>
      <c r="Q47" s="162">
        <v>-181</v>
      </c>
      <c r="R47" s="157">
        <v>-113</v>
      </c>
      <c r="S47" s="157">
        <v>298</v>
      </c>
      <c r="T47" s="157">
        <v>-39</v>
      </c>
      <c r="U47" s="160">
        <v>475</v>
      </c>
      <c r="V47" s="157">
        <v>77</v>
      </c>
      <c r="W47" s="157">
        <v>113</v>
      </c>
      <c r="X47" s="157">
        <v>-22</v>
      </c>
      <c r="Y47" s="160">
        <v>0</v>
      </c>
      <c r="Z47" s="157">
        <v>-67</v>
      </c>
      <c r="AA47" s="157">
        <v>-60</v>
      </c>
      <c r="AB47" s="157">
        <v>59</v>
      </c>
      <c r="AC47" s="157">
        <v>835</v>
      </c>
      <c r="AE47" s="157">
        <v>-85</v>
      </c>
      <c r="AF47" s="157">
        <v>-76</v>
      </c>
      <c r="AG47" s="157">
        <v>-50</v>
      </c>
      <c r="AH47" s="157">
        <v>-113</v>
      </c>
      <c r="AJ47" s="157">
        <v>460</v>
      </c>
      <c r="AK47" s="545">
        <v>-25</v>
      </c>
    </row>
    <row r="48" spans="2:37" s="56" customFormat="1" ht="18.75" customHeight="1" outlineLevel="1" x14ac:dyDescent="0.35">
      <c r="B48" s="64" t="s">
        <v>516</v>
      </c>
      <c r="C48" s="157">
        <v>0</v>
      </c>
      <c r="D48" s="157">
        <v>0</v>
      </c>
      <c r="E48" s="157">
        <v>0</v>
      </c>
      <c r="F48" s="157">
        <v>0</v>
      </c>
      <c r="G48" s="157">
        <v>0</v>
      </c>
      <c r="H48" s="157">
        <v>0</v>
      </c>
      <c r="I48" s="157">
        <v>0</v>
      </c>
      <c r="J48" s="157">
        <v>0</v>
      </c>
      <c r="K48" s="157">
        <v>0</v>
      </c>
      <c r="L48" s="157">
        <v>0</v>
      </c>
      <c r="M48" s="157">
        <v>0</v>
      </c>
      <c r="N48" s="157">
        <v>0</v>
      </c>
      <c r="O48" s="157">
        <v>0</v>
      </c>
      <c r="P48" s="157">
        <v>0</v>
      </c>
      <c r="Q48" s="157">
        <v>0</v>
      </c>
      <c r="R48" s="157">
        <v>0</v>
      </c>
      <c r="S48" s="157">
        <v>0</v>
      </c>
      <c r="T48" s="157">
        <v>0</v>
      </c>
      <c r="U48" s="157">
        <v>0</v>
      </c>
      <c r="V48" s="157">
        <v>0</v>
      </c>
      <c r="W48" s="157">
        <v>0</v>
      </c>
      <c r="X48" s="157">
        <v>0</v>
      </c>
      <c r="Y48" s="157">
        <v>0</v>
      </c>
      <c r="Z48" s="157">
        <v>0</v>
      </c>
      <c r="AA48" s="157">
        <v>0</v>
      </c>
      <c r="AB48" s="157">
        <v>0</v>
      </c>
      <c r="AC48" s="157">
        <v>0</v>
      </c>
      <c r="AE48" s="157"/>
      <c r="AF48" s="157">
        <v>0</v>
      </c>
      <c r="AG48" s="157">
        <v>0</v>
      </c>
      <c r="AH48" s="157">
        <v>0</v>
      </c>
      <c r="AJ48" s="157">
        <v>0</v>
      </c>
      <c r="AK48" s="157">
        <v>0</v>
      </c>
    </row>
    <row r="49" spans="2:37" s="56" customFormat="1" x14ac:dyDescent="0.35">
      <c r="B49" s="65" t="s">
        <v>148</v>
      </c>
      <c r="C49" s="147">
        <v>1546</v>
      </c>
      <c r="D49" s="147">
        <v>-1935</v>
      </c>
      <c r="E49" s="163">
        <v>-637</v>
      </c>
      <c r="F49" s="147">
        <v>276</v>
      </c>
      <c r="G49" s="147">
        <v>141</v>
      </c>
      <c r="H49" s="147">
        <v>602</v>
      </c>
      <c r="I49" s="165">
        <v>546</v>
      </c>
      <c r="J49" s="158">
        <v>410</v>
      </c>
      <c r="K49" s="158">
        <v>443</v>
      </c>
      <c r="L49" s="158">
        <v>1774</v>
      </c>
      <c r="M49" s="164">
        <v>2182</v>
      </c>
      <c r="N49" s="158">
        <v>761</v>
      </c>
      <c r="O49" s="158">
        <v>488</v>
      </c>
      <c r="P49" s="158">
        <v>2054</v>
      </c>
      <c r="Q49" s="165">
        <v>0</v>
      </c>
      <c r="R49" s="158">
        <v>404</v>
      </c>
      <c r="S49" s="158">
        <v>332</v>
      </c>
      <c r="T49" s="158">
        <v>546</v>
      </c>
      <c r="U49" s="164">
        <v>3548</v>
      </c>
      <c r="V49" s="158">
        <v>759</v>
      </c>
      <c r="W49" s="158">
        <v>602</v>
      </c>
      <c r="X49" s="158">
        <v>451</v>
      </c>
      <c r="Y49" s="164">
        <v>1362</v>
      </c>
      <c r="Z49" s="158">
        <v>542</v>
      </c>
      <c r="AA49" s="158">
        <v>1065</v>
      </c>
      <c r="AB49" s="158">
        <v>-300</v>
      </c>
      <c r="AC49" s="158">
        <v>623</v>
      </c>
      <c r="AE49" s="158">
        <v>147</v>
      </c>
      <c r="AF49" s="158">
        <v>183</v>
      </c>
      <c r="AG49" s="158">
        <v>1670</v>
      </c>
      <c r="AH49" s="158">
        <v>4459</v>
      </c>
      <c r="AJ49" s="158">
        <v>1224</v>
      </c>
      <c r="AK49" s="158">
        <v>1008</v>
      </c>
    </row>
    <row r="50" spans="2:37" s="56" customFormat="1" ht="18.75" customHeight="1" outlineLevel="1" x14ac:dyDescent="0.35">
      <c r="B50" s="64" t="s">
        <v>147</v>
      </c>
      <c r="C50" s="157">
        <f t="shared" ref="C50:AC50" si="15">C23+C29+C34+C39+C41+C43+C48</f>
        <v>-1983</v>
      </c>
      <c r="D50" s="157">
        <f t="shared" si="15"/>
        <v>-5384</v>
      </c>
      <c r="E50" s="157">
        <f t="shared" si="15"/>
        <v>-3633</v>
      </c>
      <c r="F50" s="157">
        <f t="shared" si="15"/>
        <v>-373</v>
      </c>
      <c r="G50" s="157">
        <f t="shared" si="15"/>
        <v>-340</v>
      </c>
      <c r="H50" s="157">
        <f t="shared" si="15"/>
        <v>-453</v>
      </c>
      <c r="I50" s="157">
        <f t="shared" si="15"/>
        <v>-338</v>
      </c>
      <c r="J50" s="157">
        <f t="shared" si="15"/>
        <v>-364</v>
      </c>
      <c r="K50" s="157">
        <f t="shared" si="15"/>
        <v>-65</v>
      </c>
      <c r="L50" s="157">
        <f t="shared" si="15"/>
        <v>1142</v>
      </c>
      <c r="M50" s="157">
        <f t="shared" si="15"/>
        <v>1537</v>
      </c>
      <c r="N50" s="157">
        <f t="shared" si="15"/>
        <v>-98</v>
      </c>
      <c r="O50" s="157">
        <f t="shared" si="15"/>
        <v>-18</v>
      </c>
      <c r="P50" s="157">
        <f t="shared" si="15"/>
        <v>1235</v>
      </c>
      <c r="Q50" s="161">
        <f t="shared" si="15"/>
        <v>-946</v>
      </c>
      <c r="R50" s="157">
        <f t="shared" si="15"/>
        <v>-142</v>
      </c>
      <c r="S50" s="157">
        <f t="shared" si="15"/>
        <v>-485</v>
      </c>
      <c r="T50" s="157">
        <f t="shared" si="15"/>
        <v>-289</v>
      </c>
      <c r="U50" s="157">
        <f t="shared" si="15"/>
        <v>1944</v>
      </c>
      <c r="V50" s="157">
        <f t="shared" si="15"/>
        <v>-416</v>
      </c>
      <c r="W50" s="157">
        <f t="shared" si="15"/>
        <v>-414</v>
      </c>
      <c r="X50" s="157">
        <f t="shared" si="15"/>
        <v>-658</v>
      </c>
      <c r="Y50" s="157">
        <f t="shared" si="15"/>
        <v>-209</v>
      </c>
      <c r="Z50" s="157">
        <f t="shared" si="15"/>
        <v>-548</v>
      </c>
      <c r="AA50" s="157">
        <f t="shared" si="15"/>
        <v>-533</v>
      </c>
      <c r="AB50" s="157">
        <f t="shared" si="15"/>
        <v>-1216</v>
      </c>
      <c r="AC50" s="157">
        <f t="shared" si="15"/>
        <v>-884</v>
      </c>
      <c r="AE50" s="157">
        <f>AE23+AE29+AE34+AE39+AE41+AE43+AE48</f>
        <v>-541</v>
      </c>
      <c r="AF50" s="157">
        <f>AF23+AF29+AF34+AF39+AF41+AF43+AF48</f>
        <v>-727</v>
      </c>
      <c r="AG50" s="157">
        <f>AG23+AG29+AG34+AG39+AG41+AG43+AG48</f>
        <v>-663</v>
      </c>
      <c r="AH50" s="157">
        <f>AH23+AH29+AH34+AH39+AH41+AH43+AH48</f>
        <v>-460</v>
      </c>
      <c r="AJ50" s="157">
        <f>AJ23+AJ29+AJ34+AJ39+AJ41+AJ43+AJ48</f>
        <v>-721</v>
      </c>
      <c r="AK50" s="157">
        <f>AK23+AK29+AK34+AK39+AK41+AK43+AK48</f>
        <v>-542</v>
      </c>
    </row>
    <row r="51" spans="2:37" x14ac:dyDescent="0.35">
      <c r="E51" s="39"/>
    </row>
  </sheetData>
  <phoneticPr fontId="96"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82FBB-6241-40BB-BE1D-EC01BE134A4C}">
  <sheetPr>
    <tabColor rgb="FFFFC000"/>
  </sheetPr>
  <dimension ref="A1:AK61"/>
  <sheetViews>
    <sheetView showGridLines="0" zoomScale="70" zoomScaleNormal="70" workbookViewId="0">
      <pane xSplit="2" ySplit="5" topLeftCell="Y37" activePane="bottomRight" state="frozen"/>
      <selection pane="topRight"/>
      <selection pane="bottomLeft"/>
      <selection pane="bottomRight" activeCell="AK49" sqref="AK49"/>
    </sheetView>
  </sheetViews>
  <sheetFormatPr defaultColWidth="9.1796875" defaultRowHeight="15.5" outlineLevelCol="1" x14ac:dyDescent="0.35"/>
  <cols>
    <col min="1" max="1" width="2" style="71" customWidth="1"/>
    <col min="2" max="2" width="77.1796875" style="56" customWidth="1"/>
    <col min="3" max="5" width="10.7265625" style="23" customWidth="1" outlineLevel="1"/>
    <col min="6" max="8" width="10.7265625" style="22" customWidth="1" outlineLevel="1"/>
    <col min="9" max="9" width="10.7265625" style="23" customWidth="1" outlineLevel="1"/>
    <col min="10" max="12" width="10.7265625" style="22" customWidth="1" outlineLevel="1"/>
    <col min="13" max="13" width="10.7265625" style="23" customWidth="1" outlineLevel="1"/>
    <col min="14" max="16" width="10.7265625" style="22" customWidth="1" outlineLevel="1"/>
    <col min="17" max="17" width="10.7265625" style="23" customWidth="1" outlineLevel="1"/>
    <col min="18" max="20" width="10.7265625" style="22" customWidth="1" outlineLevel="1"/>
    <col min="21" max="21" width="10.7265625" style="23" customWidth="1" outlineLevel="1"/>
    <col min="22" max="23" width="10.7265625" style="22" customWidth="1"/>
    <col min="24" max="24" width="11.1796875" style="22" customWidth="1"/>
    <col min="25" max="25" width="10.7265625" style="23" customWidth="1"/>
    <col min="26" max="28" width="10.7265625" style="22" customWidth="1"/>
    <col min="29" max="29" width="9.1796875" style="71"/>
    <col min="30" max="30" width="0.90625" style="71" customWidth="1"/>
    <col min="31" max="34" width="10.7265625" style="22" customWidth="1"/>
    <col min="35" max="35" width="0.453125" style="71" customWidth="1"/>
    <col min="36" max="37" width="10.7265625" style="22" customWidth="1"/>
    <col min="38" max="16384" width="9.1796875" style="71"/>
  </cols>
  <sheetData>
    <row r="1" spans="1:37" ht="41.25" customHeight="1" x14ac:dyDescent="0.35">
      <c r="A1" s="148"/>
      <c r="C1" s="19"/>
      <c r="D1" s="19"/>
      <c r="E1" s="19"/>
      <c r="F1" s="18"/>
      <c r="G1" s="18"/>
      <c r="H1" s="18"/>
      <c r="I1" s="19"/>
      <c r="J1" s="18"/>
      <c r="K1" s="18"/>
      <c r="L1" s="18"/>
      <c r="M1" s="19"/>
      <c r="N1" s="18"/>
      <c r="O1" s="18"/>
      <c r="P1" s="18"/>
      <c r="Q1" s="19"/>
      <c r="R1" s="18"/>
      <c r="S1" s="18"/>
      <c r="T1" s="18"/>
      <c r="U1" s="19"/>
      <c r="V1" s="18"/>
      <c r="W1" s="18"/>
      <c r="X1" s="18"/>
      <c r="Y1" s="19"/>
      <c r="Z1" s="18"/>
      <c r="AA1" s="18"/>
      <c r="AB1" s="18"/>
      <c r="AE1" s="18"/>
      <c r="AF1" s="18"/>
      <c r="AG1" s="18"/>
      <c r="AH1" s="18"/>
      <c r="AJ1" s="18"/>
      <c r="AK1" s="18"/>
    </row>
    <row r="2" spans="1:37" ht="18" x14ac:dyDescent="0.3">
      <c r="B2" s="57" t="s">
        <v>406</v>
      </c>
      <c r="C2" s="21"/>
      <c r="D2" s="21"/>
      <c r="E2" s="21"/>
      <c r="F2" s="20"/>
      <c r="G2" s="20"/>
      <c r="H2" s="20"/>
      <c r="I2" s="21"/>
      <c r="J2" s="20"/>
      <c r="K2" s="20"/>
      <c r="L2" s="20"/>
      <c r="M2" s="21"/>
      <c r="N2" s="20"/>
      <c r="O2" s="20"/>
      <c r="P2" s="20"/>
      <c r="Q2" s="21"/>
      <c r="R2" s="20"/>
      <c r="S2" s="20"/>
      <c r="T2" s="20"/>
      <c r="U2" s="21"/>
      <c r="V2" s="20"/>
      <c r="W2" s="20"/>
      <c r="X2" s="20"/>
      <c r="Y2" s="21"/>
      <c r="Z2" s="20"/>
      <c r="AA2" s="20"/>
      <c r="AB2" s="20"/>
      <c r="AC2" s="20"/>
      <c r="AE2" s="20"/>
      <c r="AF2" s="20"/>
      <c r="AG2" s="20"/>
      <c r="AH2" s="20"/>
      <c r="AJ2" s="20"/>
      <c r="AK2" s="20"/>
    </row>
    <row r="3" spans="1:37" x14ac:dyDescent="0.35">
      <c r="C3" s="192"/>
      <c r="D3" s="192"/>
      <c r="E3" s="192"/>
      <c r="F3" s="191"/>
      <c r="G3" s="191"/>
      <c r="H3" s="191"/>
      <c r="I3" s="192"/>
      <c r="J3" s="191"/>
      <c r="K3" s="191"/>
      <c r="L3" s="191"/>
      <c r="M3" s="192"/>
    </row>
    <row r="4" spans="1:37" x14ac:dyDescent="0.3">
      <c r="B4" s="58"/>
      <c r="C4" s="41">
        <v>2014</v>
      </c>
      <c r="D4" s="41">
        <v>2015</v>
      </c>
      <c r="E4" s="42">
        <v>2016</v>
      </c>
      <c r="F4" s="40" t="s">
        <v>211</v>
      </c>
      <c r="G4" s="41" t="s">
        <v>212</v>
      </c>
      <c r="H4" s="41" t="s">
        <v>213</v>
      </c>
      <c r="I4" s="42" t="s">
        <v>195</v>
      </c>
      <c r="J4" s="40" t="s">
        <v>196</v>
      </c>
      <c r="K4" s="41" t="s">
        <v>197</v>
      </c>
      <c r="L4" s="41" t="s">
        <v>198</v>
      </c>
      <c r="M4" s="42" t="s">
        <v>199</v>
      </c>
      <c r="N4" s="41" t="s">
        <v>200</v>
      </c>
      <c r="O4" s="41" t="s">
        <v>201</v>
      </c>
      <c r="P4" s="41" t="s">
        <v>202</v>
      </c>
      <c r="Q4" s="42" t="s">
        <v>203</v>
      </c>
      <c r="R4" s="41" t="s">
        <v>204</v>
      </c>
      <c r="S4" s="41" t="s">
        <v>205</v>
      </c>
      <c r="T4" s="41" t="s">
        <v>206</v>
      </c>
      <c r="U4" s="42" t="s">
        <v>207</v>
      </c>
      <c r="V4" s="41" t="s">
        <v>208</v>
      </c>
      <c r="W4" s="41" t="s">
        <v>209</v>
      </c>
      <c r="X4" s="41" t="s">
        <v>210</v>
      </c>
      <c r="Y4" s="42" t="s">
        <v>428</v>
      </c>
      <c r="Z4" s="41" t="s">
        <v>435</v>
      </c>
      <c r="AA4" s="41" t="s">
        <v>440</v>
      </c>
      <c r="AB4" s="41" t="s">
        <v>470</v>
      </c>
      <c r="AC4" s="41" t="s">
        <v>480</v>
      </c>
      <c r="AE4" s="41" t="s">
        <v>500</v>
      </c>
      <c r="AF4" s="41" t="s">
        <v>524</v>
      </c>
      <c r="AG4" s="41" t="s">
        <v>588</v>
      </c>
      <c r="AH4" s="41" t="s">
        <v>604</v>
      </c>
      <c r="AJ4" s="41" t="s">
        <v>633</v>
      </c>
      <c r="AK4" s="41" t="s">
        <v>672</v>
      </c>
    </row>
    <row r="5" spans="1:37" x14ac:dyDescent="0.35">
      <c r="B5" s="59"/>
      <c r="C5" s="367">
        <v>40542</v>
      </c>
      <c r="D5" s="367">
        <v>40907</v>
      </c>
      <c r="E5" s="367">
        <v>41273</v>
      </c>
      <c r="F5" s="367">
        <v>41363</v>
      </c>
      <c r="G5" s="368">
        <v>41454</v>
      </c>
      <c r="H5" s="368">
        <v>41546</v>
      </c>
      <c r="I5" s="368">
        <v>41637</v>
      </c>
      <c r="J5" s="367">
        <v>41728</v>
      </c>
      <c r="K5" s="368">
        <v>41819</v>
      </c>
      <c r="L5" s="368">
        <v>41911</v>
      </c>
      <c r="M5" s="368">
        <v>42002</v>
      </c>
      <c r="N5" s="367">
        <v>42093</v>
      </c>
      <c r="O5" s="368">
        <v>42184</v>
      </c>
      <c r="P5" s="368">
        <v>42276</v>
      </c>
      <c r="Q5" s="368">
        <v>42367</v>
      </c>
      <c r="R5" s="367">
        <v>42459</v>
      </c>
      <c r="S5" s="368">
        <v>42550</v>
      </c>
      <c r="T5" s="368">
        <v>42642</v>
      </c>
      <c r="U5" s="368">
        <v>42733</v>
      </c>
      <c r="V5" s="367">
        <v>42824</v>
      </c>
      <c r="W5" s="368">
        <v>42915</v>
      </c>
      <c r="X5" s="368">
        <v>43007</v>
      </c>
      <c r="Y5" s="368">
        <v>43098</v>
      </c>
      <c r="Z5" s="367">
        <v>43189</v>
      </c>
      <c r="AA5" s="368">
        <v>43280</v>
      </c>
      <c r="AB5" s="368">
        <v>43372</v>
      </c>
      <c r="AC5" s="368">
        <v>43463</v>
      </c>
      <c r="AD5" s="368">
        <v>43737</v>
      </c>
      <c r="AE5" s="367">
        <v>43554</v>
      </c>
      <c r="AF5" s="368">
        <v>43645</v>
      </c>
      <c r="AG5" s="368">
        <v>43737</v>
      </c>
      <c r="AH5" s="368">
        <v>43828</v>
      </c>
      <c r="AJ5" s="367">
        <v>43920</v>
      </c>
      <c r="AK5" s="367">
        <v>44011</v>
      </c>
    </row>
    <row r="6" spans="1:37" ht="8.25" customHeight="1" x14ac:dyDescent="0.35">
      <c r="C6" s="19"/>
      <c r="D6" s="19"/>
      <c r="E6" s="19"/>
      <c r="F6" s="18"/>
      <c r="G6" s="18"/>
      <c r="H6" s="18"/>
      <c r="I6" s="19"/>
      <c r="J6" s="18"/>
      <c r="K6" s="18"/>
      <c r="L6" s="18"/>
      <c r="M6" s="19"/>
      <c r="N6" s="18"/>
      <c r="O6" s="18"/>
      <c r="P6" s="18"/>
      <c r="Q6" s="19"/>
      <c r="R6" s="18"/>
      <c r="S6" s="18"/>
      <c r="T6" s="18"/>
      <c r="U6" s="19"/>
      <c r="V6" s="18"/>
      <c r="W6" s="18"/>
      <c r="X6" s="18"/>
      <c r="Y6" s="19"/>
      <c r="Z6" s="18"/>
      <c r="AA6" s="18"/>
      <c r="AB6" s="18"/>
      <c r="AE6" s="18"/>
      <c r="AF6" s="18"/>
      <c r="AG6" s="18"/>
      <c r="AH6" s="18"/>
      <c r="AJ6" s="18"/>
      <c r="AK6" s="18"/>
    </row>
    <row r="7" spans="1:37" s="128" customFormat="1" ht="18" x14ac:dyDescent="0.4">
      <c r="B7" s="60" t="s">
        <v>380</v>
      </c>
      <c r="C7" s="27"/>
      <c r="D7" s="27"/>
      <c r="E7" s="27"/>
      <c r="F7" s="26"/>
      <c r="G7" s="26"/>
      <c r="H7" s="26"/>
      <c r="I7" s="27"/>
      <c r="J7" s="26"/>
      <c r="K7" s="26"/>
      <c r="L7" s="26"/>
      <c r="M7" s="27"/>
      <c r="N7" s="26"/>
      <c r="O7" s="28"/>
      <c r="P7" s="28"/>
      <c r="Q7" s="29"/>
      <c r="R7" s="28"/>
      <c r="S7" s="28"/>
      <c r="T7" s="28"/>
      <c r="U7" s="29"/>
      <c r="V7" s="28"/>
      <c r="W7" s="30"/>
      <c r="X7" s="28"/>
      <c r="Y7" s="29"/>
      <c r="Z7" s="28"/>
      <c r="AA7" s="28"/>
      <c r="AB7" s="28"/>
      <c r="AE7" s="28"/>
      <c r="AF7" s="28"/>
      <c r="AG7" s="28"/>
      <c r="AH7" s="28"/>
      <c r="AJ7" s="28"/>
      <c r="AK7" s="28"/>
    </row>
    <row r="8" spans="1:37" s="129" customFormat="1" ht="7.5" customHeight="1" x14ac:dyDescent="0.4">
      <c r="B8" s="101"/>
      <c r="C8" s="106"/>
      <c r="D8" s="106"/>
      <c r="E8" s="106"/>
      <c r="F8" s="107"/>
      <c r="G8" s="107"/>
      <c r="H8" s="107"/>
      <c r="I8" s="106"/>
      <c r="J8" s="107"/>
      <c r="K8" s="107"/>
      <c r="L8" s="107"/>
      <c r="M8" s="106"/>
      <c r="N8" s="107"/>
      <c r="O8" s="107"/>
      <c r="P8" s="107"/>
      <c r="Q8" s="106"/>
      <c r="R8" s="107"/>
      <c r="S8" s="107"/>
      <c r="T8" s="107"/>
      <c r="U8" s="106"/>
      <c r="V8" s="107"/>
      <c r="W8" s="107"/>
      <c r="X8" s="107"/>
      <c r="Y8" s="106"/>
      <c r="Z8" s="107"/>
      <c r="AA8" s="107"/>
      <c r="AB8" s="107"/>
      <c r="AC8" s="435"/>
      <c r="AE8" s="107"/>
      <c r="AF8" s="107"/>
      <c r="AG8" s="107"/>
      <c r="AH8" s="107"/>
      <c r="AJ8" s="107"/>
      <c r="AK8" s="107"/>
    </row>
    <row r="9" spans="1:37" s="56" customFormat="1" x14ac:dyDescent="0.35">
      <c r="B9" s="193" t="s">
        <v>381</v>
      </c>
      <c r="C9" s="195">
        <v>-348</v>
      </c>
      <c r="D9" s="195">
        <v>-412</v>
      </c>
      <c r="E9" s="195">
        <v>-542</v>
      </c>
      <c r="F9" s="194">
        <v>-125</v>
      </c>
      <c r="G9" s="194">
        <v>-140</v>
      </c>
      <c r="H9" s="194">
        <v>-153</v>
      </c>
      <c r="I9" s="195">
        <v>-127</v>
      </c>
      <c r="J9" s="194">
        <v>-121</v>
      </c>
      <c r="K9" s="194">
        <v>-136</v>
      </c>
      <c r="L9" s="194">
        <v>-131</v>
      </c>
      <c r="M9" s="195">
        <v>-134</v>
      </c>
      <c r="N9" s="194">
        <v>-124</v>
      </c>
      <c r="O9" s="194">
        <v>-115</v>
      </c>
      <c r="P9" s="194">
        <v>-135</v>
      </c>
      <c r="Q9" s="195">
        <v>-139</v>
      </c>
      <c r="R9" s="194">
        <v>-150</v>
      </c>
      <c r="S9" s="194">
        <v>-157</v>
      </c>
      <c r="T9" s="194">
        <v>-148</v>
      </c>
      <c r="U9" s="195">
        <v>-183</v>
      </c>
      <c r="V9" s="194">
        <v>-193</v>
      </c>
      <c r="W9" s="194">
        <v>-240</v>
      </c>
      <c r="X9" s="194">
        <v>-188</v>
      </c>
      <c r="Y9" s="195">
        <v>-184</v>
      </c>
      <c r="Z9" s="194">
        <f>Z10</f>
        <v>-122</v>
      </c>
      <c r="AA9" s="194">
        <f>AA10</f>
        <v>-136</v>
      </c>
      <c r="AB9" s="194">
        <f>AB10</f>
        <v>-227</v>
      </c>
      <c r="AC9" s="194">
        <f>AC10</f>
        <v>-166</v>
      </c>
      <c r="AE9" s="194">
        <f>AE10</f>
        <v>-175</v>
      </c>
      <c r="AF9" s="194">
        <f>AF10</f>
        <v>-179</v>
      </c>
      <c r="AG9" s="194">
        <f>AG10</f>
        <v>-180</v>
      </c>
      <c r="AH9" s="194">
        <f>AH10</f>
        <v>-183</v>
      </c>
      <c r="AJ9" s="194">
        <f>AJ10</f>
        <v>-172</v>
      </c>
      <c r="AK9" s="194">
        <f>AK10</f>
        <v>-188</v>
      </c>
    </row>
    <row r="10" spans="1:37" s="56" customFormat="1" x14ac:dyDescent="0.35">
      <c r="B10" s="329" t="s">
        <v>382</v>
      </c>
      <c r="C10" s="108">
        <v>-348</v>
      </c>
      <c r="D10" s="108">
        <v>-412</v>
      </c>
      <c r="E10" s="108">
        <v>-542</v>
      </c>
      <c r="F10" s="109">
        <v>-125</v>
      </c>
      <c r="G10" s="109">
        <v>-140</v>
      </c>
      <c r="H10" s="109">
        <v>-153</v>
      </c>
      <c r="I10" s="108">
        <v>-127</v>
      </c>
      <c r="J10" s="109">
        <v>-121</v>
      </c>
      <c r="K10" s="109">
        <v>-136</v>
      </c>
      <c r="L10" s="109">
        <v>-131</v>
      </c>
      <c r="M10" s="108">
        <v>-134</v>
      </c>
      <c r="N10" s="109">
        <v>-124</v>
      </c>
      <c r="O10" s="109">
        <v>-115</v>
      </c>
      <c r="P10" s="109">
        <v>-135</v>
      </c>
      <c r="Q10" s="108">
        <v>-139</v>
      </c>
      <c r="R10" s="109">
        <v>-150</v>
      </c>
      <c r="S10" s="109">
        <v>-157</v>
      </c>
      <c r="T10" s="109">
        <v>-148</v>
      </c>
      <c r="U10" s="108">
        <v>-183</v>
      </c>
      <c r="V10" s="109">
        <v>-193</v>
      </c>
      <c r="W10" s="109">
        <v>-240</v>
      </c>
      <c r="X10" s="109">
        <v>-188</v>
      </c>
      <c r="Y10" s="108">
        <v>-184</v>
      </c>
      <c r="Z10" s="109">
        <v>-122</v>
      </c>
      <c r="AA10" s="109">
        <v>-136</v>
      </c>
      <c r="AB10" s="109">
        <v>-227</v>
      </c>
      <c r="AC10" s="109">
        <v>-166</v>
      </c>
      <c r="AE10" s="109">
        <v>-175</v>
      </c>
      <c r="AF10" s="109">
        <v>-179</v>
      </c>
      <c r="AG10" s="109">
        <v>-180</v>
      </c>
      <c r="AH10" s="109">
        <v>-183</v>
      </c>
      <c r="AJ10" s="109">
        <v>-172</v>
      </c>
      <c r="AK10" s="109">
        <v>-188</v>
      </c>
    </row>
    <row r="11" spans="1:37" s="129" customFormat="1" ht="7.5" customHeight="1" x14ac:dyDescent="0.4">
      <c r="B11" s="101"/>
      <c r="C11" s="106"/>
      <c r="D11" s="106"/>
      <c r="E11" s="106"/>
      <c r="F11" s="107"/>
      <c r="G11" s="107"/>
      <c r="H11" s="107"/>
      <c r="I11" s="106"/>
      <c r="J11" s="107"/>
      <c r="K11" s="107"/>
      <c r="L11" s="107"/>
      <c r="M11" s="106"/>
      <c r="N11" s="107"/>
      <c r="O11" s="107"/>
      <c r="P11" s="107"/>
      <c r="Q11" s="106"/>
      <c r="R11" s="107"/>
      <c r="S11" s="107"/>
      <c r="T11" s="107"/>
      <c r="U11" s="106"/>
      <c r="V11" s="107"/>
      <c r="W11" s="107"/>
      <c r="X11" s="107"/>
      <c r="Y11" s="106"/>
      <c r="Z11" s="107"/>
      <c r="AA11" s="107"/>
      <c r="AB11" s="107"/>
      <c r="AC11" s="107"/>
      <c r="AE11" s="107"/>
      <c r="AF11" s="107"/>
      <c r="AG11" s="107"/>
      <c r="AH11" s="107"/>
      <c r="AJ11" s="107"/>
      <c r="AK11" s="107"/>
    </row>
    <row r="12" spans="1:37" s="56" customFormat="1" x14ac:dyDescent="0.35">
      <c r="B12" s="193" t="s">
        <v>383</v>
      </c>
      <c r="C12" s="195">
        <v>-10</v>
      </c>
      <c r="D12" s="195">
        <v>-12</v>
      </c>
      <c r="E12" s="195">
        <v>-12</v>
      </c>
      <c r="F12" s="194">
        <v>-4</v>
      </c>
      <c r="G12" s="194">
        <v>-3</v>
      </c>
      <c r="H12" s="194">
        <v>-3</v>
      </c>
      <c r="I12" s="195">
        <v>-3</v>
      </c>
      <c r="J12" s="194">
        <v>-3</v>
      </c>
      <c r="K12" s="194">
        <v>-3</v>
      </c>
      <c r="L12" s="194">
        <v>-3</v>
      </c>
      <c r="M12" s="195">
        <v>-3</v>
      </c>
      <c r="N12" s="194">
        <v>-3</v>
      </c>
      <c r="O12" s="194">
        <v>-3</v>
      </c>
      <c r="P12" s="194">
        <v>-4</v>
      </c>
      <c r="Q12" s="195">
        <v>-2</v>
      </c>
      <c r="R12" s="194">
        <v>-3</v>
      </c>
      <c r="S12" s="194">
        <v>-3</v>
      </c>
      <c r="T12" s="194">
        <v>-3</v>
      </c>
      <c r="U12" s="195">
        <v>9</v>
      </c>
      <c r="V12" s="194">
        <v>-3</v>
      </c>
      <c r="W12" s="194">
        <v>-3</v>
      </c>
      <c r="X12" s="194">
        <v>-3</v>
      </c>
      <c r="Y12" s="195">
        <v>0</v>
      </c>
      <c r="Z12" s="194">
        <v>-3</v>
      </c>
      <c r="AA12" s="194">
        <v>-3</v>
      </c>
      <c r="AB12" s="194">
        <f>SUM(AB13:AB15)</f>
        <v>-5</v>
      </c>
      <c r="AC12" s="194">
        <f>SUM(AC13:AC15)</f>
        <v>-3</v>
      </c>
      <c r="AE12" s="194">
        <f>SUM(AE13:AE15)</f>
        <v>-3</v>
      </c>
      <c r="AF12" s="194">
        <f>SUM(AF13:AF15)</f>
        <v>-3</v>
      </c>
      <c r="AG12" s="194">
        <f>SUM(AG13:AG15)</f>
        <v>-3</v>
      </c>
      <c r="AH12" s="194">
        <f>SUM(AH13:AH15)</f>
        <v>-4</v>
      </c>
      <c r="AJ12" s="194">
        <f>SUM(AJ13:AJ15)</f>
        <v>-3</v>
      </c>
      <c r="AK12" s="194">
        <f>SUM(AK13:AK15)</f>
        <v>-2</v>
      </c>
    </row>
    <row r="13" spans="1:37" s="56" customFormat="1" x14ac:dyDescent="0.35">
      <c r="B13" s="330" t="s">
        <v>89</v>
      </c>
      <c r="C13" s="108">
        <v>-10</v>
      </c>
      <c r="D13" s="108">
        <v>-12</v>
      </c>
      <c r="E13" s="108">
        <v>-12</v>
      </c>
      <c r="F13" s="109">
        <v>-4</v>
      </c>
      <c r="G13" s="109">
        <v>-3</v>
      </c>
      <c r="H13" s="109">
        <v>-3</v>
      </c>
      <c r="I13" s="108">
        <v>-3</v>
      </c>
      <c r="J13" s="109">
        <v>-3</v>
      </c>
      <c r="K13" s="109">
        <v>-3</v>
      </c>
      <c r="L13" s="109">
        <v>-3</v>
      </c>
      <c r="M13" s="108">
        <v>-3</v>
      </c>
      <c r="N13" s="109">
        <v>-3</v>
      </c>
      <c r="O13" s="109">
        <v>-3</v>
      </c>
      <c r="P13" s="109">
        <v>-4</v>
      </c>
      <c r="Q13" s="108">
        <v>-2</v>
      </c>
      <c r="R13" s="109">
        <v>-3</v>
      </c>
      <c r="S13" s="109">
        <v>-3</v>
      </c>
      <c r="T13" s="109">
        <v>-3</v>
      </c>
      <c r="U13" s="108">
        <v>-4</v>
      </c>
      <c r="V13" s="109">
        <v>-3</v>
      </c>
      <c r="W13" s="109">
        <v>-3</v>
      </c>
      <c r="X13" s="109">
        <v>-3</v>
      </c>
      <c r="Y13" s="108">
        <v>-4</v>
      </c>
      <c r="Z13" s="109">
        <v>-3</v>
      </c>
      <c r="AA13" s="109">
        <v>-3</v>
      </c>
      <c r="AB13" s="109">
        <v>-3</v>
      </c>
      <c r="AC13" s="109">
        <v>-3</v>
      </c>
      <c r="AE13" s="109">
        <v>-3</v>
      </c>
      <c r="AF13" s="109">
        <v>-3</v>
      </c>
      <c r="AG13" s="109">
        <v>-3</v>
      </c>
      <c r="AH13" s="109">
        <v>-4</v>
      </c>
      <c r="AJ13" s="109">
        <v>-3</v>
      </c>
      <c r="AK13" s="109">
        <v>-2</v>
      </c>
    </row>
    <row r="14" spans="1:37" s="56" customFormat="1" x14ac:dyDescent="0.35">
      <c r="B14" s="330" t="s">
        <v>384</v>
      </c>
      <c r="C14" s="108">
        <v>0</v>
      </c>
      <c r="D14" s="108">
        <v>0</v>
      </c>
      <c r="E14" s="108">
        <v>0</v>
      </c>
      <c r="F14" s="108">
        <v>0</v>
      </c>
      <c r="G14" s="108">
        <v>0</v>
      </c>
      <c r="H14" s="108">
        <v>0</v>
      </c>
      <c r="I14" s="108">
        <v>0</v>
      </c>
      <c r="J14" s="108">
        <v>0</v>
      </c>
      <c r="K14" s="108">
        <v>0</v>
      </c>
      <c r="L14" s="108">
        <v>0</v>
      </c>
      <c r="M14" s="108">
        <v>0</v>
      </c>
      <c r="N14" s="108">
        <v>0</v>
      </c>
      <c r="O14" s="108">
        <v>0</v>
      </c>
      <c r="P14" s="108">
        <v>0</v>
      </c>
      <c r="Q14" s="108">
        <v>0</v>
      </c>
      <c r="R14" s="108">
        <v>0</v>
      </c>
      <c r="S14" s="108">
        <v>0</v>
      </c>
      <c r="T14" s="108">
        <v>0</v>
      </c>
      <c r="U14" s="108">
        <v>13</v>
      </c>
      <c r="V14" s="108">
        <v>0</v>
      </c>
      <c r="W14" s="108">
        <v>0</v>
      </c>
      <c r="X14" s="108">
        <v>0</v>
      </c>
      <c r="Y14" s="108">
        <v>4</v>
      </c>
      <c r="Z14" s="109">
        <v>0</v>
      </c>
      <c r="AA14" s="109">
        <v>0</v>
      </c>
      <c r="AB14" s="109">
        <v>0</v>
      </c>
      <c r="AC14" s="109">
        <v>0</v>
      </c>
      <c r="AE14" s="109">
        <v>0</v>
      </c>
      <c r="AF14" s="109">
        <v>0</v>
      </c>
      <c r="AG14" s="109">
        <v>0</v>
      </c>
      <c r="AH14" s="109">
        <v>0</v>
      </c>
      <c r="AJ14" s="109">
        <v>0</v>
      </c>
      <c r="AK14" s="109">
        <v>0</v>
      </c>
    </row>
    <row r="15" spans="1:37" s="56" customFormat="1" x14ac:dyDescent="0.35">
      <c r="B15" s="330" t="s">
        <v>596</v>
      </c>
      <c r="C15" s="108">
        <v>0</v>
      </c>
      <c r="D15" s="108">
        <v>0</v>
      </c>
      <c r="E15" s="108">
        <v>0</v>
      </c>
      <c r="F15" s="108">
        <v>0</v>
      </c>
      <c r="G15" s="108">
        <v>0</v>
      </c>
      <c r="H15" s="108">
        <v>0</v>
      </c>
      <c r="I15" s="108">
        <v>0</v>
      </c>
      <c r="J15" s="108">
        <v>0</v>
      </c>
      <c r="K15" s="108">
        <v>0</v>
      </c>
      <c r="L15" s="108">
        <v>0</v>
      </c>
      <c r="M15" s="108">
        <v>0</v>
      </c>
      <c r="N15" s="108">
        <v>0</v>
      </c>
      <c r="O15" s="108">
        <v>0</v>
      </c>
      <c r="P15" s="108">
        <v>0</v>
      </c>
      <c r="Q15" s="108">
        <v>0</v>
      </c>
      <c r="R15" s="108">
        <v>0</v>
      </c>
      <c r="S15" s="108">
        <v>0</v>
      </c>
      <c r="T15" s="108">
        <v>0</v>
      </c>
      <c r="U15" s="108">
        <v>0</v>
      </c>
      <c r="V15" s="108">
        <v>0</v>
      </c>
      <c r="W15" s="108">
        <v>0</v>
      </c>
      <c r="X15" s="108">
        <v>0</v>
      </c>
      <c r="Y15" s="108">
        <v>0</v>
      </c>
      <c r="Z15" s="109">
        <v>0</v>
      </c>
      <c r="AA15" s="109">
        <v>0</v>
      </c>
      <c r="AB15" s="109">
        <v>-2</v>
      </c>
      <c r="AC15" s="109">
        <v>0</v>
      </c>
      <c r="AE15" s="109">
        <v>0</v>
      </c>
      <c r="AF15" s="109">
        <v>0</v>
      </c>
      <c r="AG15" s="109">
        <v>0</v>
      </c>
      <c r="AH15" s="109">
        <v>0</v>
      </c>
      <c r="AJ15" s="109">
        <v>0</v>
      </c>
      <c r="AK15" s="109">
        <v>0</v>
      </c>
    </row>
    <row r="16" spans="1:37" s="129" customFormat="1" ht="7.5" customHeight="1" x14ac:dyDescent="0.4">
      <c r="B16" s="101"/>
      <c r="C16" s="106"/>
      <c r="D16" s="106"/>
      <c r="E16" s="106"/>
      <c r="F16" s="107"/>
      <c r="G16" s="107"/>
      <c r="H16" s="107"/>
      <c r="I16" s="106"/>
      <c r="J16" s="107"/>
      <c r="K16" s="107"/>
      <c r="L16" s="107"/>
      <c r="M16" s="106"/>
      <c r="N16" s="107"/>
      <c r="O16" s="107"/>
      <c r="P16" s="107"/>
      <c r="Q16" s="106"/>
      <c r="R16" s="107"/>
      <c r="S16" s="107"/>
      <c r="T16" s="107"/>
      <c r="U16" s="106"/>
      <c r="V16" s="107"/>
      <c r="W16" s="107"/>
      <c r="X16" s="107"/>
      <c r="Y16" s="106"/>
      <c r="Z16" s="107"/>
      <c r="AA16" s="107"/>
      <c r="AB16" s="107"/>
      <c r="AC16" s="107"/>
      <c r="AE16" s="107"/>
      <c r="AF16" s="107"/>
      <c r="AG16" s="107"/>
      <c r="AH16" s="107"/>
      <c r="AJ16" s="107"/>
      <c r="AK16" s="107"/>
    </row>
    <row r="17" spans="2:37" s="56" customFormat="1" x14ac:dyDescent="0.35">
      <c r="B17" s="193" t="s">
        <v>531</v>
      </c>
      <c r="C17" s="195">
        <v>-1489</v>
      </c>
      <c r="D17" s="195">
        <v>-3322</v>
      </c>
      <c r="E17" s="195">
        <v>-853</v>
      </c>
      <c r="F17" s="195">
        <v>-20</v>
      </c>
      <c r="G17" s="195">
        <v>-84</v>
      </c>
      <c r="H17" s="195">
        <v>-84</v>
      </c>
      <c r="I17" s="195">
        <v>-96</v>
      </c>
      <c r="J17" s="194">
        <v>-84</v>
      </c>
      <c r="K17" s="194">
        <v>-104</v>
      </c>
      <c r="L17" s="194">
        <v>-94</v>
      </c>
      <c r="M17" s="195">
        <v>-3</v>
      </c>
      <c r="N17" s="194">
        <v>-118</v>
      </c>
      <c r="O17" s="194">
        <v>-120</v>
      </c>
      <c r="P17" s="194">
        <v>-122</v>
      </c>
      <c r="Q17" s="195">
        <v>-328</v>
      </c>
      <c r="R17" s="194">
        <v>-132</v>
      </c>
      <c r="S17" s="194">
        <v>-132</v>
      </c>
      <c r="T17" s="194">
        <v>-129</v>
      </c>
      <c r="U17" s="195">
        <v>62</v>
      </c>
      <c r="V17" s="194">
        <v>-135</v>
      </c>
      <c r="W17" s="194">
        <v>-136</v>
      </c>
      <c r="X17" s="194">
        <v>-143</v>
      </c>
      <c r="Y17" s="195">
        <f>SUM(Y18:Y22)</f>
        <v>-75</v>
      </c>
      <c r="Z17" s="194">
        <f>SUM(Z18:Z22)</f>
        <v>-136</v>
      </c>
      <c r="AA17" s="194">
        <f>SUM(AA18:AA22)</f>
        <v>-132</v>
      </c>
      <c r="AB17" s="194">
        <f>SUM(AB18:AB23)</f>
        <v>-152</v>
      </c>
      <c r="AC17" s="194">
        <f>SUM(AC18:AC23)</f>
        <v>-132</v>
      </c>
      <c r="AE17" s="194">
        <f>SUM(AE18:AE22)</f>
        <v>-135</v>
      </c>
      <c r="AF17" s="194">
        <f>SUM(AF18:AF22)</f>
        <v>-133</v>
      </c>
      <c r="AG17" s="194">
        <f>SUM(AG18:AG22)</f>
        <v>-136</v>
      </c>
      <c r="AH17" s="194">
        <f>SUM(AH18:AH22)</f>
        <v>-139</v>
      </c>
      <c r="AJ17" s="194">
        <f>SUM(AJ18:AJ22)</f>
        <v>-141</v>
      </c>
      <c r="AK17" s="194">
        <f>SUM(AK18:AK22)</f>
        <v>-132</v>
      </c>
    </row>
    <row r="18" spans="2:37" s="56" customFormat="1" x14ac:dyDescent="0.35">
      <c r="B18" s="330" t="s">
        <v>89</v>
      </c>
      <c r="C18" s="108">
        <v>-393</v>
      </c>
      <c r="D18" s="108">
        <v>-459</v>
      </c>
      <c r="E18" s="108">
        <v>-442</v>
      </c>
      <c r="F18" s="109">
        <v>-108</v>
      </c>
      <c r="G18" s="109">
        <v>-112</v>
      </c>
      <c r="H18" s="331">
        <v>-113</v>
      </c>
      <c r="I18" s="332">
        <v>-106</v>
      </c>
      <c r="J18" s="109">
        <v>-103</v>
      </c>
      <c r="K18" s="109">
        <v>-104</v>
      </c>
      <c r="L18" s="109">
        <v>-99</v>
      </c>
      <c r="M18" s="108">
        <v>-99</v>
      </c>
      <c r="N18" s="109">
        <v>-125</v>
      </c>
      <c r="O18" s="109">
        <v>-124</v>
      </c>
      <c r="P18" s="109">
        <v>-123</v>
      </c>
      <c r="Q18" s="108">
        <v>-144</v>
      </c>
      <c r="R18" s="109">
        <v>-132</v>
      </c>
      <c r="S18" s="109">
        <v>-133</v>
      </c>
      <c r="T18" s="109">
        <v>-129</v>
      </c>
      <c r="U18" s="108">
        <v>-130</v>
      </c>
      <c r="V18" s="109">
        <v>-136</v>
      </c>
      <c r="W18" s="109">
        <v>-137</v>
      </c>
      <c r="X18" s="109">
        <v>-141</v>
      </c>
      <c r="Y18" s="108">
        <v>-132</v>
      </c>
      <c r="Z18" s="109">
        <v>-136</v>
      </c>
      <c r="AA18" s="109">
        <v>-132</v>
      </c>
      <c r="AB18" s="109">
        <v>-139</v>
      </c>
      <c r="AC18" s="109">
        <v>-134</v>
      </c>
      <c r="AE18" s="109">
        <v>-135</v>
      </c>
      <c r="AF18" s="109">
        <v>-133</v>
      </c>
      <c r="AG18" s="109">
        <v>-136</v>
      </c>
      <c r="AH18" s="109">
        <v>-137</v>
      </c>
      <c r="AJ18" s="109">
        <v>-140</v>
      </c>
      <c r="AK18" s="548">
        <v>-133</v>
      </c>
    </row>
    <row r="19" spans="2:37" s="56" customFormat="1" x14ac:dyDescent="0.35">
      <c r="B19" s="330" t="s">
        <v>385</v>
      </c>
      <c r="C19" s="108">
        <v>-1096</v>
      </c>
      <c r="D19" s="108">
        <v>-2863</v>
      </c>
      <c r="E19" s="108">
        <v>-411</v>
      </c>
      <c r="F19" s="109">
        <v>88</v>
      </c>
      <c r="G19" s="109">
        <v>28</v>
      </c>
      <c r="H19" s="109">
        <v>29</v>
      </c>
      <c r="I19" s="108">
        <v>10</v>
      </c>
      <c r="J19" s="109">
        <v>19</v>
      </c>
      <c r="K19" s="109">
        <v>0</v>
      </c>
      <c r="L19" s="109">
        <v>5</v>
      </c>
      <c r="M19" s="108">
        <v>96</v>
      </c>
      <c r="N19" s="109">
        <v>7</v>
      </c>
      <c r="O19" s="109">
        <v>4</v>
      </c>
      <c r="P19" s="109">
        <v>1</v>
      </c>
      <c r="Q19" s="108">
        <v>0</v>
      </c>
      <c r="R19" s="109">
        <v>0</v>
      </c>
      <c r="S19" s="109">
        <v>1</v>
      </c>
      <c r="T19" s="109">
        <v>0</v>
      </c>
      <c r="U19" s="108">
        <v>0</v>
      </c>
      <c r="V19" s="109">
        <v>1</v>
      </c>
      <c r="W19" s="109">
        <v>1</v>
      </c>
      <c r="X19" s="109">
        <v>-2</v>
      </c>
      <c r="Y19" s="108">
        <v>0</v>
      </c>
      <c r="Z19" s="109">
        <v>0</v>
      </c>
      <c r="AA19" s="109">
        <v>0</v>
      </c>
      <c r="AB19" s="109">
        <v>6</v>
      </c>
      <c r="AC19" s="109">
        <v>2</v>
      </c>
      <c r="AE19" s="109">
        <v>0</v>
      </c>
      <c r="AF19" s="109">
        <v>0</v>
      </c>
      <c r="AG19" s="109">
        <v>0</v>
      </c>
      <c r="AH19" s="109">
        <v>-2</v>
      </c>
      <c r="AJ19" s="109">
        <v>-1</v>
      </c>
      <c r="AK19" s="548">
        <v>1</v>
      </c>
    </row>
    <row r="20" spans="2:37" s="56" customFormat="1" x14ac:dyDescent="0.35">
      <c r="B20" s="330" t="s">
        <v>386</v>
      </c>
      <c r="C20" s="109">
        <v>0</v>
      </c>
      <c r="D20" s="109">
        <v>0</v>
      </c>
      <c r="E20" s="109">
        <v>0</v>
      </c>
      <c r="F20" s="109">
        <v>0</v>
      </c>
      <c r="G20" s="109">
        <v>0</v>
      </c>
      <c r="H20" s="109">
        <v>0</v>
      </c>
      <c r="I20" s="109">
        <v>0</v>
      </c>
      <c r="J20" s="109">
        <v>0</v>
      </c>
      <c r="K20" s="109">
        <v>0</v>
      </c>
      <c r="L20" s="109">
        <v>0</v>
      </c>
      <c r="M20" s="109">
        <v>0</v>
      </c>
      <c r="N20" s="109">
        <v>0</v>
      </c>
      <c r="O20" s="109">
        <v>0</v>
      </c>
      <c r="P20" s="109">
        <v>0</v>
      </c>
      <c r="Q20" s="108">
        <v>-173</v>
      </c>
      <c r="R20" s="109">
        <v>0</v>
      </c>
      <c r="S20" s="109">
        <v>0</v>
      </c>
      <c r="T20" s="109">
        <v>0</v>
      </c>
      <c r="U20" s="108">
        <v>0</v>
      </c>
      <c r="V20" s="109">
        <v>0</v>
      </c>
      <c r="W20" s="109">
        <v>0</v>
      </c>
      <c r="X20" s="109">
        <v>0</v>
      </c>
      <c r="Y20" s="108">
        <v>0</v>
      </c>
      <c r="Z20" s="109">
        <v>0</v>
      </c>
      <c r="AA20" s="109">
        <v>0</v>
      </c>
      <c r="AB20" s="109">
        <v>0</v>
      </c>
      <c r="AC20" s="109">
        <v>0</v>
      </c>
      <c r="AE20" s="109">
        <v>0</v>
      </c>
      <c r="AF20" s="109">
        <v>0</v>
      </c>
      <c r="AG20" s="109">
        <v>0</v>
      </c>
      <c r="AH20" s="109">
        <v>0</v>
      </c>
      <c r="AJ20" s="109">
        <v>0</v>
      </c>
      <c r="AK20" s="109">
        <v>0</v>
      </c>
    </row>
    <row r="21" spans="2:37" s="56" customFormat="1" x14ac:dyDescent="0.35">
      <c r="B21" s="330" t="s">
        <v>387</v>
      </c>
      <c r="C21" s="109">
        <v>0</v>
      </c>
      <c r="D21" s="109">
        <v>0</v>
      </c>
      <c r="E21" s="109">
        <v>0</v>
      </c>
      <c r="F21" s="109">
        <v>0</v>
      </c>
      <c r="G21" s="109">
        <v>0</v>
      </c>
      <c r="H21" s="109">
        <v>0</v>
      </c>
      <c r="I21" s="109">
        <v>0</v>
      </c>
      <c r="J21" s="109">
        <v>0</v>
      </c>
      <c r="K21" s="109">
        <v>0</v>
      </c>
      <c r="L21" s="109">
        <v>0</v>
      </c>
      <c r="M21" s="109">
        <v>0</v>
      </c>
      <c r="N21" s="109">
        <v>0</v>
      </c>
      <c r="O21" s="109">
        <v>0</v>
      </c>
      <c r="P21" s="109">
        <v>0</v>
      </c>
      <c r="Q21" s="108">
        <v>-11</v>
      </c>
      <c r="R21" s="109">
        <v>0</v>
      </c>
      <c r="S21" s="109">
        <v>0</v>
      </c>
      <c r="T21" s="109">
        <v>0</v>
      </c>
      <c r="U21" s="108">
        <v>0</v>
      </c>
      <c r="V21" s="109">
        <v>0</v>
      </c>
      <c r="W21" s="109">
        <v>0</v>
      </c>
      <c r="X21" s="109">
        <v>0</v>
      </c>
      <c r="Y21" s="108">
        <v>0</v>
      </c>
      <c r="Z21" s="109">
        <v>0</v>
      </c>
      <c r="AA21" s="109">
        <v>0</v>
      </c>
      <c r="AB21" s="109">
        <v>0</v>
      </c>
      <c r="AC21" s="109">
        <v>0</v>
      </c>
      <c r="AE21" s="109">
        <v>0</v>
      </c>
      <c r="AF21" s="109">
        <v>0</v>
      </c>
      <c r="AG21" s="109">
        <v>0</v>
      </c>
      <c r="AH21" s="109">
        <v>0</v>
      </c>
      <c r="AJ21" s="109">
        <v>0</v>
      </c>
      <c r="AK21" s="109">
        <v>0</v>
      </c>
    </row>
    <row r="22" spans="2:37" s="56" customFormat="1" x14ac:dyDescent="0.35">
      <c r="B22" s="330" t="s">
        <v>384</v>
      </c>
      <c r="C22" s="109">
        <v>0</v>
      </c>
      <c r="D22" s="109">
        <v>0</v>
      </c>
      <c r="E22" s="109">
        <v>0</v>
      </c>
      <c r="F22" s="109">
        <v>0</v>
      </c>
      <c r="G22" s="109">
        <v>0</v>
      </c>
      <c r="H22" s="109">
        <v>0</v>
      </c>
      <c r="I22" s="109">
        <v>0</v>
      </c>
      <c r="J22" s="109">
        <v>0</v>
      </c>
      <c r="K22" s="109">
        <v>0</v>
      </c>
      <c r="L22" s="109">
        <v>0</v>
      </c>
      <c r="M22" s="109">
        <v>0</v>
      </c>
      <c r="N22" s="109">
        <v>0</v>
      </c>
      <c r="O22" s="109">
        <v>0</v>
      </c>
      <c r="P22" s="109">
        <v>0</v>
      </c>
      <c r="Q22" s="108">
        <v>0</v>
      </c>
      <c r="R22" s="109">
        <v>0</v>
      </c>
      <c r="S22" s="109">
        <v>0</v>
      </c>
      <c r="T22" s="109">
        <v>0</v>
      </c>
      <c r="U22" s="108">
        <v>192</v>
      </c>
      <c r="V22" s="109">
        <v>0</v>
      </c>
      <c r="W22" s="109">
        <v>0</v>
      </c>
      <c r="X22" s="109">
        <v>0</v>
      </c>
      <c r="Y22" s="108">
        <v>57</v>
      </c>
      <c r="Z22" s="109">
        <v>0</v>
      </c>
      <c r="AA22" s="109">
        <v>0</v>
      </c>
      <c r="AB22" s="109">
        <v>0</v>
      </c>
      <c r="AC22" s="109">
        <v>0</v>
      </c>
      <c r="AE22" s="109">
        <v>0</v>
      </c>
      <c r="AF22" s="109">
        <v>0</v>
      </c>
      <c r="AG22" s="109">
        <v>0</v>
      </c>
      <c r="AH22" s="109">
        <v>0</v>
      </c>
      <c r="AJ22" s="109">
        <v>0</v>
      </c>
      <c r="AK22" s="109">
        <v>0</v>
      </c>
    </row>
    <row r="23" spans="2:37" s="56" customFormat="1" x14ac:dyDescent="0.35">
      <c r="B23" s="330" t="s">
        <v>596</v>
      </c>
      <c r="C23" s="109">
        <v>0</v>
      </c>
      <c r="D23" s="109">
        <v>0</v>
      </c>
      <c r="E23" s="109">
        <v>0</v>
      </c>
      <c r="F23" s="109">
        <v>0</v>
      </c>
      <c r="G23" s="109">
        <v>0</v>
      </c>
      <c r="H23" s="109">
        <v>0</v>
      </c>
      <c r="I23" s="109">
        <v>0</v>
      </c>
      <c r="J23" s="109">
        <v>0</v>
      </c>
      <c r="K23" s="109">
        <v>0</v>
      </c>
      <c r="L23" s="109">
        <v>0</v>
      </c>
      <c r="M23" s="109">
        <v>0</v>
      </c>
      <c r="N23" s="109">
        <v>0</v>
      </c>
      <c r="O23" s="109">
        <v>0</v>
      </c>
      <c r="P23" s="109">
        <v>0</v>
      </c>
      <c r="Q23" s="108">
        <v>0</v>
      </c>
      <c r="R23" s="109">
        <v>0</v>
      </c>
      <c r="S23" s="109">
        <v>0</v>
      </c>
      <c r="T23" s="109">
        <v>0</v>
      </c>
      <c r="U23" s="108">
        <v>0</v>
      </c>
      <c r="V23" s="109">
        <v>0</v>
      </c>
      <c r="W23" s="109">
        <v>0</v>
      </c>
      <c r="X23" s="109">
        <v>0</v>
      </c>
      <c r="Y23" s="108">
        <v>0</v>
      </c>
      <c r="Z23" s="109">
        <v>0</v>
      </c>
      <c r="AA23" s="109">
        <v>0</v>
      </c>
      <c r="AB23" s="109">
        <v>-19</v>
      </c>
      <c r="AC23" s="109">
        <v>0</v>
      </c>
      <c r="AE23" s="109">
        <v>0</v>
      </c>
      <c r="AF23" s="109">
        <v>0</v>
      </c>
      <c r="AG23" s="109">
        <v>0</v>
      </c>
      <c r="AH23" s="109">
        <v>0</v>
      </c>
      <c r="AJ23" s="109">
        <v>0</v>
      </c>
      <c r="AK23" s="109">
        <v>0</v>
      </c>
    </row>
    <row r="24" spans="2:37" s="129" customFormat="1" ht="7.5" customHeight="1" x14ac:dyDescent="0.4">
      <c r="B24" s="101"/>
      <c r="C24" s="106"/>
      <c r="D24" s="106"/>
      <c r="E24" s="106"/>
      <c r="F24" s="107"/>
      <c r="G24" s="107"/>
      <c r="H24" s="107"/>
      <c r="I24" s="106"/>
      <c r="J24" s="107"/>
      <c r="K24" s="107"/>
      <c r="L24" s="107"/>
      <c r="M24" s="106"/>
      <c r="N24" s="107"/>
      <c r="O24" s="107"/>
      <c r="P24" s="107"/>
      <c r="Q24" s="106"/>
      <c r="R24" s="107"/>
      <c r="S24" s="107"/>
      <c r="T24" s="107"/>
      <c r="U24" s="106"/>
      <c r="V24" s="107"/>
      <c r="W24" s="107"/>
      <c r="X24" s="107"/>
      <c r="Y24" s="106"/>
      <c r="Z24" s="107"/>
      <c r="AA24" s="107"/>
      <c r="AB24" s="107"/>
      <c r="AC24" s="107"/>
      <c r="AE24" s="107"/>
      <c r="AF24" s="107"/>
      <c r="AG24" s="107"/>
      <c r="AH24" s="107"/>
      <c r="AJ24" s="107"/>
      <c r="AK24" s="107"/>
    </row>
    <row r="25" spans="2:37" s="56" customFormat="1" x14ac:dyDescent="0.35">
      <c r="B25" s="193" t="s">
        <v>388</v>
      </c>
      <c r="C25" s="195">
        <v>-132</v>
      </c>
      <c r="D25" s="195">
        <v>-167</v>
      </c>
      <c r="E25" s="195">
        <v>-90</v>
      </c>
      <c r="F25" s="195">
        <v>-15</v>
      </c>
      <c r="G25" s="195">
        <v>-17</v>
      </c>
      <c r="H25" s="195">
        <v>-88</v>
      </c>
      <c r="I25" s="195">
        <v>-8</v>
      </c>
      <c r="J25" s="194">
        <v>-9</v>
      </c>
      <c r="K25" s="194">
        <v>-8</v>
      </c>
      <c r="L25" s="194">
        <v>-192</v>
      </c>
      <c r="M25" s="195">
        <v>-43</v>
      </c>
      <c r="N25" s="194">
        <v>-10</v>
      </c>
      <c r="O25" s="194">
        <v>-9</v>
      </c>
      <c r="P25" s="194">
        <v>-29</v>
      </c>
      <c r="Q25" s="195">
        <v>-16</v>
      </c>
      <c r="R25" s="194">
        <v>-20</v>
      </c>
      <c r="S25" s="194">
        <v>-16</v>
      </c>
      <c r="T25" s="194">
        <v>-42</v>
      </c>
      <c r="U25" s="195">
        <v>-28</v>
      </c>
      <c r="V25" s="194">
        <v>-49</v>
      </c>
      <c r="W25" s="194">
        <v>-23</v>
      </c>
      <c r="X25" s="194">
        <v>-229</v>
      </c>
      <c r="Y25" s="195">
        <f>SUM(Y26:Y28)</f>
        <v>-22</v>
      </c>
      <c r="Z25" s="194">
        <f>SUM(Z26:Z28)</f>
        <v>-21</v>
      </c>
      <c r="AA25" s="194">
        <f>SUM(AA26:AA28)</f>
        <v>-9</v>
      </c>
      <c r="AB25" s="194">
        <f>SUM(AB26:AB28)</f>
        <v>-7</v>
      </c>
      <c r="AC25" s="194">
        <f>SUM(AC26:AC28)</f>
        <v>-12</v>
      </c>
      <c r="AE25" s="194">
        <f>SUM(AE26:AE28)</f>
        <v>-10</v>
      </c>
      <c r="AF25" s="194">
        <f>SUM(AF26:AF28)</f>
        <v>-10</v>
      </c>
      <c r="AG25" s="194">
        <f>SUM(AG26:AG28)</f>
        <v>-10</v>
      </c>
      <c r="AH25" s="194">
        <f>SUM(AH26:AH28)</f>
        <v>-19</v>
      </c>
      <c r="AJ25" s="194">
        <f>SUM(AJ26:AJ28)</f>
        <v>-11</v>
      </c>
      <c r="AK25" s="194">
        <f>SUM(AK26:AK28)</f>
        <v>-17</v>
      </c>
    </row>
    <row r="26" spans="2:37" s="56" customFormat="1" x14ac:dyDescent="0.35">
      <c r="B26" s="333" t="s">
        <v>389</v>
      </c>
      <c r="C26" s="108">
        <v>0</v>
      </c>
      <c r="D26" s="108">
        <v>-122</v>
      </c>
      <c r="E26" s="108">
        <v>-6</v>
      </c>
      <c r="F26" s="334">
        <v>0</v>
      </c>
      <c r="G26" s="109">
        <v>-3</v>
      </c>
      <c r="H26" s="109">
        <v>-77</v>
      </c>
      <c r="I26" s="108">
        <v>0</v>
      </c>
      <c r="J26" s="334">
        <v>-2</v>
      </c>
      <c r="K26" s="109">
        <v>0</v>
      </c>
      <c r="L26" s="109">
        <v>-187</v>
      </c>
      <c r="M26" s="108">
        <v>-4</v>
      </c>
      <c r="N26" s="109">
        <v>0</v>
      </c>
      <c r="O26" s="109">
        <v>0</v>
      </c>
      <c r="P26" s="109">
        <v>0</v>
      </c>
      <c r="Q26" s="108">
        <v>-4</v>
      </c>
      <c r="R26" s="109">
        <v>-11</v>
      </c>
      <c r="S26" s="109">
        <v>0</v>
      </c>
      <c r="T26" s="109">
        <v>0</v>
      </c>
      <c r="U26" s="108">
        <v>-9</v>
      </c>
      <c r="V26" s="109">
        <v>-41</v>
      </c>
      <c r="W26" s="109">
        <v>-21</v>
      </c>
      <c r="X26" s="109">
        <v>-223</v>
      </c>
      <c r="Y26" s="108">
        <v>-3</v>
      </c>
      <c r="Z26" s="109">
        <v>-10</v>
      </c>
      <c r="AA26" s="109">
        <v>0</v>
      </c>
      <c r="AB26" s="109">
        <v>0</v>
      </c>
      <c r="AC26" s="109">
        <v>-3</v>
      </c>
      <c r="AE26" s="109">
        <v>0</v>
      </c>
      <c r="AF26" s="109">
        <v>0</v>
      </c>
      <c r="AG26" s="109">
        <v>0</v>
      </c>
      <c r="AH26" s="109">
        <v>-7</v>
      </c>
      <c r="AJ26" s="109">
        <v>-3</v>
      </c>
      <c r="AK26" s="548">
        <v>-1</v>
      </c>
    </row>
    <row r="27" spans="2:37" s="56" customFormat="1" x14ac:dyDescent="0.35">
      <c r="B27" s="333" t="s">
        <v>390</v>
      </c>
      <c r="C27" s="108">
        <v>-132</v>
      </c>
      <c r="D27" s="108">
        <v>-45</v>
      </c>
      <c r="E27" s="108">
        <v>-84</v>
      </c>
      <c r="F27" s="335">
        <v>-15</v>
      </c>
      <c r="G27" s="109">
        <v>-14</v>
      </c>
      <c r="H27" s="109">
        <v>-11</v>
      </c>
      <c r="I27" s="108">
        <v>-8</v>
      </c>
      <c r="J27" s="335">
        <v>-7</v>
      </c>
      <c r="K27" s="109">
        <v>-8</v>
      </c>
      <c r="L27" s="109">
        <v>-5</v>
      </c>
      <c r="M27" s="108">
        <v>-39</v>
      </c>
      <c r="N27" s="109">
        <v>-10</v>
      </c>
      <c r="O27" s="109">
        <v>-9</v>
      </c>
      <c r="P27" s="109">
        <v>-29</v>
      </c>
      <c r="Q27" s="108">
        <v>-12</v>
      </c>
      <c r="R27" s="109">
        <v>-9</v>
      </c>
      <c r="S27" s="109">
        <v>-16</v>
      </c>
      <c r="T27" s="109">
        <v>-42</v>
      </c>
      <c r="U27" s="108">
        <v>-19</v>
      </c>
      <c r="V27" s="109">
        <v>-6</v>
      </c>
      <c r="W27" s="109">
        <v>-4</v>
      </c>
      <c r="X27" s="109">
        <v>-6</v>
      </c>
      <c r="Y27" s="108">
        <v>-19</v>
      </c>
      <c r="Z27" s="109">
        <v>-11</v>
      </c>
      <c r="AA27" s="109">
        <v>-9</v>
      </c>
      <c r="AB27" s="109">
        <v>-7</v>
      </c>
      <c r="AC27" s="109">
        <v>-9</v>
      </c>
      <c r="AE27" s="109">
        <v>-10</v>
      </c>
      <c r="AF27" s="109">
        <v>-10</v>
      </c>
      <c r="AG27" s="109">
        <v>-10</v>
      </c>
      <c r="AH27" s="109">
        <v>-12</v>
      </c>
      <c r="AJ27" s="109">
        <v>-8</v>
      </c>
      <c r="AK27" s="548">
        <v>-16</v>
      </c>
    </row>
    <row r="28" spans="2:37" s="56" customFormat="1" x14ac:dyDescent="0.35">
      <c r="B28" s="330" t="s">
        <v>391</v>
      </c>
      <c r="C28" s="108">
        <v>0</v>
      </c>
      <c r="D28" s="108">
        <v>0</v>
      </c>
      <c r="E28" s="108">
        <v>0</v>
      </c>
      <c r="F28" s="109">
        <v>0</v>
      </c>
      <c r="G28" s="109">
        <v>0</v>
      </c>
      <c r="H28" s="109">
        <v>0</v>
      </c>
      <c r="I28" s="108">
        <v>0</v>
      </c>
      <c r="J28" s="108">
        <v>0</v>
      </c>
      <c r="K28" s="108">
        <v>0</v>
      </c>
      <c r="L28" s="108">
        <v>0</v>
      </c>
      <c r="M28" s="108">
        <v>0</v>
      </c>
      <c r="N28" s="108">
        <v>0</v>
      </c>
      <c r="O28" s="108">
        <v>0</v>
      </c>
      <c r="P28" s="108">
        <v>0</v>
      </c>
      <c r="Q28" s="108">
        <v>0</v>
      </c>
      <c r="R28" s="108">
        <v>0</v>
      </c>
      <c r="S28" s="108">
        <v>0</v>
      </c>
      <c r="T28" s="108">
        <v>0</v>
      </c>
      <c r="U28" s="108">
        <v>0</v>
      </c>
      <c r="V28" s="109">
        <v>-2</v>
      </c>
      <c r="W28" s="109">
        <v>2</v>
      </c>
      <c r="X28" s="109">
        <v>0</v>
      </c>
      <c r="Y28" s="109">
        <v>0</v>
      </c>
      <c r="Z28" s="109">
        <v>0</v>
      </c>
      <c r="AA28" s="109">
        <v>0</v>
      </c>
      <c r="AB28" s="109">
        <v>0</v>
      </c>
      <c r="AC28" s="109">
        <v>0</v>
      </c>
      <c r="AE28" s="109">
        <v>0</v>
      </c>
      <c r="AF28" s="109">
        <v>0</v>
      </c>
      <c r="AG28" s="109">
        <v>0</v>
      </c>
      <c r="AH28" s="109">
        <v>0</v>
      </c>
      <c r="AJ28" s="109">
        <v>0</v>
      </c>
      <c r="AK28" s="109">
        <v>0</v>
      </c>
    </row>
    <row r="29" spans="2:37" s="129" customFormat="1" ht="7.5" customHeight="1" x14ac:dyDescent="0.4">
      <c r="B29" s="101"/>
      <c r="C29" s="106"/>
      <c r="D29" s="106"/>
      <c r="E29" s="106"/>
      <c r="F29" s="107"/>
      <c r="G29" s="107"/>
      <c r="H29" s="107"/>
      <c r="I29" s="106"/>
      <c r="J29" s="107"/>
      <c r="K29" s="107"/>
      <c r="L29" s="107"/>
      <c r="M29" s="106"/>
      <c r="N29" s="107"/>
      <c r="O29" s="107"/>
      <c r="P29" s="107"/>
      <c r="Q29" s="106"/>
      <c r="R29" s="107"/>
      <c r="S29" s="107"/>
      <c r="T29" s="107"/>
      <c r="U29" s="106"/>
      <c r="V29" s="107"/>
      <c r="W29" s="107"/>
      <c r="X29" s="107"/>
      <c r="Y29" s="106"/>
      <c r="Z29" s="107"/>
      <c r="AA29" s="107"/>
      <c r="AB29" s="107"/>
      <c r="AC29" s="107"/>
      <c r="AE29" s="107"/>
      <c r="AF29" s="107"/>
      <c r="AG29" s="107"/>
      <c r="AH29" s="107"/>
      <c r="AJ29" s="107"/>
      <c r="AK29" s="107"/>
    </row>
    <row r="30" spans="2:37" s="56" customFormat="1" x14ac:dyDescent="0.35">
      <c r="B30" s="193" t="s">
        <v>532</v>
      </c>
      <c r="C30" s="195">
        <v>-292</v>
      </c>
      <c r="D30" s="195">
        <v>-1175</v>
      </c>
      <c r="E30" s="195">
        <v>-1513</v>
      </c>
      <c r="F30" s="195">
        <v>-59</v>
      </c>
      <c r="G30" s="195">
        <v>-8</v>
      </c>
      <c r="H30" s="195">
        <v>106</v>
      </c>
      <c r="I30" s="195">
        <v>-14</v>
      </c>
      <c r="J30" s="194">
        <v>-100</v>
      </c>
      <c r="K30" s="194">
        <v>-83</v>
      </c>
      <c r="L30" s="194">
        <v>1210</v>
      </c>
      <c r="M30" s="195">
        <v>-128</v>
      </c>
      <c r="N30" s="194">
        <f t="shared" ref="N30:Q30" si="0">SUM(N31:N48)</f>
        <v>-116</v>
      </c>
      <c r="O30" s="194">
        <f t="shared" si="0"/>
        <v>41</v>
      </c>
      <c r="P30" s="194">
        <f t="shared" si="0"/>
        <v>-32</v>
      </c>
      <c r="Q30" s="194">
        <f t="shared" si="0"/>
        <v>-435</v>
      </c>
      <c r="R30" s="194">
        <v>260</v>
      </c>
      <c r="S30" s="194">
        <v>-253</v>
      </c>
      <c r="T30" s="194">
        <v>12</v>
      </c>
      <c r="U30" s="194">
        <v>1811</v>
      </c>
      <c r="V30" s="194">
        <v>75</v>
      </c>
      <c r="W30" s="194">
        <v>59</v>
      </c>
      <c r="X30" s="194">
        <v>-123</v>
      </c>
      <c r="Y30" s="194">
        <f>SUM(Y31:Y48)</f>
        <v>-762</v>
      </c>
      <c r="Z30" s="194">
        <f>SUM(Z31:Z48)</f>
        <v>166</v>
      </c>
      <c r="AA30" s="194">
        <f>SUM(AA31:AA48)</f>
        <v>347</v>
      </c>
      <c r="AB30" s="194">
        <f>SUM(AB31:AB48)</f>
        <v>-277</v>
      </c>
      <c r="AC30" s="194">
        <f>SUM(AC31:AC48)</f>
        <v>-116</v>
      </c>
      <c r="AE30" s="194">
        <f>SUM(AE31:AE48)</f>
        <v>64</v>
      </c>
      <c r="AF30" s="194">
        <f>SUM(AF31:AF48)</f>
        <v>-35</v>
      </c>
      <c r="AG30" s="194">
        <f>SUM(AG31:AG48)</f>
        <v>128</v>
      </c>
      <c r="AH30" s="194">
        <f>SUM(AH31:AH48)</f>
        <v>-106</v>
      </c>
      <c r="AJ30" s="194">
        <f>SUM(AJ31:AJ48)</f>
        <v>11</v>
      </c>
      <c r="AK30" s="194">
        <f>SUM(AK31:AK48)</f>
        <v>-69</v>
      </c>
    </row>
    <row r="31" spans="2:37" s="56" customFormat="1" x14ac:dyDescent="0.35">
      <c r="B31" s="333" t="s">
        <v>598</v>
      </c>
      <c r="C31" s="108">
        <v>-111</v>
      </c>
      <c r="D31" s="108">
        <v>-785</v>
      </c>
      <c r="E31" s="108">
        <v>-1079</v>
      </c>
      <c r="F31" s="108">
        <v>-80</v>
      </c>
      <c r="G31" s="108">
        <v>-101</v>
      </c>
      <c r="H31" s="108">
        <v>77</v>
      </c>
      <c r="I31" s="108">
        <v>-15</v>
      </c>
      <c r="J31" s="108">
        <v>-78</v>
      </c>
      <c r="K31" s="108">
        <v>-89</v>
      </c>
      <c r="L31" s="108">
        <v>1210</v>
      </c>
      <c r="M31" s="108">
        <v>-52</v>
      </c>
      <c r="N31" s="108">
        <v>-55</v>
      </c>
      <c r="O31" s="108">
        <v>-31</v>
      </c>
      <c r="P31" s="108">
        <v>-9</v>
      </c>
      <c r="Q31" s="108">
        <v>-14</v>
      </c>
      <c r="R31" s="108">
        <v>-26</v>
      </c>
      <c r="S31" s="108">
        <v>68</v>
      </c>
      <c r="T31" s="108">
        <v>-16</v>
      </c>
      <c r="U31" s="108">
        <v>23</v>
      </c>
      <c r="V31" s="108">
        <v>-32</v>
      </c>
      <c r="W31" s="108">
        <v>54</v>
      </c>
      <c r="X31" s="108">
        <v>-44</v>
      </c>
      <c r="Y31" s="108">
        <v>-904</v>
      </c>
      <c r="Z31" s="108">
        <v>-92</v>
      </c>
      <c r="AA31" s="108">
        <v>6</v>
      </c>
      <c r="AB31" s="108">
        <v>-58</v>
      </c>
      <c r="AC31" s="108">
        <v>-37</v>
      </c>
      <c r="AE31" s="108">
        <v>-28</v>
      </c>
      <c r="AF31" s="108">
        <v>-35</v>
      </c>
      <c r="AG31" s="108">
        <v>-60</v>
      </c>
      <c r="AH31" s="108">
        <v>-160</v>
      </c>
      <c r="AJ31" s="108">
        <v>28</v>
      </c>
      <c r="AK31" s="548">
        <v>-51</v>
      </c>
    </row>
    <row r="32" spans="2:37" s="56" customFormat="1" x14ac:dyDescent="0.35">
      <c r="B32" s="336" t="s">
        <v>392</v>
      </c>
      <c r="C32" s="108">
        <v>-158</v>
      </c>
      <c r="D32" s="108">
        <v>-92</v>
      </c>
      <c r="E32" s="108">
        <v>-434</v>
      </c>
      <c r="F32" s="108">
        <v>21</v>
      </c>
      <c r="G32" s="108">
        <v>93</v>
      </c>
      <c r="H32" s="108">
        <v>29</v>
      </c>
      <c r="I32" s="108">
        <v>1</v>
      </c>
      <c r="J32" s="108">
        <v>-22</v>
      </c>
      <c r="K32" s="108">
        <v>6</v>
      </c>
      <c r="L32" s="108">
        <v>0</v>
      </c>
      <c r="M32" s="108">
        <v>-76</v>
      </c>
      <c r="N32" s="108">
        <v>3</v>
      </c>
      <c r="O32" s="108">
        <v>13</v>
      </c>
      <c r="P32" s="108">
        <v>3</v>
      </c>
      <c r="Q32" s="108">
        <v>-330</v>
      </c>
      <c r="R32" s="108">
        <v>3</v>
      </c>
      <c r="S32" s="108">
        <v>-1</v>
      </c>
      <c r="T32" s="108">
        <v>0</v>
      </c>
      <c r="U32" s="108">
        <v>0</v>
      </c>
      <c r="V32" s="108">
        <v>0</v>
      </c>
      <c r="W32" s="108">
        <v>0</v>
      </c>
      <c r="X32" s="108">
        <v>0</v>
      </c>
      <c r="Y32" s="108">
        <v>0</v>
      </c>
      <c r="Z32" s="108">
        <v>0</v>
      </c>
      <c r="AA32" s="108">
        <v>0</v>
      </c>
      <c r="AB32" s="108">
        <v>0</v>
      </c>
      <c r="AC32" s="108">
        <v>0</v>
      </c>
      <c r="AE32" s="108">
        <v>0</v>
      </c>
      <c r="AF32" s="108">
        <v>0</v>
      </c>
      <c r="AG32" s="108">
        <v>0</v>
      </c>
      <c r="AH32" s="108">
        <v>0</v>
      </c>
      <c r="AJ32" s="108">
        <v>0</v>
      </c>
      <c r="AK32" s="108">
        <v>0</v>
      </c>
    </row>
    <row r="33" spans="2:37" s="56" customFormat="1" hidden="1" x14ac:dyDescent="0.35">
      <c r="B33" s="333" t="s">
        <v>393</v>
      </c>
      <c r="C33" s="108">
        <v>-23</v>
      </c>
      <c r="D33" s="108">
        <v>0</v>
      </c>
      <c r="E33" s="108">
        <v>0</v>
      </c>
      <c r="F33" s="108">
        <v>0</v>
      </c>
      <c r="G33" s="108">
        <v>0</v>
      </c>
      <c r="H33" s="108">
        <v>0</v>
      </c>
      <c r="I33" s="108">
        <v>0</v>
      </c>
      <c r="J33" s="108">
        <v>0</v>
      </c>
      <c r="K33" s="108">
        <v>0</v>
      </c>
      <c r="L33" s="108">
        <v>0</v>
      </c>
      <c r="M33" s="108">
        <v>0</v>
      </c>
      <c r="N33" s="108">
        <v>0</v>
      </c>
      <c r="O33" s="108">
        <v>0</v>
      </c>
      <c r="P33" s="108">
        <v>0</v>
      </c>
      <c r="Q33" s="108">
        <v>0</v>
      </c>
      <c r="R33" s="108">
        <v>0</v>
      </c>
      <c r="S33" s="108">
        <v>0</v>
      </c>
      <c r="T33" s="108">
        <v>0</v>
      </c>
      <c r="U33" s="108">
        <v>0</v>
      </c>
      <c r="V33" s="108">
        <v>0</v>
      </c>
      <c r="W33" s="108">
        <v>0</v>
      </c>
      <c r="X33" s="108">
        <v>0</v>
      </c>
      <c r="Y33" s="108">
        <v>0</v>
      </c>
      <c r="Z33" s="108">
        <v>0</v>
      </c>
      <c r="AA33" s="108">
        <v>0</v>
      </c>
      <c r="AB33" s="108">
        <v>0</v>
      </c>
      <c r="AC33" s="108">
        <v>0</v>
      </c>
      <c r="AE33" s="108">
        <v>0</v>
      </c>
      <c r="AF33" s="108">
        <v>0</v>
      </c>
      <c r="AG33" s="108">
        <v>0</v>
      </c>
      <c r="AH33" s="108">
        <v>0</v>
      </c>
      <c r="AJ33" s="108">
        <v>0</v>
      </c>
      <c r="AK33" s="108">
        <v>0</v>
      </c>
    </row>
    <row r="34" spans="2:37" s="56" customFormat="1" hidden="1" x14ac:dyDescent="0.35">
      <c r="B34" s="333" t="s">
        <v>394</v>
      </c>
      <c r="C34" s="108">
        <v>0</v>
      </c>
      <c r="D34" s="108">
        <v>-298</v>
      </c>
      <c r="E34" s="108">
        <v>0</v>
      </c>
      <c r="F34" s="108">
        <v>0</v>
      </c>
      <c r="G34" s="108">
        <v>0</v>
      </c>
      <c r="H34" s="108">
        <v>0</v>
      </c>
      <c r="I34" s="108">
        <v>0</v>
      </c>
      <c r="J34" s="108">
        <v>0</v>
      </c>
      <c r="K34" s="108">
        <v>0</v>
      </c>
      <c r="L34" s="108">
        <v>0</v>
      </c>
      <c r="M34" s="108">
        <v>0</v>
      </c>
      <c r="N34" s="108">
        <v>0</v>
      </c>
      <c r="O34" s="108">
        <v>0</v>
      </c>
      <c r="P34" s="108">
        <v>0</v>
      </c>
      <c r="Q34" s="108">
        <v>0</v>
      </c>
      <c r="R34" s="108">
        <v>0</v>
      </c>
      <c r="S34" s="108">
        <v>0</v>
      </c>
      <c r="T34" s="108">
        <v>0</v>
      </c>
      <c r="U34" s="108">
        <v>0</v>
      </c>
      <c r="V34" s="108">
        <v>0</v>
      </c>
      <c r="W34" s="108">
        <v>0</v>
      </c>
      <c r="X34" s="108">
        <v>0</v>
      </c>
      <c r="Y34" s="108">
        <v>0</v>
      </c>
      <c r="Z34" s="108">
        <v>0</v>
      </c>
      <c r="AA34" s="108">
        <v>0</v>
      </c>
      <c r="AB34" s="108">
        <v>0</v>
      </c>
      <c r="AC34" s="108">
        <v>0</v>
      </c>
      <c r="AE34" s="108">
        <v>0</v>
      </c>
      <c r="AF34" s="108">
        <v>0</v>
      </c>
      <c r="AG34" s="108">
        <v>0</v>
      </c>
      <c r="AH34" s="108">
        <v>0</v>
      </c>
      <c r="AJ34" s="108">
        <v>0</v>
      </c>
      <c r="AK34" s="108">
        <v>0</v>
      </c>
    </row>
    <row r="35" spans="2:37" x14ac:dyDescent="0.35">
      <c r="B35" s="337" t="s">
        <v>395</v>
      </c>
      <c r="C35" s="108">
        <v>0</v>
      </c>
      <c r="D35" s="108">
        <v>0</v>
      </c>
      <c r="E35" s="108">
        <v>0</v>
      </c>
      <c r="F35" s="108">
        <v>0</v>
      </c>
      <c r="G35" s="108">
        <v>0</v>
      </c>
      <c r="H35" s="108">
        <v>0</v>
      </c>
      <c r="I35" s="108">
        <v>0</v>
      </c>
      <c r="J35" s="108">
        <v>0</v>
      </c>
      <c r="K35" s="108">
        <v>0</v>
      </c>
      <c r="L35" s="108">
        <v>0</v>
      </c>
      <c r="M35" s="108">
        <v>0</v>
      </c>
      <c r="N35" s="108">
        <v>0</v>
      </c>
      <c r="O35" s="108">
        <v>0</v>
      </c>
      <c r="P35" s="108">
        <v>0</v>
      </c>
      <c r="Q35" s="108">
        <v>-55</v>
      </c>
      <c r="R35" s="108">
        <v>-9</v>
      </c>
      <c r="S35" s="108">
        <v>-12</v>
      </c>
      <c r="T35" s="108">
        <v>-12</v>
      </c>
      <c r="U35" s="108">
        <v>-30</v>
      </c>
      <c r="V35" s="108">
        <v>0</v>
      </c>
      <c r="W35" s="108">
        <v>0</v>
      </c>
      <c r="X35" s="108">
        <v>8</v>
      </c>
      <c r="Y35" s="108">
        <v>0</v>
      </c>
      <c r="Z35" s="108">
        <v>0</v>
      </c>
      <c r="AA35" s="108">
        <v>0</v>
      </c>
      <c r="AB35" s="108">
        <v>0</v>
      </c>
      <c r="AC35" s="108">
        <v>0</v>
      </c>
      <c r="AE35" s="108">
        <v>0</v>
      </c>
      <c r="AF35" s="108">
        <v>0</v>
      </c>
      <c r="AG35" s="108">
        <v>0</v>
      </c>
      <c r="AH35" s="108">
        <v>0</v>
      </c>
      <c r="AJ35" s="108">
        <v>0</v>
      </c>
      <c r="AK35" s="108">
        <v>0</v>
      </c>
    </row>
    <row r="36" spans="2:37" x14ac:dyDescent="0.35">
      <c r="B36" s="337" t="s">
        <v>597</v>
      </c>
      <c r="C36" s="108">
        <v>0</v>
      </c>
      <c r="D36" s="108">
        <v>0</v>
      </c>
      <c r="E36" s="108">
        <v>0</v>
      </c>
      <c r="F36" s="108">
        <v>0</v>
      </c>
      <c r="G36" s="108">
        <v>0</v>
      </c>
      <c r="H36" s="108">
        <v>0</v>
      </c>
      <c r="I36" s="108">
        <v>0</v>
      </c>
      <c r="J36" s="108">
        <v>0</v>
      </c>
      <c r="K36" s="108">
        <v>0</v>
      </c>
      <c r="L36" s="108">
        <v>0</v>
      </c>
      <c r="M36" s="108">
        <v>0</v>
      </c>
      <c r="N36" s="108">
        <v>-64</v>
      </c>
      <c r="O36" s="108">
        <v>59</v>
      </c>
      <c r="P36" s="108">
        <v>-26</v>
      </c>
      <c r="Q36" s="108">
        <v>-36</v>
      </c>
      <c r="R36" s="108">
        <v>292</v>
      </c>
      <c r="S36" s="108">
        <v>-308</v>
      </c>
      <c r="T36" s="108">
        <v>75</v>
      </c>
      <c r="U36" s="108">
        <v>-109</v>
      </c>
      <c r="V36" s="108">
        <v>61</v>
      </c>
      <c r="W36" s="108">
        <v>5</v>
      </c>
      <c r="X36" s="108">
        <v>-33</v>
      </c>
      <c r="Y36" s="108">
        <v>23</v>
      </c>
      <c r="Z36" s="108">
        <v>-258</v>
      </c>
      <c r="AA36" s="108">
        <v>352</v>
      </c>
      <c r="AB36" s="108">
        <v>-104</v>
      </c>
      <c r="AC36" s="108">
        <v>-79</v>
      </c>
      <c r="AE36" s="108">
        <v>92</v>
      </c>
      <c r="AF36" s="108">
        <v>0</v>
      </c>
      <c r="AG36" s="108">
        <v>-16</v>
      </c>
      <c r="AH36" s="108">
        <v>42</v>
      </c>
      <c r="AJ36" s="108">
        <v>-17</v>
      </c>
      <c r="AK36" s="549">
        <v>-18</v>
      </c>
    </row>
    <row r="37" spans="2:37" x14ac:dyDescent="0.35">
      <c r="B37" s="337" t="s">
        <v>397</v>
      </c>
      <c r="C37" s="108">
        <v>0</v>
      </c>
      <c r="D37" s="108">
        <v>0</v>
      </c>
      <c r="E37" s="108">
        <v>0</v>
      </c>
      <c r="F37" s="108">
        <v>0</v>
      </c>
      <c r="G37" s="108">
        <v>0</v>
      </c>
      <c r="H37" s="108">
        <v>0</v>
      </c>
      <c r="I37" s="108">
        <v>0</v>
      </c>
      <c r="J37" s="108">
        <v>0</v>
      </c>
      <c r="K37" s="108">
        <v>0</v>
      </c>
      <c r="L37" s="108">
        <v>0</v>
      </c>
      <c r="M37" s="108">
        <v>0</v>
      </c>
      <c r="N37" s="108">
        <v>0</v>
      </c>
      <c r="O37" s="108">
        <v>0</v>
      </c>
      <c r="P37" s="108">
        <v>0</v>
      </c>
      <c r="Q37" s="108">
        <v>0</v>
      </c>
      <c r="R37" s="108">
        <v>0</v>
      </c>
      <c r="S37" s="108">
        <v>0</v>
      </c>
      <c r="T37" s="108">
        <v>0</v>
      </c>
      <c r="U37" s="108">
        <v>0</v>
      </c>
      <c r="V37" s="108">
        <v>46</v>
      </c>
      <c r="W37" s="108">
        <v>0</v>
      </c>
      <c r="X37" s="108">
        <v>0</v>
      </c>
      <c r="Y37" s="108">
        <v>0</v>
      </c>
      <c r="Z37" s="108">
        <v>0</v>
      </c>
      <c r="AA37" s="108">
        <v>0</v>
      </c>
      <c r="AB37" s="108">
        <v>0</v>
      </c>
      <c r="AC37" s="108">
        <v>0</v>
      </c>
      <c r="AE37" s="108">
        <v>0</v>
      </c>
      <c r="AF37" s="108">
        <v>0</v>
      </c>
      <c r="AG37" s="108">
        <v>0</v>
      </c>
      <c r="AH37" s="108">
        <v>0</v>
      </c>
      <c r="AJ37" s="108">
        <v>0</v>
      </c>
      <c r="AK37" s="108">
        <v>0</v>
      </c>
    </row>
    <row r="38" spans="2:37" x14ac:dyDescent="0.35">
      <c r="B38" s="337" t="s">
        <v>398</v>
      </c>
      <c r="C38" s="108">
        <v>0</v>
      </c>
      <c r="D38" s="108">
        <v>0</v>
      </c>
      <c r="E38" s="108">
        <v>0</v>
      </c>
      <c r="F38" s="108">
        <v>0</v>
      </c>
      <c r="G38" s="108">
        <v>0</v>
      </c>
      <c r="H38" s="108">
        <v>0</v>
      </c>
      <c r="I38" s="108">
        <v>0</v>
      </c>
      <c r="J38" s="108">
        <v>0</v>
      </c>
      <c r="K38" s="108">
        <v>0</v>
      </c>
      <c r="L38" s="108">
        <v>0</v>
      </c>
      <c r="M38" s="108">
        <v>0</v>
      </c>
      <c r="N38" s="108">
        <v>0</v>
      </c>
      <c r="O38" s="108">
        <v>0</v>
      </c>
      <c r="P38" s="109">
        <v>0</v>
      </c>
      <c r="Q38" s="108">
        <v>0</v>
      </c>
      <c r="R38" s="109">
        <v>0</v>
      </c>
      <c r="S38" s="109">
        <v>0</v>
      </c>
      <c r="T38" s="109">
        <v>-152</v>
      </c>
      <c r="U38" s="108">
        <v>0</v>
      </c>
      <c r="V38" s="109">
        <v>0</v>
      </c>
      <c r="W38" s="109">
        <v>0</v>
      </c>
      <c r="X38" s="109">
        <v>0</v>
      </c>
      <c r="Y38" s="108">
        <v>0</v>
      </c>
      <c r="Z38" s="109">
        <v>0</v>
      </c>
      <c r="AA38" s="109">
        <v>0</v>
      </c>
      <c r="AB38" s="109">
        <v>0</v>
      </c>
      <c r="AC38" s="109">
        <v>0</v>
      </c>
      <c r="AE38" s="109">
        <v>0</v>
      </c>
      <c r="AF38" s="109">
        <v>0</v>
      </c>
      <c r="AG38" s="109">
        <v>0</v>
      </c>
      <c r="AH38" s="109">
        <v>0</v>
      </c>
      <c r="AJ38" s="109">
        <v>0</v>
      </c>
      <c r="AK38" s="109">
        <v>0</v>
      </c>
    </row>
    <row r="39" spans="2:37" x14ac:dyDescent="0.35">
      <c r="B39" s="337" t="s">
        <v>605</v>
      </c>
      <c r="C39" s="108">
        <v>0</v>
      </c>
      <c r="D39" s="108">
        <v>0</v>
      </c>
      <c r="E39" s="108">
        <v>0</v>
      </c>
      <c r="F39" s="108">
        <v>0</v>
      </c>
      <c r="G39" s="108">
        <v>0</v>
      </c>
      <c r="H39" s="108">
        <v>0</v>
      </c>
      <c r="I39" s="108">
        <v>0</v>
      </c>
      <c r="J39" s="108">
        <v>0</v>
      </c>
      <c r="K39" s="108">
        <v>0</v>
      </c>
      <c r="L39" s="108">
        <v>0</v>
      </c>
      <c r="M39" s="108">
        <v>0</v>
      </c>
      <c r="N39" s="108">
        <v>0</v>
      </c>
      <c r="O39" s="108">
        <v>0</v>
      </c>
      <c r="P39" s="109">
        <v>0</v>
      </c>
      <c r="Q39" s="108">
        <v>0</v>
      </c>
      <c r="R39" s="109">
        <v>0</v>
      </c>
      <c r="S39" s="109">
        <v>0</v>
      </c>
      <c r="T39" s="108">
        <v>0</v>
      </c>
      <c r="U39" s="108">
        <v>0</v>
      </c>
      <c r="V39" s="108">
        <v>0</v>
      </c>
      <c r="W39" s="108">
        <v>0</v>
      </c>
      <c r="X39" s="108">
        <v>0</v>
      </c>
      <c r="Y39" s="108">
        <v>0</v>
      </c>
      <c r="Z39" s="108">
        <v>0</v>
      </c>
      <c r="AA39" s="108">
        <v>0</v>
      </c>
      <c r="AB39" s="108">
        <v>0</v>
      </c>
      <c r="AC39" s="108">
        <v>0</v>
      </c>
      <c r="AD39" s="108">
        <v>0</v>
      </c>
      <c r="AE39" s="108">
        <v>0</v>
      </c>
      <c r="AF39" s="108">
        <v>0</v>
      </c>
      <c r="AG39" s="109">
        <v>564</v>
      </c>
      <c r="AH39" s="109">
        <v>0</v>
      </c>
      <c r="AJ39" s="109">
        <v>0</v>
      </c>
      <c r="AK39" s="109">
        <v>0</v>
      </c>
    </row>
    <row r="40" spans="2:37" x14ac:dyDescent="0.35">
      <c r="B40" s="337" t="s">
        <v>589</v>
      </c>
      <c r="C40" s="108">
        <v>0</v>
      </c>
      <c r="D40" s="108">
        <v>0</v>
      </c>
      <c r="E40" s="108">
        <v>0</v>
      </c>
      <c r="F40" s="108">
        <v>0</v>
      </c>
      <c r="G40" s="108">
        <v>0</v>
      </c>
      <c r="H40" s="108">
        <v>0</v>
      </c>
      <c r="I40" s="108">
        <v>0</v>
      </c>
      <c r="J40" s="108">
        <v>0</v>
      </c>
      <c r="K40" s="108">
        <v>0</v>
      </c>
      <c r="L40" s="108">
        <v>0</v>
      </c>
      <c r="M40" s="108">
        <v>0</v>
      </c>
      <c r="N40" s="108">
        <v>0</v>
      </c>
      <c r="O40" s="108">
        <v>0</v>
      </c>
      <c r="P40" s="108">
        <v>0</v>
      </c>
      <c r="Q40" s="108">
        <v>0</v>
      </c>
      <c r="R40" s="108">
        <v>0</v>
      </c>
      <c r="S40" s="108">
        <v>0</v>
      </c>
      <c r="T40" s="108">
        <v>0</v>
      </c>
      <c r="U40" s="108">
        <v>0</v>
      </c>
      <c r="V40" s="108">
        <v>0</v>
      </c>
      <c r="W40" s="108">
        <v>0</v>
      </c>
      <c r="X40" s="108">
        <v>0</v>
      </c>
      <c r="Y40" s="108">
        <v>0</v>
      </c>
      <c r="Z40" s="108">
        <v>0</v>
      </c>
      <c r="AA40" s="108">
        <v>0</v>
      </c>
      <c r="AB40" s="108">
        <v>0</v>
      </c>
      <c r="AC40" s="108">
        <v>0</v>
      </c>
      <c r="AD40" s="108">
        <v>0</v>
      </c>
      <c r="AE40" s="108">
        <v>0</v>
      </c>
      <c r="AF40" s="108">
        <v>0</v>
      </c>
      <c r="AG40" s="109">
        <v>-360</v>
      </c>
      <c r="AH40" s="109">
        <v>0</v>
      </c>
      <c r="AJ40" s="109">
        <v>0</v>
      </c>
      <c r="AK40" s="109">
        <v>0</v>
      </c>
    </row>
    <row r="41" spans="2:37" x14ac:dyDescent="0.35">
      <c r="B41" s="337" t="s">
        <v>621</v>
      </c>
      <c r="C41" s="108">
        <v>0</v>
      </c>
      <c r="D41" s="108">
        <v>0</v>
      </c>
      <c r="E41" s="108">
        <v>0</v>
      </c>
      <c r="F41" s="108">
        <v>0</v>
      </c>
      <c r="G41" s="108">
        <v>0</v>
      </c>
      <c r="H41" s="108">
        <v>0</v>
      </c>
      <c r="I41" s="108">
        <v>0</v>
      </c>
      <c r="J41" s="108">
        <v>0</v>
      </c>
      <c r="K41" s="108">
        <v>0</v>
      </c>
      <c r="L41" s="108">
        <v>0</v>
      </c>
      <c r="M41" s="108">
        <v>0</v>
      </c>
      <c r="N41" s="108">
        <v>0</v>
      </c>
      <c r="O41" s="108">
        <v>0</v>
      </c>
      <c r="P41" s="108">
        <v>0</v>
      </c>
      <c r="Q41" s="108">
        <v>0</v>
      </c>
      <c r="R41" s="108">
        <v>0</v>
      </c>
      <c r="S41" s="108">
        <v>0</v>
      </c>
      <c r="T41" s="108">
        <v>0</v>
      </c>
      <c r="U41" s="108">
        <v>0</v>
      </c>
      <c r="V41" s="109">
        <v>0</v>
      </c>
      <c r="W41" s="109">
        <v>0</v>
      </c>
      <c r="X41" s="109">
        <v>0</v>
      </c>
      <c r="Y41" s="108">
        <v>0</v>
      </c>
      <c r="Z41" s="109">
        <v>0</v>
      </c>
      <c r="AA41" s="109">
        <v>0</v>
      </c>
      <c r="AB41" s="109">
        <v>0</v>
      </c>
      <c r="AC41" s="109">
        <v>0</v>
      </c>
      <c r="AE41" s="109">
        <v>0</v>
      </c>
      <c r="AF41" s="109">
        <v>0</v>
      </c>
      <c r="AG41" s="109">
        <v>0</v>
      </c>
      <c r="AH41" s="109">
        <v>12</v>
      </c>
      <c r="AJ41" s="109">
        <v>0</v>
      </c>
      <c r="AK41" s="109">
        <v>0</v>
      </c>
    </row>
    <row r="42" spans="2:37" x14ac:dyDescent="0.35">
      <c r="B42" s="337" t="s">
        <v>179</v>
      </c>
      <c r="C42" s="108">
        <v>0</v>
      </c>
      <c r="D42" s="108">
        <v>0</v>
      </c>
      <c r="E42" s="108">
        <v>0</v>
      </c>
      <c r="F42" s="108">
        <v>0</v>
      </c>
      <c r="G42" s="108">
        <v>0</v>
      </c>
      <c r="H42" s="108">
        <v>0</v>
      </c>
      <c r="I42" s="108">
        <v>0</v>
      </c>
      <c r="J42" s="108">
        <v>0</v>
      </c>
      <c r="K42" s="108">
        <v>0</v>
      </c>
      <c r="L42" s="108">
        <v>0</v>
      </c>
      <c r="M42" s="108">
        <v>0</v>
      </c>
      <c r="N42" s="108">
        <v>0</v>
      </c>
      <c r="O42" s="108">
        <v>0</v>
      </c>
      <c r="P42" s="109">
        <v>0</v>
      </c>
      <c r="Q42" s="108">
        <v>0</v>
      </c>
      <c r="R42" s="109">
        <v>0</v>
      </c>
      <c r="S42" s="109">
        <v>0</v>
      </c>
      <c r="T42" s="109">
        <v>117</v>
      </c>
      <c r="U42" s="108">
        <v>0</v>
      </c>
      <c r="V42" s="109">
        <v>0</v>
      </c>
      <c r="W42" s="109">
        <v>0</v>
      </c>
      <c r="X42" s="109">
        <v>0</v>
      </c>
      <c r="Y42" s="108">
        <v>0</v>
      </c>
      <c r="Z42" s="109">
        <v>0</v>
      </c>
      <c r="AA42" s="109">
        <v>0</v>
      </c>
      <c r="AB42" s="109">
        <v>0</v>
      </c>
      <c r="AC42" s="109">
        <v>0</v>
      </c>
      <c r="AE42" s="109">
        <v>0</v>
      </c>
      <c r="AF42" s="109">
        <v>0</v>
      </c>
      <c r="AG42" s="109">
        <v>0</v>
      </c>
      <c r="AH42" s="109">
        <v>0</v>
      </c>
      <c r="AJ42" s="109">
        <v>0</v>
      </c>
      <c r="AK42" s="109">
        <v>0</v>
      </c>
    </row>
    <row r="43" spans="2:37" x14ac:dyDescent="0.35">
      <c r="B43" s="330" t="s">
        <v>384</v>
      </c>
      <c r="C43" s="108">
        <v>0</v>
      </c>
      <c r="D43" s="108">
        <v>0</v>
      </c>
      <c r="E43" s="108">
        <v>0</v>
      </c>
      <c r="F43" s="108">
        <v>0</v>
      </c>
      <c r="G43" s="108">
        <v>0</v>
      </c>
      <c r="H43" s="108">
        <v>0</v>
      </c>
      <c r="I43" s="108">
        <v>0</v>
      </c>
      <c r="J43" s="108">
        <v>0</v>
      </c>
      <c r="K43" s="108">
        <v>0</v>
      </c>
      <c r="L43" s="108">
        <v>0</v>
      </c>
      <c r="M43" s="108">
        <v>0</v>
      </c>
      <c r="N43" s="108">
        <v>0</v>
      </c>
      <c r="O43" s="108">
        <v>0</v>
      </c>
      <c r="P43" s="109">
        <v>0</v>
      </c>
      <c r="Q43" s="108">
        <v>0</v>
      </c>
      <c r="R43" s="109">
        <v>0</v>
      </c>
      <c r="S43" s="109">
        <v>0</v>
      </c>
      <c r="T43" s="109">
        <v>0</v>
      </c>
      <c r="U43" s="108">
        <v>1927</v>
      </c>
      <c r="V43" s="109">
        <v>0</v>
      </c>
      <c r="W43" s="109">
        <v>0</v>
      </c>
      <c r="X43" s="109">
        <v>0</v>
      </c>
      <c r="Y43" s="108">
        <v>119</v>
      </c>
      <c r="Z43" s="109">
        <v>0</v>
      </c>
      <c r="AA43" s="109">
        <v>0</v>
      </c>
      <c r="AB43" s="109">
        <v>0</v>
      </c>
      <c r="AC43" s="109">
        <v>0</v>
      </c>
      <c r="AE43" s="109">
        <v>0</v>
      </c>
      <c r="AF43" s="109">
        <v>0</v>
      </c>
      <c r="AG43" s="109">
        <v>0</v>
      </c>
      <c r="AH43" s="109">
        <v>0</v>
      </c>
      <c r="AJ43" s="109">
        <v>0</v>
      </c>
      <c r="AK43" s="109">
        <v>0</v>
      </c>
    </row>
    <row r="44" spans="2:37" x14ac:dyDescent="0.35">
      <c r="B44" s="330" t="s">
        <v>477</v>
      </c>
      <c r="C44" s="109">
        <v>0</v>
      </c>
      <c r="D44" s="109">
        <v>0</v>
      </c>
      <c r="E44" s="109">
        <v>0</v>
      </c>
      <c r="F44" s="109">
        <v>0</v>
      </c>
      <c r="G44" s="109">
        <v>0</v>
      </c>
      <c r="H44" s="109">
        <v>0</v>
      </c>
      <c r="I44" s="109">
        <v>0</v>
      </c>
      <c r="J44" s="109">
        <v>0</v>
      </c>
      <c r="K44" s="109">
        <v>0</v>
      </c>
      <c r="L44" s="109">
        <v>0</v>
      </c>
      <c r="M44" s="109">
        <v>0</v>
      </c>
      <c r="N44" s="109">
        <v>0</v>
      </c>
      <c r="O44" s="109">
        <v>0</v>
      </c>
      <c r="P44" s="109">
        <v>0</v>
      </c>
      <c r="Q44" s="109">
        <v>0</v>
      </c>
      <c r="R44" s="109">
        <v>0</v>
      </c>
      <c r="S44" s="109">
        <v>0</v>
      </c>
      <c r="T44" s="109">
        <v>0</v>
      </c>
      <c r="U44" s="109">
        <v>0</v>
      </c>
      <c r="V44" s="109">
        <v>0</v>
      </c>
      <c r="W44" s="109">
        <v>0</v>
      </c>
      <c r="X44" s="109">
        <v>0</v>
      </c>
      <c r="Y44" s="109">
        <v>0</v>
      </c>
      <c r="Z44" s="109">
        <v>0</v>
      </c>
      <c r="AA44" s="109">
        <v>0</v>
      </c>
      <c r="AB44" s="109">
        <v>-115</v>
      </c>
      <c r="AC44" s="109">
        <v>0</v>
      </c>
      <c r="AE44" s="109"/>
      <c r="AF44" s="109">
        <v>0</v>
      </c>
      <c r="AG44" s="109">
        <v>0</v>
      </c>
      <c r="AH44" s="109">
        <v>0</v>
      </c>
      <c r="AJ44" s="109">
        <v>0</v>
      </c>
      <c r="AK44" s="109">
        <v>0</v>
      </c>
    </row>
    <row r="45" spans="2:37" x14ac:dyDescent="0.35">
      <c r="B45" s="337" t="s">
        <v>399</v>
      </c>
      <c r="C45" s="108">
        <v>0</v>
      </c>
      <c r="D45" s="108">
        <v>0</v>
      </c>
      <c r="E45" s="108">
        <v>0</v>
      </c>
      <c r="F45" s="108">
        <v>0</v>
      </c>
      <c r="G45" s="108">
        <v>0</v>
      </c>
      <c r="H45" s="108">
        <v>0</v>
      </c>
      <c r="I45" s="108">
        <v>0</v>
      </c>
      <c r="J45" s="108">
        <v>0</v>
      </c>
      <c r="K45" s="108">
        <v>0</v>
      </c>
      <c r="L45" s="108">
        <v>0</v>
      </c>
      <c r="M45" s="108">
        <v>0</v>
      </c>
      <c r="N45" s="108">
        <v>0</v>
      </c>
      <c r="O45" s="108">
        <v>0</v>
      </c>
      <c r="P45" s="109">
        <v>0</v>
      </c>
      <c r="Q45" s="108">
        <v>0</v>
      </c>
      <c r="R45" s="109">
        <v>0</v>
      </c>
      <c r="S45" s="109">
        <v>0</v>
      </c>
      <c r="T45" s="109">
        <v>0</v>
      </c>
      <c r="U45" s="108">
        <v>0</v>
      </c>
      <c r="V45" s="109">
        <v>0</v>
      </c>
      <c r="W45" s="109">
        <v>0</v>
      </c>
      <c r="X45" s="109">
        <v>-54</v>
      </c>
      <c r="Y45" s="108">
        <v>0</v>
      </c>
      <c r="Z45" s="109">
        <v>0</v>
      </c>
      <c r="AA45" s="109">
        <v>0</v>
      </c>
      <c r="AB45" s="109">
        <v>0</v>
      </c>
      <c r="AC45" s="109">
        <v>0</v>
      </c>
      <c r="AE45" s="109">
        <v>0</v>
      </c>
      <c r="AF45" s="109">
        <v>0</v>
      </c>
      <c r="AG45" s="109">
        <v>0</v>
      </c>
      <c r="AH45" s="109">
        <v>0</v>
      </c>
      <c r="AJ45" s="109">
        <v>0</v>
      </c>
      <c r="AK45" s="109">
        <v>0</v>
      </c>
    </row>
    <row r="46" spans="2:37" s="129" customFormat="1" ht="18" x14ac:dyDescent="0.4">
      <c r="B46" s="337" t="s">
        <v>437</v>
      </c>
      <c r="C46" s="109">
        <v>0</v>
      </c>
      <c r="D46" s="109">
        <v>0</v>
      </c>
      <c r="E46" s="109">
        <v>0</v>
      </c>
      <c r="F46" s="109">
        <v>0</v>
      </c>
      <c r="G46" s="109">
        <v>0</v>
      </c>
      <c r="H46" s="109">
        <v>0</v>
      </c>
      <c r="I46" s="109">
        <v>0</v>
      </c>
      <c r="J46" s="109">
        <v>0</v>
      </c>
      <c r="K46" s="109">
        <v>0</v>
      </c>
      <c r="L46" s="109">
        <v>0</v>
      </c>
      <c r="M46" s="109">
        <v>0</v>
      </c>
      <c r="N46" s="109">
        <v>0</v>
      </c>
      <c r="O46" s="109">
        <v>0</v>
      </c>
      <c r="P46" s="109">
        <v>0</v>
      </c>
      <c r="Q46" s="109">
        <v>0</v>
      </c>
      <c r="R46" s="109">
        <v>0</v>
      </c>
      <c r="S46" s="109">
        <v>0</v>
      </c>
      <c r="T46" s="109">
        <v>0</v>
      </c>
      <c r="U46" s="109">
        <v>0</v>
      </c>
      <c r="V46" s="109">
        <v>0</v>
      </c>
      <c r="W46" s="109">
        <v>0</v>
      </c>
      <c r="X46" s="109">
        <v>0</v>
      </c>
      <c r="Y46" s="109">
        <v>0</v>
      </c>
      <c r="Z46" s="109">
        <v>447</v>
      </c>
      <c r="AA46" s="109">
        <v>0</v>
      </c>
      <c r="AB46" s="109">
        <v>0</v>
      </c>
      <c r="AC46" s="109">
        <v>0</v>
      </c>
      <c r="AD46" s="71"/>
      <c r="AE46" s="109">
        <v>0</v>
      </c>
      <c r="AF46" s="109">
        <v>0</v>
      </c>
      <c r="AG46" s="109">
        <v>0</v>
      </c>
      <c r="AH46" s="109">
        <v>0</v>
      </c>
      <c r="AJ46" s="109">
        <v>0</v>
      </c>
      <c r="AK46" s="109">
        <v>0</v>
      </c>
    </row>
    <row r="47" spans="2:37" s="56" customFormat="1" x14ac:dyDescent="0.35">
      <c r="B47" s="337" t="s">
        <v>438</v>
      </c>
      <c r="C47" s="109">
        <v>0</v>
      </c>
      <c r="D47" s="109">
        <v>0</v>
      </c>
      <c r="E47" s="109">
        <v>0</v>
      </c>
      <c r="F47" s="109">
        <v>0</v>
      </c>
      <c r="G47" s="109">
        <v>0</v>
      </c>
      <c r="H47" s="109">
        <v>0</v>
      </c>
      <c r="I47" s="109">
        <v>0</v>
      </c>
      <c r="J47" s="109">
        <v>0</v>
      </c>
      <c r="K47" s="109">
        <v>0</v>
      </c>
      <c r="L47" s="109">
        <v>0</v>
      </c>
      <c r="M47" s="109">
        <v>0</v>
      </c>
      <c r="N47" s="109">
        <v>0</v>
      </c>
      <c r="O47" s="109">
        <v>0</v>
      </c>
      <c r="P47" s="109">
        <v>0</v>
      </c>
      <c r="Q47" s="109">
        <v>0</v>
      </c>
      <c r="R47" s="109">
        <v>0</v>
      </c>
      <c r="S47" s="109">
        <v>0</v>
      </c>
      <c r="T47" s="109">
        <v>0</v>
      </c>
      <c r="U47" s="109">
        <v>0</v>
      </c>
      <c r="V47" s="109">
        <v>0</v>
      </c>
      <c r="W47" s="109">
        <v>0</v>
      </c>
      <c r="X47" s="109">
        <v>0</v>
      </c>
      <c r="Y47" s="109">
        <v>0</v>
      </c>
      <c r="Z47" s="109">
        <v>69</v>
      </c>
      <c r="AA47" s="109">
        <v>-11</v>
      </c>
      <c r="AB47" s="109">
        <v>0</v>
      </c>
      <c r="AC47" s="109">
        <v>0</v>
      </c>
      <c r="AD47" s="71"/>
      <c r="AE47" s="109">
        <v>0</v>
      </c>
      <c r="AF47" s="109">
        <v>0</v>
      </c>
      <c r="AG47" s="109">
        <v>0</v>
      </c>
      <c r="AH47" s="109">
        <v>0</v>
      </c>
      <c r="AJ47" s="109">
        <v>0</v>
      </c>
      <c r="AK47" s="109">
        <v>0</v>
      </c>
    </row>
    <row r="48" spans="2:37" ht="6" customHeight="1" x14ac:dyDescent="0.4">
      <c r="B48" s="101"/>
      <c r="C48" s="108"/>
      <c r="D48" s="108"/>
      <c r="E48" s="108"/>
      <c r="F48" s="108"/>
      <c r="G48" s="108"/>
      <c r="H48" s="108"/>
      <c r="I48" s="108"/>
      <c r="J48" s="107"/>
      <c r="K48" s="107"/>
      <c r="L48" s="107"/>
      <c r="M48" s="106"/>
      <c r="N48" s="107"/>
      <c r="O48" s="107"/>
      <c r="P48" s="107"/>
      <c r="Q48" s="106"/>
      <c r="R48" s="107"/>
      <c r="S48" s="107"/>
      <c r="T48" s="107"/>
      <c r="U48" s="106"/>
      <c r="V48" s="107"/>
      <c r="W48" s="107"/>
      <c r="X48" s="107"/>
      <c r="Y48" s="106"/>
      <c r="Z48" s="107"/>
      <c r="AA48" s="107"/>
      <c r="AB48" s="107"/>
      <c r="AC48" s="107"/>
      <c r="AD48" s="129"/>
      <c r="AE48" s="107"/>
      <c r="AF48" s="107"/>
      <c r="AG48" s="107"/>
      <c r="AH48" s="107"/>
      <c r="AJ48" s="107"/>
      <c r="AK48" s="107"/>
    </row>
    <row r="49" spans="2:37" s="56" customFormat="1" x14ac:dyDescent="0.35">
      <c r="B49" s="193" t="s">
        <v>400</v>
      </c>
      <c r="C49" s="195">
        <f>'5. Segment Reporting'!C42</f>
        <v>290</v>
      </c>
      <c r="D49" s="195">
        <f>'5. Segment Reporting'!D42</f>
        <v>-299</v>
      </c>
      <c r="E49" s="195">
        <f>'5. Segment Reporting'!E42</f>
        <v>-622</v>
      </c>
      <c r="F49" s="195">
        <f>'5. Segment Reporting'!F42</f>
        <v>-148</v>
      </c>
      <c r="G49" s="195">
        <f>'5. Segment Reporting'!G42</f>
        <v>-88</v>
      </c>
      <c r="H49" s="195">
        <f>'5. Segment Reporting'!H42</f>
        <v>-232</v>
      </c>
      <c r="I49" s="195">
        <f>'5. Segment Reporting'!I42</f>
        <v>-89</v>
      </c>
      <c r="J49" s="195">
        <f>'5. Segment Reporting'!J42</f>
        <v>-46</v>
      </c>
      <c r="K49" s="195">
        <f>'5. Segment Reporting'!K42</f>
        <v>269</v>
      </c>
      <c r="L49" s="195">
        <f>'5. Segment Reporting'!L42</f>
        <v>353</v>
      </c>
      <c r="M49" s="195">
        <f>'5. Segment Reporting'!M42</f>
        <v>1847</v>
      </c>
      <c r="N49" s="195">
        <f>'5. Segment Reporting'!N42</f>
        <v>272</v>
      </c>
      <c r="O49" s="195">
        <f>'5. Segment Reporting'!O42</f>
        <v>188</v>
      </c>
      <c r="P49" s="195">
        <f>'5. Segment Reporting'!P42</f>
        <v>1557</v>
      </c>
      <c r="Q49" s="195">
        <f>'5. Segment Reporting'!Q42</f>
        <v>-27</v>
      </c>
      <c r="R49" s="195">
        <f>'5. Segment Reporting'!R42</f>
        <v>-96</v>
      </c>
      <c r="S49" s="195">
        <f>'5. Segment Reporting'!S42</f>
        <v>77</v>
      </c>
      <c r="T49" s="195">
        <f>'5. Segment Reporting'!T42</f>
        <v>22</v>
      </c>
      <c r="U49" s="195">
        <f>'5. Segment Reporting'!U42</f>
        <v>261</v>
      </c>
      <c r="V49" s="195">
        <f>'5. Segment Reporting'!V42</f>
        <v>-118</v>
      </c>
      <c r="W49" s="195">
        <f>'5. Segment Reporting'!W42</f>
        <v>-73</v>
      </c>
      <c r="X49" s="195">
        <f>'5. Segment Reporting'!X42</f>
        <v>-48</v>
      </c>
      <c r="Y49" s="195">
        <f>'5. Segment Reporting'!Y42</f>
        <v>807</v>
      </c>
      <c r="Z49" s="195">
        <f>'5. Segment Reporting'!Z42</f>
        <v>-449</v>
      </c>
      <c r="AA49" s="195">
        <f>'5. Segment Reporting'!AA42</f>
        <v>-614</v>
      </c>
      <c r="AB49" s="195">
        <f>'5. Segment Reporting'!AB42</f>
        <v>-564</v>
      </c>
      <c r="AC49" s="195">
        <f>'5. Segment Reporting'!AC42</f>
        <v>-404</v>
      </c>
      <c r="AE49" s="195">
        <f>'5. Segment Reporting'!AE42</f>
        <v>-280</v>
      </c>
      <c r="AF49" s="195">
        <f>'5. Segment Reporting'!AF42</f>
        <v>-341</v>
      </c>
      <c r="AG49" s="195">
        <f>'[20]5. Resultado por Segmento'!AG42</f>
        <v>-413</v>
      </c>
      <c r="AH49" s="195">
        <f>'[21]5. Resultado por Segmento'!AH42</f>
        <v>-50</v>
      </c>
      <c r="AJ49" s="195">
        <f>'[22]5. Resultado por Segmento'!AJ42</f>
        <v>-334</v>
      </c>
      <c r="AK49" s="550">
        <f>'[23]5. Resultado por Segmento'!AK42</f>
        <v>-213</v>
      </c>
    </row>
    <row r="50" spans="2:37" s="56" customFormat="1" x14ac:dyDescent="0.35">
      <c r="C50" s="23"/>
      <c r="D50" s="23"/>
      <c r="E50" s="23"/>
      <c r="F50" s="22"/>
      <c r="G50" s="22"/>
      <c r="H50" s="22"/>
      <c r="I50" s="23"/>
      <c r="J50" s="22"/>
      <c r="K50" s="22"/>
      <c r="L50" s="22"/>
      <c r="M50" s="23"/>
      <c r="N50" s="22"/>
      <c r="O50" s="22"/>
      <c r="P50" s="22"/>
      <c r="Q50" s="23"/>
      <c r="R50" s="22"/>
      <c r="S50" s="22"/>
      <c r="T50" s="22"/>
      <c r="U50" s="23"/>
      <c r="V50" s="22"/>
      <c r="W50" s="22"/>
      <c r="X50" s="22"/>
      <c r="Y50" s="23"/>
      <c r="Z50" s="22"/>
      <c r="AA50" s="22"/>
      <c r="AB50" s="22"/>
      <c r="AC50" s="22"/>
      <c r="AE50" s="22"/>
      <c r="AF50" s="22"/>
      <c r="AG50" s="22"/>
      <c r="AH50" s="22"/>
      <c r="AJ50" s="22"/>
      <c r="AK50" s="22"/>
    </row>
    <row r="51" spans="2:37" s="56" customFormat="1" x14ac:dyDescent="0.35">
      <c r="B51" s="193" t="s">
        <v>517</v>
      </c>
      <c r="C51" s="195">
        <f>'[24]5. Resultado por Segmento'!C40</f>
        <v>-2</v>
      </c>
      <c r="D51" s="195">
        <f>'[24]5. Resultado por Segmento'!D40</f>
        <v>3</v>
      </c>
      <c r="E51" s="195">
        <f>'[24]5. Resultado por Segmento'!E40</f>
        <v>-1</v>
      </c>
      <c r="F51" s="195">
        <f>'[24]5. Resultado por Segmento'!F40</f>
        <v>-2</v>
      </c>
      <c r="G51" s="195">
        <f>'[24]5. Resultado por Segmento'!G40</f>
        <v>0</v>
      </c>
      <c r="H51" s="195">
        <f>'[24]5. Resultado por Segmento'!H40</f>
        <v>1</v>
      </c>
      <c r="I51" s="195">
        <f>'[24]5. Resultado por Segmento'!I40</f>
        <v>-1</v>
      </c>
      <c r="J51" s="195">
        <f>'[24]5. Resultado por Segmento'!J40</f>
        <v>-1</v>
      </c>
      <c r="K51" s="195">
        <f>'[24]5. Resultado por Segmento'!K40</f>
        <v>0</v>
      </c>
      <c r="L51" s="195">
        <f>'[24]5. Resultado por Segmento'!L40</f>
        <v>-1</v>
      </c>
      <c r="M51" s="195">
        <f>'[24]5. Resultado por Segmento'!M40</f>
        <v>1</v>
      </c>
      <c r="N51" s="195">
        <f>'[24]5. Resultado por Segmento'!N40</f>
        <v>1</v>
      </c>
      <c r="O51" s="195">
        <f>'[24]5. Resultado por Segmento'!O40</f>
        <v>0</v>
      </c>
      <c r="P51" s="195">
        <f>'[24]5. Resultado por Segmento'!P40</f>
        <v>0</v>
      </c>
      <c r="Q51" s="195">
        <f>'[24]5. Resultado por Segmento'!Q40</f>
        <v>1</v>
      </c>
      <c r="R51" s="195">
        <f>'[24]5. Resultado por Segmento'!R40</f>
        <v>-1</v>
      </c>
      <c r="S51" s="195">
        <f>'[24]5. Resultado por Segmento'!S40</f>
        <v>-1</v>
      </c>
      <c r="T51" s="195">
        <f>'[24]5. Resultado por Segmento'!T40</f>
        <v>-1</v>
      </c>
      <c r="U51" s="195">
        <f>'[24]5. Resultado por Segmento'!U40</f>
        <v>12</v>
      </c>
      <c r="V51" s="195">
        <f>'[24]5. Resultado por Segmento'!V40</f>
        <v>7</v>
      </c>
      <c r="W51" s="195">
        <f>'[24]5. Resultado por Segmento'!W40</f>
        <v>2</v>
      </c>
      <c r="X51" s="195">
        <f>'[24]5. Resultado por Segmento'!X40</f>
        <v>76</v>
      </c>
      <c r="Y51" s="195">
        <f>'[24]5. Resultado por Segmento'!Y40</f>
        <v>27</v>
      </c>
      <c r="Z51" s="194">
        <v>17</v>
      </c>
      <c r="AA51" s="194">
        <v>14</v>
      </c>
      <c r="AB51" s="194">
        <v>16</v>
      </c>
      <c r="AC51" s="194">
        <v>-51</v>
      </c>
      <c r="AE51" s="194">
        <v>-2</v>
      </c>
      <c r="AF51" s="194">
        <v>-26</v>
      </c>
      <c r="AG51" s="194">
        <v>-49</v>
      </c>
      <c r="AH51" s="194">
        <v>41</v>
      </c>
      <c r="AJ51" s="194">
        <v>-71</v>
      </c>
      <c r="AK51" s="194">
        <v>79</v>
      </c>
    </row>
    <row r="52" spans="2:37" x14ac:dyDescent="0.35">
      <c r="AC52" s="22"/>
    </row>
    <row r="53" spans="2:37" x14ac:dyDescent="0.35">
      <c r="B53" s="193" t="s">
        <v>401</v>
      </c>
      <c r="C53" s="443">
        <f t="shared" ref="C53:H53" si="1">C9+C12+C17+C25+C30+C49+C51</f>
        <v>-1983</v>
      </c>
      <c r="D53" s="443">
        <f t="shared" si="1"/>
        <v>-5384</v>
      </c>
      <c r="E53" s="443">
        <f t="shared" si="1"/>
        <v>-3633</v>
      </c>
      <c r="F53" s="443">
        <f>F9+F12+F17+F25+F30+F49+F51</f>
        <v>-373</v>
      </c>
      <c r="G53" s="443">
        <f t="shared" si="1"/>
        <v>-340</v>
      </c>
      <c r="H53" s="443">
        <f t="shared" si="1"/>
        <v>-453</v>
      </c>
      <c r="I53" s="443">
        <f>I9+I12+I17+I25+I30+I49+I51</f>
        <v>-338</v>
      </c>
      <c r="J53" s="443">
        <f t="shared" ref="J53:L53" si="2">J9+J12+J17+J25+J30+J49+J51</f>
        <v>-364</v>
      </c>
      <c r="K53" s="443">
        <f t="shared" si="2"/>
        <v>-65</v>
      </c>
      <c r="L53" s="443">
        <f t="shared" si="2"/>
        <v>1142</v>
      </c>
      <c r="M53" s="443">
        <f>M9+M12+M17+M25+M30+M49+M51</f>
        <v>1537</v>
      </c>
      <c r="N53" s="443">
        <f>N9+N12+N17+N25+N30+N49+N51</f>
        <v>-98</v>
      </c>
      <c r="O53" s="443">
        <f t="shared" ref="O53:P53" si="3">O9+O12+O17+O25+O30+O49+O51</f>
        <v>-18</v>
      </c>
      <c r="P53" s="443">
        <f t="shared" si="3"/>
        <v>1235</v>
      </c>
      <c r="Q53" s="443">
        <f>Q9+Q12+Q17+Q25+Q30+Q49+Q51</f>
        <v>-946</v>
      </c>
      <c r="R53" s="443">
        <f t="shared" ref="R53:T53" si="4">R9+R12+R17+R25+R30+R49+R51</f>
        <v>-142</v>
      </c>
      <c r="S53" s="443">
        <f t="shared" si="4"/>
        <v>-485</v>
      </c>
      <c r="T53" s="443">
        <f t="shared" si="4"/>
        <v>-289</v>
      </c>
      <c r="U53" s="443">
        <f>U9+U12+U17+U25+U30+U49+U51</f>
        <v>1944</v>
      </c>
      <c r="V53" s="443">
        <f t="shared" ref="V53:X53" si="5">V9+V12+V17+V25+V30+V49+V51</f>
        <v>-416</v>
      </c>
      <c r="W53" s="443">
        <f t="shared" si="5"/>
        <v>-414</v>
      </c>
      <c r="X53" s="443">
        <f t="shared" si="5"/>
        <v>-658</v>
      </c>
      <c r="Y53" s="443">
        <f>Y9+Y12+Y17+Y25+Y30+Y49+Y51</f>
        <v>-209</v>
      </c>
      <c r="Z53" s="443">
        <f>Z9+Z12+Z17+Z25+Z30+Z49+Z51</f>
        <v>-548</v>
      </c>
      <c r="AA53" s="443">
        <f t="shared" ref="AA53" si="6">AA9+AA12+AA17+AA25+AA30+AA49+AA51</f>
        <v>-533</v>
      </c>
      <c r="AB53" s="443">
        <f>AB9+AB12+AB17+AB25+AB30+AB49+AB51</f>
        <v>-1216</v>
      </c>
      <c r="AC53" s="443">
        <f>AC9+AC12+AC17+AC25+AC30+AC49+AC51</f>
        <v>-884</v>
      </c>
      <c r="AD53" s="444"/>
      <c r="AE53" s="443">
        <f t="shared" ref="AE53:AH53" si="7">AE9+AE12+AE17+AE25+AE30+AE49+AE51</f>
        <v>-541</v>
      </c>
      <c r="AF53" s="443">
        <f t="shared" si="7"/>
        <v>-727</v>
      </c>
      <c r="AG53" s="443">
        <f t="shared" si="7"/>
        <v>-663</v>
      </c>
      <c r="AH53" s="443">
        <f t="shared" si="7"/>
        <v>-460</v>
      </c>
      <c r="AJ53" s="443">
        <f t="shared" ref="AJ53" si="8">AJ9+AJ12+AJ17+AJ25+AJ30+AJ49+AJ51</f>
        <v>-721</v>
      </c>
      <c r="AK53" s="443">
        <f t="shared" ref="AK53" si="9">AK9+AK12+AK17+AK25+AK30+AK49+AK51</f>
        <v>-542</v>
      </c>
    </row>
    <row r="56" spans="2:37" x14ac:dyDescent="0.35">
      <c r="B56" s="338" t="s">
        <v>402</v>
      </c>
    </row>
    <row r="57" spans="2:37" ht="124" x14ac:dyDescent="0.3">
      <c r="B57" s="339" t="s">
        <v>403</v>
      </c>
    </row>
    <row r="58" spans="2:37" x14ac:dyDescent="0.3">
      <c r="B58" s="339"/>
    </row>
    <row r="59" spans="2:37" ht="46.5" x14ac:dyDescent="0.3">
      <c r="B59" s="339" t="s">
        <v>404</v>
      </c>
    </row>
    <row r="60" spans="2:37" x14ac:dyDescent="0.3">
      <c r="B60" s="339"/>
    </row>
    <row r="61" spans="2:37" x14ac:dyDescent="0.3">
      <c r="B61" s="340" t="s">
        <v>405</v>
      </c>
    </row>
  </sheetData>
  <phoneticPr fontId="96"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75DE2-C85B-4055-BC97-49977F155687}">
  <sheetPr>
    <tabColor rgb="FFFFC000"/>
  </sheetPr>
  <dimension ref="A1:AI44"/>
  <sheetViews>
    <sheetView showGridLines="0" zoomScale="70" zoomScaleNormal="70" workbookViewId="0">
      <pane xSplit="2" ySplit="5" topLeftCell="X33" activePane="bottomRight" state="frozen"/>
      <selection activeCell="AC59" sqref="AC59"/>
      <selection pane="topRight" activeCell="AC59" sqref="AC59"/>
      <selection pane="bottomLeft" activeCell="AC59" sqref="AC59"/>
      <selection pane="bottomRight" activeCell="AK39" sqref="AK39"/>
    </sheetView>
  </sheetViews>
  <sheetFormatPr defaultColWidth="9.1796875" defaultRowHeight="15.5" outlineLevelCol="1" x14ac:dyDescent="0.35"/>
  <cols>
    <col min="1" max="1" width="2" style="71" customWidth="1"/>
    <col min="2" max="2" width="96.81640625" style="56" customWidth="1"/>
    <col min="3" max="3" width="10.7265625" style="39" customWidth="1" outlineLevel="1"/>
    <col min="4" max="6" width="10.7265625" style="38" customWidth="1" outlineLevel="1"/>
    <col min="7" max="7" width="10.7265625" style="39" customWidth="1" outlineLevel="1"/>
    <col min="8" max="10" width="10.7265625" style="38" customWidth="1" outlineLevel="1"/>
    <col min="11" max="11" width="10.7265625" style="39" customWidth="1" outlineLevel="1"/>
    <col min="12" max="14" width="10.7265625" style="38" customWidth="1" outlineLevel="1"/>
    <col min="15" max="15" width="10.7265625" style="39" customWidth="1" outlineLevel="1"/>
    <col min="16" max="18" width="10.7265625" style="38" customWidth="1" outlineLevel="1"/>
    <col min="19" max="19" width="10.7265625" style="39" customWidth="1" outlineLevel="1"/>
    <col min="20" max="21" width="10.7265625" style="38" customWidth="1"/>
    <col min="22" max="22" width="11.1796875" style="38" bestFit="1" customWidth="1"/>
    <col min="23" max="23" width="10.7265625" style="39" customWidth="1"/>
    <col min="24" max="26" width="10.7265625" style="38" customWidth="1"/>
    <col min="27" max="27" width="9.1796875" style="71"/>
    <col min="28" max="28" width="1.08984375" style="71" customWidth="1"/>
    <col min="29" max="32" width="10.7265625" style="38" customWidth="1"/>
    <col min="33" max="33" width="0.453125" style="71" customWidth="1"/>
    <col min="34" max="35" width="10.7265625" style="38" customWidth="1"/>
    <col min="36" max="16384" width="9.1796875" style="71"/>
  </cols>
  <sheetData>
    <row r="1" spans="1:35" ht="41.25" customHeight="1" x14ac:dyDescent="0.35">
      <c r="A1" s="148"/>
      <c r="C1" s="35"/>
      <c r="D1" s="34"/>
      <c r="E1" s="34"/>
      <c r="F1" s="34"/>
      <c r="G1" s="35"/>
      <c r="H1" s="34"/>
      <c r="I1" s="34"/>
      <c r="J1" s="34"/>
      <c r="K1" s="35"/>
      <c r="L1" s="34"/>
      <c r="M1" s="34"/>
      <c r="N1" s="34"/>
      <c r="O1" s="35"/>
      <c r="P1" s="34"/>
      <c r="Q1" s="34"/>
      <c r="R1" s="34"/>
      <c r="S1" s="35"/>
      <c r="T1" s="34"/>
      <c r="U1" s="34"/>
      <c r="V1" s="34"/>
      <c r="W1" s="35"/>
      <c r="X1" s="34"/>
      <c r="Y1" s="34"/>
      <c r="Z1" s="34"/>
      <c r="AC1" s="34"/>
      <c r="AD1" s="34"/>
      <c r="AE1" s="34"/>
      <c r="AF1" s="34"/>
      <c r="AH1" s="34"/>
      <c r="AI1" s="34"/>
    </row>
    <row r="2" spans="1:35" ht="18" x14ac:dyDescent="0.3">
      <c r="B2" s="57" t="s">
        <v>426</v>
      </c>
      <c r="C2" s="37"/>
      <c r="D2" s="36"/>
      <c r="E2" s="36"/>
      <c r="F2" s="36"/>
      <c r="G2" s="37"/>
      <c r="H2" s="36"/>
      <c r="I2" s="36"/>
      <c r="J2" s="36"/>
      <c r="K2" s="37"/>
      <c r="L2" s="36"/>
      <c r="M2" s="36"/>
      <c r="N2" s="36"/>
      <c r="O2" s="37"/>
      <c r="P2" s="36"/>
      <c r="Q2" s="36"/>
      <c r="R2" s="36"/>
      <c r="S2" s="37"/>
      <c r="T2" s="36"/>
      <c r="U2" s="36"/>
      <c r="V2" s="36"/>
      <c r="W2" s="37"/>
      <c r="X2" s="36"/>
      <c r="Y2" s="36"/>
      <c r="Z2" s="36"/>
      <c r="AA2" s="36"/>
      <c r="AC2" s="36"/>
      <c r="AD2" s="36"/>
      <c r="AE2" s="36"/>
      <c r="AF2" s="36"/>
      <c r="AH2" s="36"/>
      <c r="AI2" s="36"/>
    </row>
    <row r="3" spans="1:35" x14ac:dyDescent="0.35">
      <c r="C3" s="371"/>
      <c r="D3" s="372"/>
      <c r="E3" s="372"/>
      <c r="F3" s="372"/>
      <c r="G3" s="371"/>
      <c r="H3" s="372"/>
      <c r="I3" s="372"/>
      <c r="J3" s="372"/>
      <c r="K3" s="371"/>
    </row>
    <row r="4" spans="1:35" x14ac:dyDescent="0.3">
      <c r="B4" s="58"/>
      <c r="C4" s="42">
        <v>2016</v>
      </c>
      <c r="D4" s="40" t="s">
        <v>211</v>
      </c>
      <c r="E4" s="41" t="s">
        <v>212</v>
      </c>
      <c r="F4" s="41" t="s">
        <v>213</v>
      </c>
      <c r="G4" s="42" t="s">
        <v>195</v>
      </c>
      <c r="H4" s="40" t="s">
        <v>196</v>
      </c>
      <c r="I4" s="41" t="s">
        <v>197</v>
      </c>
      <c r="J4" s="41" t="s">
        <v>198</v>
      </c>
      <c r="K4" s="42" t="s">
        <v>199</v>
      </c>
      <c r="L4" s="41" t="s">
        <v>200</v>
      </c>
      <c r="M4" s="41" t="s">
        <v>201</v>
      </c>
      <c r="N4" s="41" t="s">
        <v>202</v>
      </c>
      <c r="O4" s="42" t="s">
        <v>203</v>
      </c>
      <c r="P4" s="41" t="s">
        <v>204</v>
      </c>
      <c r="Q4" s="41" t="s">
        <v>205</v>
      </c>
      <c r="R4" s="41" t="s">
        <v>206</v>
      </c>
      <c r="S4" s="42" t="s">
        <v>207</v>
      </c>
      <c r="T4" s="41" t="s">
        <v>208</v>
      </c>
      <c r="U4" s="41" t="s">
        <v>209</v>
      </c>
      <c r="V4" s="41" t="s">
        <v>210</v>
      </c>
      <c r="W4" s="42" t="s">
        <v>428</v>
      </c>
      <c r="X4" s="41" t="s">
        <v>435</v>
      </c>
      <c r="Y4" s="41" t="s">
        <v>440</v>
      </c>
      <c r="Z4" s="41" t="s">
        <v>470</v>
      </c>
      <c r="AA4" s="41" t="s">
        <v>480</v>
      </c>
      <c r="AC4" s="41" t="s">
        <v>500</v>
      </c>
      <c r="AD4" s="41" t="s">
        <v>524</v>
      </c>
      <c r="AE4" s="41" t="s">
        <v>588</v>
      </c>
      <c r="AF4" s="41" t="s">
        <v>604</v>
      </c>
      <c r="AH4" s="41" t="s">
        <v>633</v>
      </c>
      <c r="AI4" s="41" t="s">
        <v>672</v>
      </c>
    </row>
    <row r="5" spans="1:35" x14ac:dyDescent="0.35">
      <c r="B5" s="59"/>
      <c r="C5" s="43">
        <v>41273</v>
      </c>
      <c r="D5" s="43">
        <v>41363</v>
      </c>
      <c r="E5" s="43">
        <v>41454</v>
      </c>
      <c r="F5" s="43">
        <v>41546</v>
      </c>
      <c r="G5" s="44">
        <v>41637</v>
      </c>
      <c r="H5" s="43">
        <v>41728</v>
      </c>
      <c r="I5" s="43">
        <v>41819</v>
      </c>
      <c r="J5" s="43">
        <v>41911</v>
      </c>
      <c r="K5" s="44">
        <v>42002</v>
      </c>
      <c r="L5" s="43">
        <v>42093</v>
      </c>
      <c r="M5" s="43">
        <v>42184</v>
      </c>
      <c r="N5" s="43">
        <v>42276</v>
      </c>
      <c r="O5" s="44">
        <v>42367</v>
      </c>
      <c r="P5" s="43">
        <v>42459</v>
      </c>
      <c r="Q5" s="43">
        <v>42550</v>
      </c>
      <c r="R5" s="43">
        <v>42642</v>
      </c>
      <c r="S5" s="44">
        <v>42733</v>
      </c>
      <c r="T5" s="43">
        <v>42824</v>
      </c>
      <c r="U5" s="43">
        <v>42915</v>
      </c>
      <c r="V5" s="43">
        <v>43007</v>
      </c>
      <c r="W5" s="44">
        <v>43098</v>
      </c>
      <c r="X5" s="43">
        <v>43189</v>
      </c>
      <c r="Y5" s="43">
        <v>43280</v>
      </c>
      <c r="Z5" s="43">
        <v>43372</v>
      </c>
      <c r="AA5" s="44">
        <v>43463</v>
      </c>
      <c r="AC5" s="43">
        <v>43554</v>
      </c>
      <c r="AD5" s="43">
        <v>43645</v>
      </c>
      <c r="AE5" s="43">
        <v>43737</v>
      </c>
      <c r="AF5" s="44">
        <v>43828</v>
      </c>
      <c r="AH5" s="43">
        <v>43920</v>
      </c>
      <c r="AI5" s="43">
        <v>44011</v>
      </c>
    </row>
    <row r="6" spans="1:35" ht="8.25" customHeight="1" x14ac:dyDescent="0.35">
      <c r="C6" s="35"/>
      <c r="D6" s="34"/>
      <c r="E6" s="34"/>
      <c r="F6" s="34"/>
      <c r="G6" s="35"/>
      <c r="H6" s="34"/>
      <c r="I6" s="34"/>
      <c r="J6" s="34"/>
      <c r="K6" s="35"/>
      <c r="L6" s="34"/>
      <c r="M6" s="34"/>
      <c r="N6" s="34"/>
      <c r="O6" s="35"/>
      <c r="P6" s="34"/>
      <c r="Q6" s="34"/>
      <c r="R6" s="34"/>
      <c r="S6" s="35"/>
      <c r="T6" s="34"/>
      <c r="U6" s="34"/>
      <c r="V6" s="34"/>
      <c r="W6" s="35"/>
      <c r="X6" s="34"/>
      <c r="Y6" s="34"/>
      <c r="Z6" s="34"/>
      <c r="AC6" s="34"/>
      <c r="AD6" s="34"/>
      <c r="AE6" s="34"/>
      <c r="AF6" s="34"/>
      <c r="AH6" s="34"/>
      <c r="AI6" s="34"/>
    </row>
    <row r="7" spans="1:35" s="128" customFormat="1" ht="18" x14ac:dyDescent="0.4">
      <c r="B7" s="60" t="s">
        <v>412</v>
      </c>
      <c r="C7" s="46"/>
      <c r="D7" s="45"/>
      <c r="E7" s="45"/>
      <c r="F7" s="45"/>
      <c r="G7" s="46"/>
      <c r="H7" s="45"/>
      <c r="I7" s="45"/>
      <c r="J7" s="45"/>
      <c r="K7" s="46"/>
      <c r="L7" s="45"/>
      <c r="M7" s="47"/>
      <c r="N7" s="47"/>
      <c r="O7" s="48"/>
      <c r="P7" s="47"/>
      <c r="Q7" s="47"/>
      <c r="R7" s="47"/>
      <c r="S7" s="48"/>
      <c r="T7" s="47"/>
      <c r="U7" s="49"/>
      <c r="V7" s="47"/>
      <c r="W7" s="48"/>
      <c r="X7" s="47"/>
      <c r="Y7" s="47"/>
      <c r="Z7" s="47"/>
      <c r="AC7" s="47"/>
      <c r="AD7" s="47"/>
      <c r="AE7" s="47"/>
      <c r="AF7" s="47"/>
      <c r="AH7" s="47"/>
      <c r="AI7" s="47"/>
    </row>
    <row r="8" spans="1:35" s="129" customFormat="1" ht="7.5" customHeight="1" x14ac:dyDescent="0.4">
      <c r="B8" s="101"/>
      <c r="C8" s="92"/>
      <c r="D8" s="94"/>
      <c r="E8" s="94"/>
      <c r="F8" s="94"/>
      <c r="G8" s="92"/>
      <c r="H8" s="94"/>
      <c r="I8" s="94"/>
      <c r="J8" s="94"/>
      <c r="K8" s="92"/>
      <c r="L8" s="94"/>
      <c r="M8" s="94"/>
      <c r="N8" s="94"/>
      <c r="O8" s="92"/>
      <c r="P8" s="94"/>
      <c r="Q8" s="94"/>
      <c r="R8" s="94"/>
      <c r="S8" s="92"/>
      <c r="T8" s="94"/>
      <c r="U8" s="94"/>
      <c r="V8" s="94"/>
      <c r="W8" s="92"/>
      <c r="X8" s="94"/>
      <c r="Y8" s="94"/>
      <c r="Z8" s="94"/>
      <c r="AA8" s="436"/>
      <c r="AC8" s="94"/>
      <c r="AD8" s="94"/>
      <c r="AE8" s="94"/>
      <c r="AF8" s="94"/>
      <c r="AH8" s="94"/>
      <c r="AI8" s="94"/>
    </row>
    <row r="9" spans="1:35" s="56" customFormat="1" x14ac:dyDescent="0.35">
      <c r="B9" s="193" t="s">
        <v>413</v>
      </c>
      <c r="C9" s="373"/>
      <c r="D9" s="374"/>
      <c r="E9" s="374"/>
      <c r="F9" s="374"/>
      <c r="G9" s="373"/>
      <c r="H9" s="374"/>
      <c r="I9" s="374"/>
      <c r="J9" s="374"/>
      <c r="K9" s="373"/>
      <c r="L9" s="374"/>
      <c r="M9" s="374"/>
      <c r="N9" s="374"/>
      <c r="O9" s="373"/>
      <c r="P9" s="374"/>
      <c r="Q9" s="374"/>
      <c r="R9" s="374"/>
      <c r="S9" s="373"/>
      <c r="T9" s="374"/>
      <c r="U9" s="374"/>
      <c r="V9" s="374"/>
      <c r="W9" s="373"/>
      <c r="X9" s="374"/>
      <c r="Y9" s="374"/>
      <c r="Z9" s="374"/>
      <c r="AA9" s="374"/>
      <c r="AC9" s="374"/>
      <c r="AD9" s="374"/>
      <c r="AE9" s="374"/>
      <c r="AF9" s="374"/>
      <c r="AH9" s="374"/>
      <c r="AI9" s="374"/>
    </row>
    <row r="10" spans="1:35" s="56" customFormat="1" ht="3.75" customHeight="1" x14ac:dyDescent="0.35">
      <c r="B10" s="63"/>
      <c r="C10" s="146"/>
      <c r="D10" s="375"/>
      <c r="E10" s="375"/>
      <c r="F10" s="375"/>
      <c r="G10" s="146"/>
      <c r="H10" s="375"/>
      <c r="I10" s="375"/>
      <c r="J10" s="375"/>
      <c r="K10" s="146"/>
      <c r="L10" s="375"/>
      <c r="M10" s="375"/>
      <c r="N10" s="375"/>
      <c r="O10" s="146"/>
      <c r="P10" s="375"/>
      <c r="Q10" s="375"/>
      <c r="R10" s="375"/>
      <c r="S10" s="146"/>
      <c r="T10" s="375"/>
      <c r="U10" s="375"/>
      <c r="V10" s="375"/>
      <c r="W10" s="146"/>
      <c r="X10" s="375"/>
      <c r="Y10" s="375"/>
      <c r="Z10" s="375"/>
      <c r="AC10" s="375"/>
      <c r="AD10" s="375"/>
      <c r="AE10" s="375"/>
      <c r="AF10" s="375"/>
      <c r="AH10" s="375"/>
      <c r="AI10" s="375"/>
    </row>
    <row r="11" spans="1:35" s="56" customFormat="1" x14ac:dyDescent="0.35">
      <c r="B11" s="329" t="s">
        <v>366</v>
      </c>
      <c r="C11" s="115">
        <v>-315</v>
      </c>
      <c r="D11" s="116">
        <v>156</v>
      </c>
      <c r="E11" s="116">
        <v>70</v>
      </c>
      <c r="F11" s="116">
        <v>394</v>
      </c>
      <c r="G11" s="115">
        <v>531</v>
      </c>
      <c r="H11" s="116">
        <v>247</v>
      </c>
      <c r="I11" s="116">
        <v>263</v>
      </c>
      <c r="J11" s="116">
        <v>1078</v>
      </c>
      <c r="K11" s="115">
        <v>1605</v>
      </c>
      <c r="L11" s="116">
        <v>477</v>
      </c>
      <c r="M11" s="116">
        <v>302</v>
      </c>
      <c r="N11" s="116">
        <v>1336</v>
      </c>
      <c r="O11" s="115">
        <v>96</v>
      </c>
      <c r="P11" s="116">
        <v>234</v>
      </c>
      <c r="Q11" s="116">
        <v>188</v>
      </c>
      <c r="R11" s="116">
        <v>335</v>
      </c>
      <c r="S11" s="115">
        <v>3148</v>
      </c>
      <c r="T11" s="116">
        <v>492</v>
      </c>
      <c r="U11" s="376">
        <v>382</v>
      </c>
      <c r="V11" s="116">
        <v>598</v>
      </c>
      <c r="W11" s="115">
        <v>1025</v>
      </c>
      <c r="X11" s="116">
        <v>325</v>
      </c>
      <c r="Y11" s="116">
        <v>707</v>
      </c>
      <c r="Z11" s="116">
        <v>-61</v>
      </c>
      <c r="AA11" s="116">
        <v>566</v>
      </c>
      <c r="AC11" s="116">
        <v>81</v>
      </c>
      <c r="AD11" s="116">
        <v>133</v>
      </c>
      <c r="AE11" s="116">
        <v>1255</v>
      </c>
      <c r="AF11" s="116">
        <v>3297</v>
      </c>
      <c r="AH11" s="116">
        <v>789</v>
      </c>
      <c r="AI11" s="99">
        <v>867</v>
      </c>
    </row>
    <row r="12" spans="1:35" s="56" customFormat="1" x14ac:dyDescent="0.35">
      <c r="B12" s="329" t="s">
        <v>414</v>
      </c>
      <c r="C12" s="115">
        <v>622</v>
      </c>
      <c r="D12" s="116">
        <v>148</v>
      </c>
      <c r="E12" s="116">
        <v>88</v>
      </c>
      <c r="F12" s="116">
        <v>232</v>
      </c>
      <c r="G12" s="115">
        <v>89</v>
      </c>
      <c r="H12" s="116">
        <v>46</v>
      </c>
      <c r="I12" s="116">
        <v>-269</v>
      </c>
      <c r="J12" s="116">
        <v>-353</v>
      </c>
      <c r="K12" s="115">
        <v>-1847</v>
      </c>
      <c r="L12" s="116">
        <v>-272</v>
      </c>
      <c r="M12" s="453">
        <v>-188</v>
      </c>
      <c r="N12" s="116">
        <v>-1557</v>
      </c>
      <c r="O12" s="115">
        <v>27</v>
      </c>
      <c r="P12" s="116">
        <v>96</v>
      </c>
      <c r="Q12" s="116">
        <v>-77</v>
      </c>
      <c r="R12" s="116">
        <v>-22</v>
      </c>
      <c r="S12" s="115">
        <v>-261</v>
      </c>
      <c r="T12" s="116">
        <v>118</v>
      </c>
      <c r="U12" s="376">
        <v>73</v>
      </c>
      <c r="V12" s="116">
        <v>48</v>
      </c>
      <c r="W12" s="115">
        <v>-807</v>
      </c>
      <c r="X12" s="116">
        <v>449</v>
      </c>
      <c r="Y12" s="116">
        <v>614</v>
      </c>
      <c r="Z12" s="116">
        <v>564</v>
      </c>
      <c r="AA12" s="116">
        <v>404</v>
      </c>
      <c r="AC12" s="116">
        <v>280</v>
      </c>
      <c r="AD12" s="116">
        <v>341</v>
      </c>
      <c r="AE12" s="116">
        <v>413</v>
      </c>
      <c r="AF12" s="116">
        <v>50</v>
      </c>
      <c r="AH12" s="116">
        <v>334</v>
      </c>
      <c r="AI12" s="99">
        <v>213</v>
      </c>
    </row>
    <row r="13" spans="1:35" s="56" customFormat="1" x14ac:dyDescent="0.35">
      <c r="B13" s="329" t="s">
        <v>66</v>
      </c>
      <c r="C13" s="115">
        <v>-322</v>
      </c>
      <c r="D13" s="116">
        <v>120</v>
      </c>
      <c r="E13" s="116">
        <v>71</v>
      </c>
      <c r="F13" s="116">
        <v>207</v>
      </c>
      <c r="G13" s="115">
        <v>15</v>
      </c>
      <c r="H13" s="116">
        <v>163</v>
      </c>
      <c r="I13" s="116">
        <v>180</v>
      </c>
      <c r="J13" s="116">
        <v>696</v>
      </c>
      <c r="K13" s="115">
        <v>577</v>
      </c>
      <c r="L13" s="116">
        <v>284</v>
      </c>
      <c r="M13" s="453">
        <v>186</v>
      </c>
      <c r="N13" s="116">
        <v>718</v>
      </c>
      <c r="O13" s="115">
        <v>-96</v>
      </c>
      <c r="P13" s="116">
        <v>170</v>
      </c>
      <c r="Q13" s="116">
        <v>144</v>
      </c>
      <c r="R13" s="116">
        <v>211</v>
      </c>
      <c r="S13" s="115">
        <v>400</v>
      </c>
      <c r="T13" s="116">
        <v>267</v>
      </c>
      <c r="U13" s="376">
        <v>220</v>
      </c>
      <c r="V13" s="116">
        <v>-147</v>
      </c>
      <c r="W13" s="115">
        <v>337</v>
      </c>
      <c r="X13" s="116">
        <v>217</v>
      </c>
      <c r="Y13" s="116">
        <v>358</v>
      </c>
      <c r="Z13" s="116">
        <v>-239</v>
      </c>
      <c r="AA13" s="116">
        <v>57</v>
      </c>
      <c r="AC13" s="116">
        <v>66</v>
      </c>
      <c r="AD13" s="116">
        <v>50</v>
      </c>
      <c r="AE13" s="116">
        <v>415</v>
      </c>
      <c r="AF13" s="116">
        <v>1162</v>
      </c>
      <c r="AH13" s="116">
        <v>435</v>
      </c>
      <c r="AI13" s="99">
        <v>141</v>
      </c>
    </row>
    <row r="14" spans="1:35" s="56" customFormat="1" x14ac:dyDescent="0.35">
      <c r="B14" s="329" t="s">
        <v>89</v>
      </c>
      <c r="C14" s="115">
        <v>454</v>
      </c>
      <c r="D14" s="116">
        <v>112</v>
      </c>
      <c r="E14" s="116">
        <v>115</v>
      </c>
      <c r="F14" s="116">
        <v>117</v>
      </c>
      <c r="G14" s="115">
        <v>109</v>
      </c>
      <c r="H14" s="116">
        <v>106</v>
      </c>
      <c r="I14" s="116">
        <v>107</v>
      </c>
      <c r="J14" s="116">
        <v>102</v>
      </c>
      <c r="K14" s="115">
        <v>102</v>
      </c>
      <c r="L14" s="116">
        <v>128</v>
      </c>
      <c r="M14" s="453">
        <v>127</v>
      </c>
      <c r="N14" s="116">
        <v>127</v>
      </c>
      <c r="O14" s="115">
        <v>146</v>
      </c>
      <c r="P14" s="116">
        <v>135</v>
      </c>
      <c r="Q14" s="116">
        <v>136</v>
      </c>
      <c r="R14" s="116">
        <v>132</v>
      </c>
      <c r="S14" s="115">
        <v>134</v>
      </c>
      <c r="T14" s="116">
        <v>139</v>
      </c>
      <c r="U14" s="376">
        <v>140</v>
      </c>
      <c r="V14" s="116">
        <v>144</v>
      </c>
      <c r="W14" s="115">
        <v>136</v>
      </c>
      <c r="X14" s="116">
        <v>139</v>
      </c>
      <c r="Y14" s="116">
        <v>135</v>
      </c>
      <c r="Z14" s="116">
        <v>142</v>
      </c>
      <c r="AA14" s="116">
        <v>137</v>
      </c>
      <c r="AC14" s="116">
        <v>138</v>
      </c>
      <c r="AD14" s="116">
        <v>136</v>
      </c>
      <c r="AE14" s="116">
        <v>139</v>
      </c>
      <c r="AF14" s="116">
        <v>141</v>
      </c>
      <c r="AH14" s="116">
        <v>143</v>
      </c>
      <c r="AI14" s="99">
        <v>135</v>
      </c>
    </row>
    <row r="15" spans="1:35" s="129" customFormat="1" ht="7.5" customHeight="1" x14ac:dyDescent="0.4">
      <c r="B15" s="101"/>
      <c r="C15" s="92"/>
      <c r="D15" s="94"/>
      <c r="E15" s="94"/>
      <c r="F15" s="94"/>
      <c r="G15" s="92"/>
      <c r="H15" s="94"/>
      <c r="I15" s="94"/>
      <c r="J15" s="94"/>
      <c r="K15" s="92"/>
      <c r="L15" s="94"/>
      <c r="M15" s="454"/>
      <c r="N15" s="94"/>
      <c r="O15" s="92"/>
      <c r="P15" s="94"/>
      <c r="Q15" s="94"/>
      <c r="R15" s="94"/>
      <c r="S15" s="92"/>
      <c r="T15" s="94"/>
      <c r="U15" s="94"/>
      <c r="V15" s="94"/>
      <c r="W15" s="92"/>
      <c r="X15" s="94"/>
      <c r="Y15" s="94"/>
      <c r="Z15" s="94"/>
      <c r="AA15" s="94"/>
      <c r="AC15" s="94"/>
      <c r="AD15" s="94"/>
      <c r="AE15" s="94"/>
      <c r="AF15" s="94"/>
      <c r="AH15" s="94"/>
      <c r="AI15" s="94"/>
    </row>
    <row r="16" spans="1:35" s="56" customFormat="1" x14ac:dyDescent="0.35">
      <c r="B16" s="193" t="s">
        <v>415</v>
      </c>
      <c r="C16" s="374">
        <f t="shared" ref="C16:AA16" si="0">SUM(C11:C14)</f>
        <v>439</v>
      </c>
      <c r="D16" s="374">
        <f t="shared" si="0"/>
        <v>536</v>
      </c>
      <c r="E16" s="374">
        <f t="shared" si="0"/>
        <v>344</v>
      </c>
      <c r="F16" s="374">
        <f t="shared" si="0"/>
        <v>950</v>
      </c>
      <c r="G16" s="374">
        <f t="shared" si="0"/>
        <v>744</v>
      </c>
      <c r="H16" s="374">
        <f t="shared" si="0"/>
        <v>562</v>
      </c>
      <c r="I16" s="374">
        <f t="shared" si="0"/>
        <v>281</v>
      </c>
      <c r="J16" s="374">
        <f t="shared" si="0"/>
        <v>1523</v>
      </c>
      <c r="K16" s="374">
        <f t="shared" si="0"/>
        <v>437</v>
      </c>
      <c r="L16" s="374">
        <f t="shared" si="0"/>
        <v>617</v>
      </c>
      <c r="M16" s="455">
        <f t="shared" si="0"/>
        <v>427</v>
      </c>
      <c r="N16" s="374">
        <f t="shared" si="0"/>
        <v>624</v>
      </c>
      <c r="O16" s="374">
        <f t="shared" si="0"/>
        <v>173</v>
      </c>
      <c r="P16" s="374">
        <f t="shared" si="0"/>
        <v>635</v>
      </c>
      <c r="Q16" s="374">
        <f t="shared" si="0"/>
        <v>391</v>
      </c>
      <c r="R16" s="374">
        <f t="shared" si="0"/>
        <v>656</v>
      </c>
      <c r="S16" s="374">
        <f t="shared" si="0"/>
        <v>3421</v>
      </c>
      <c r="T16" s="374">
        <f t="shared" si="0"/>
        <v>1016</v>
      </c>
      <c r="U16" s="374">
        <f t="shared" si="0"/>
        <v>815</v>
      </c>
      <c r="V16" s="374">
        <f t="shared" si="0"/>
        <v>643</v>
      </c>
      <c r="W16" s="374">
        <f t="shared" si="0"/>
        <v>691</v>
      </c>
      <c r="X16" s="374">
        <f t="shared" si="0"/>
        <v>1130</v>
      </c>
      <c r="Y16" s="374">
        <f t="shared" si="0"/>
        <v>1814</v>
      </c>
      <c r="Z16" s="374">
        <f t="shared" si="0"/>
        <v>406</v>
      </c>
      <c r="AA16" s="374">
        <f t="shared" si="0"/>
        <v>1164</v>
      </c>
      <c r="AC16" s="374">
        <f>SUM(AC11:AC14)</f>
        <v>565</v>
      </c>
      <c r="AD16" s="374">
        <f>SUM(AD11:AD14)</f>
        <v>660</v>
      </c>
      <c r="AE16" s="374">
        <f>SUM(AE11:AE14)</f>
        <v>2222</v>
      </c>
      <c r="AF16" s="374">
        <f>SUM(AF11:AF14)</f>
        <v>4650</v>
      </c>
      <c r="AH16" s="374">
        <f>SUM(AH11:AH14)</f>
        <v>1701</v>
      </c>
      <c r="AI16" s="374">
        <f>SUM(AI11:AI14)</f>
        <v>1356</v>
      </c>
    </row>
    <row r="17" spans="2:35" s="56" customFormat="1" x14ac:dyDescent="0.35">
      <c r="B17" s="63"/>
      <c r="C17" s="146"/>
      <c r="D17" s="375"/>
      <c r="E17" s="375"/>
      <c r="F17" s="375"/>
      <c r="G17" s="146"/>
      <c r="H17" s="375"/>
      <c r="I17" s="375"/>
      <c r="J17" s="375"/>
      <c r="K17" s="146"/>
      <c r="L17" s="375"/>
      <c r="M17" s="456"/>
      <c r="N17" s="375"/>
      <c r="O17" s="146"/>
      <c r="P17" s="375"/>
      <c r="Q17" s="375"/>
      <c r="R17" s="375"/>
      <c r="S17" s="146"/>
      <c r="T17" s="375"/>
      <c r="U17" s="375"/>
      <c r="V17" s="375"/>
      <c r="W17" s="146"/>
      <c r="X17" s="375"/>
      <c r="Y17" s="375"/>
      <c r="Z17" s="375"/>
      <c r="AA17" s="375"/>
      <c r="AC17" s="375"/>
      <c r="AD17" s="375"/>
      <c r="AE17" s="375"/>
      <c r="AF17" s="375"/>
      <c r="AH17" s="375"/>
      <c r="AI17" s="375"/>
    </row>
    <row r="18" spans="2:35" s="56" customFormat="1" ht="13.5" customHeight="1" x14ac:dyDescent="0.35">
      <c r="B18" s="333" t="s">
        <v>416</v>
      </c>
      <c r="C18" s="115">
        <v>411</v>
      </c>
      <c r="D18" s="116">
        <v>-88</v>
      </c>
      <c r="E18" s="116">
        <v>-28</v>
      </c>
      <c r="F18" s="116">
        <v>-29</v>
      </c>
      <c r="G18" s="115">
        <v>-10</v>
      </c>
      <c r="H18" s="116">
        <v>-19</v>
      </c>
      <c r="I18" s="116">
        <v>0</v>
      </c>
      <c r="J18" s="116">
        <v>-5</v>
      </c>
      <c r="K18" s="115">
        <v>-96</v>
      </c>
      <c r="L18" s="116">
        <v>-7</v>
      </c>
      <c r="M18" s="453">
        <v>-4</v>
      </c>
      <c r="N18" s="116">
        <v>-1</v>
      </c>
      <c r="O18" s="115">
        <v>0</v>
      </c>
      <c r="P18" s="116">
        <v>0</v>
      </c>
      <c r="Q18" s="116">
        <v>-1</v>
      </c>
      <c r="R18" s="116">
        <v>0</v>
      </c>
      <c r="S18" s="115">
        <v>0</v>
      </c>
      <c r="T18" s="116">
        <v>-1</v>
      </c>
      <c r="U18" s="116">
        <v>-1</v>
      </c>
      <c r="V18" s="116">
        <v>2</v>
      </c>
      <c r="W18" s="115">
        <v>0</v>
      </c>
      <c r="X18" s="116">
        <v>0</v>
      </c>
      <c r="Y18" s="116">
        <v>0</v>
      </c>
      <c r="Z18" s="116">
        <v>-6</v>
      </c>
      <c r="AA18" s="116">
        <v>-2</v>
      </c>
      <c r="AC18" s="116">
        <v>0</v>
      </c>
      <c r="AD18" s="116">
        <v>0</v>
      </c>
      <c r="AE18" s="116">
        <v>0</v>
      </c>
      <c r="AF18" s="116">
        <v>2</v>
      </c>
      <c r="AH18" s="116">
        <v>1</v>
      </c>
      <c r="AI18" s="376">
        <v>-1</v>
      </c>
    </row>
    <row r="19" spans="2:35" s="56" customFormat="1" x14ac:dyDescent="0.35">
      <c r="B19" s="330" t="s">
        <v>417</v>
      </c>
      <c r="C19" s="115">
        <v>1079</v>
      </c>
      <c r="D19" s="116">
        <v>80</v>
      </c>
      <c r="E19" s="116">
        <v>101</v>
      </c>
      <c r="F19" s="116">
        <v>-77</v>
      </c>
      <c r="G19" s="115">
        <v>15</v>
      </c>
      <c r="H19" s="116">
        <v>78</v>
      </c>
      <c r="I19" s="116">
        <v>89</v>
      </c>
      <c r="J19" s="116">
        <v>-1210</v>
      </c>
      <c r="K19" s="115">
        <v>52</v>
      </c>
      <c r="L19" s="116">
        <v>55</v>
      </c>
      <c r="M19" s="453">
        <v>31</v>
      </c>
      <c r="N19" s="116">
        <v>9</v>
      </c>
      <c r="O19" s="115">
        <v>14</v>
      </c>
      <c r="P19" s="116">
        <v>26</v>
      </c>
      <c r="Q19" s="116">
        <v>-68</v>
      </c>
      <c r="R19" s="116">
        <v>16</v>
      </c>
      <c r="S19" s="115">
        <v>-23</v>
      </c>
      <c r="T19" s="116">
        <v>32</v>
      </c>
      <c r="U19" s="116">
        <v>-54</v>
      </c>
      <c r="V19" s="116">
        <v>44</v>
      </c>
      <c r="W19" s="115">
        <v>904</v>
      </c>
      <c r="X19" s="116">
        <v>92</v>
      </c>
      <c r="Y19" s="116">
        <v>-6</v>
      </c>
      <c r="Z19" s="116">
        <v>58</v>
      </c>
      <c r="AA19" s="116">
        <v>37</v>
      </c>
      <c r="AC19" s="116">
        <v>28</v>
      </c>
      <c r="AD19" s="116">
        <v>35</v>
      </c>
      <c r="AE19" s="116">
        <v>60</v>
      </c>
      <c r="AF19" s="116">
        <v>160</v>
      </c>
      <c r="AH19" s="116">
        <v>-28</v>
      </c>
      <c r="AI19" s="376">
        <v>51</v>
      </c>
    </row>
    <row r="20" spans="2:35" s="56" customFormat="1" x14ac:dyDescent="0.35">
      <c r="B20" s="333" t="s">
        <v>418</v>
      </c>
      <c r="C20" s="115">
        <v>542</v>
      </c>
      <c r="D20" s="116">
        <v>125</v>
      </c>
      <c r="E20" s="116">
        <v>140</v>
      </c>
      <c r="F20" s="116">
        <v>153</v>
      </c>
      <c r="G20" s="115">
        <v>127</v>
      </c>
      <c r="H20" s="116">
        <v>121</v>
      </c>
      <c r="I20" s="116">
        <v>136</v>
      </c>
      <c r="J20" s="116">
        <v>131</v>
      </c>
      <c r="K20" s="115">
        <v>134</v>
      </c>
      <c r="L20" s="116">
        <v>124</v>
      </c>
      <c r="M20" s="453">
        <v>115</v>
      </c>
      <c r="N20" s="116">
        <v>135</v>
      </c>
      <c r="O20" s="115">
        <v>139</v>
      </c>
      <c r="P20" s="116">
        <v>150</v>
      </c>
      <c r="Q20" s="116">
        <v>157</v>
      </c>
      <c r="R20" s="116">
        <v>148</v>
      </c>
      <c r="S20" s="115">
        <v>183</v>
      </c>
      <c r="T20" s="116">
        <v>193</v>
      </c>
      <c r="U20" s="116">
        <v>240</v>
      </c>
      <c r="V20" s="116">
        <v>188</v>
      </c>
      <c r="W20" s="115">
        <v>184</v>
      </c>
      <c r="X20" s="116">
        <v>122</v>
      </c>
      <c r="Y20" s="116">
        <v>136</v>
      </c>
      <c r="Z20" s="116">
        <v>227</v>
      </c>
      <c r="AA20" s="116">
        <v>166</v>
      </c>
      <c r="AC20" s="116">
        <v>175</v>
      </c>
      <c r="AD20" s="116">
        <v>179</v>
      </c>
      <c r="AE20" s="116">
        <v>180</v>
      </c>
      <c r="AF20" s="116">
        <v>183</v>
      </c>
      <c r="AH20" s="116">
        <v>172</v>
      </c>
      <c r="AI20" s="376">
        <v>188</v>
      </c>
    </row>
    <row r="21" spans="2:35" s="56" customFormat="1" x14ac:dyDescent="0.35">
      <c r="B21" s="333" t="s">
        <v>392</v>
      </c>
      <c r="C21" s="115">
        <v>434</v>
      </c>
      <c r="D21" s="116">
        <v>-21</v>
      </c>
      <c r="E21" s="116">
        <v>-93</v>
      </c>
      <c r="F21" s="116">
        <v>-29</v>
      </c>
      <c r="G21" s="115">
        <v>-1</v>
      </c>
      <c r="H21" s="116">
        <v>22</v>
      </c>
      <c r="I21" s="116">
        <v>-6</v>
      </c>
      <c r="J21" s="116">
        <v>0</v>
      </c>
      <c r="K21" s="115">
        <v>76</v>
      </c>
      <c r="L21" s="116">
        <v>-3</v>
      </c>
      <c r="M21" s="453">
        <v>-13</v>
      </c>
      <c r="N21" s="116">
        <v>-3</v>
      </c>
      <c r="O21" s="115">
        <v>330</v>
      </c>
      <c r="P21" s="116">
        <v>-3</v>
      </c>
      <c r="Q21" s="116">
        <v>1</v>
      </c>
      <c r="R21" s="116">
        <v>0</v>
      </c>
      <c r="S21" s="115">
        <v>0</v>
      </c>
      <c r="T21" s="116">
        <v>0</v>
      </c>
      <c r="U21" s="116">
        <v>0</v>
      </c>
      <c r="V21" s="116">
        <v>0</v>
      </c>
      <c r="W21" s="115">
        <v>0</v>
      </c>
      <c r="X21" s="116">
        <v>0</v>
      </c>
      <c r="Y21" s="116">
        <v>0</v>
      </c>
      <c r="Z21" s="116">
        <v>0</v>
      </c>
      <c r="AA21" s="116">
        <v>0</v>
      </c>
      <c r="AC21" s="116">
        <v>0</v>
      </c>
      <c r="AD21" s="116">
        <v>0</v>
      </c>
      <c r="AE21" s="116">
        <v>0</v>
      </c>
      <c r="AF21" s="116">
        <v>0</v>
      </c>
      <c r="AH21" s="116">
        <v>0</v>
      </c>
      <c r="AI21" s="116">
        <v>0</v>
      </c>
    </row>
    <row r="22" spans="2:35" s="56" customFormat="1" x14ac:dyDescent="0.35">
      <c r="B22" s="333" t="s">
        <v>384</v>
      </c>
      <c r="C22" s="115">
        <v>0</v>
      </c>
      <c r="D22" s="116">
        <v>0</v>
      </c>
      <c r="E22" s="116">
        <v>0</v>
      </c>
      <c r="F22" s="116">
        <v>0</v>
      </c>
      <c r="G22" s="115">
        <v>0</v>
      </c>
      <c r="H22" s="116">
        <v>0</v>
      </c>
      <c r="I22" s="116">
        <v>0</v>
      </c>
      <c r="J22" s="116">
        <v>0</v>
      </c>
      <c r="K22" s="116">
        <v>0</v>
      </c>
      <c r="L22" s="116">
        <v>0</v>
      </c>
      <c r="M22" s="453">
        <v>0</v>
      </c>
      <c r="N22" s="116">
        <v>0</v>
      </c>
      <c r="O22" s="115">
        <v>0</v>
      </c>
      <c r="P22" s="116">
        <v>0</v>
      </c>
      <c r="Q22" s="116">
        <v>0</v>
      </c>
      <c r="R22" s="116">
        <v>0</v>
      </c>
      <c r="S22" s="115">
        <v>-2132</v>
      </c>
      <c r="T22" s="116">
        <v>0</v>
      </c>
      <c r="U22" s="116">
        <v>0</v>
      </c>
      <c r="V22" s="116">
        <v>0</v>
      </c>
      <c r="W22" s="115">
        <v>-180</v>
      </c>
      <c r="X22" s="116">
        <v>0</v>
      </c>
      <c r="Y22" s="116">
        <v>0</v>
      </c>
      <c r="Z22" s="116">
        <v>0</v>
      </c>
      <c r="AA22" s="116">
        <v>0</v>
      </c>
      <c r="AC22" s="116">
        <v>0</v>
      </c>
      <c r="AD22" s="116">
        <v>0</v>
      </c>
      <c r="AE22" s="116">
        <v>0</v>
      </c>
      <c r="AF22" s="116">
        <v>0</v>
      </c>
      <c r="AH22" s="116">
        <v>0</v>
      </c>
      <c r="AI22" s="116">
        <v>0</v>
      </c>
    </row>
    <row r="23" spans="2:35" s="56" customFormat="1" x14ac:dyDescent="0.35">
      <c r="B23" s="333" t="s">
        <v>599</v>
      </c>
      <c r="C23" s="115">
        <v>0</v>
      </c>
      <c r="D23" s="116">
        <v>0</v>
      </c>
      <c r="E23" s="116">
        <v>0</v>
      </c>
      <c r="F23" s="116">
        <v>0</v>
      </c>
      <c r="G23" s="115">
        <v>0</v>
      </c>
      <c r="H23" s="116">
        <v>0</v>
      </c>
      <c r="I23" s="116">
        <v>0</v>
      </c>
      <c r="J23" s="116">
        <v>0</v>
      </c>
      <c r="K23" s="116">
        <v>0</v>
      </c>
      <c r="L23" s="116">
        <v>0</v>
      </c>
      <c r="M23" s="453">
        <v>0</v>
      </c>
      <c r="N23" s="116">
        <v>0</v>
      </c>
      <c r="O23" s="115">
        <v>0</v>
      </c>
      <c r="P23" s="116">
        <v>0</v>
      </c>
      <c r="Q23" s="116">
        <v>0</v>
      </c>
      <c r="R23" s="116">
        <v>0</v>
      </c>
      <c r="S23" s="115">
        <v>0</v>
      </c>
      <c r="T23" s="116">
        <v>0</v>
      </c>
      <c r="U23" s="116">
        <v>0</v>
      </c>
      <c r="V23" s="116">
        <v>0</v>
      </c>
      <c r="W23" s="115">
        <v>0</v>
      </c>
      <c r="X23" s="116">
        <v>0</v>
      </c>
      <c r="Y23" s="116">
        <v>0</v>
      </c>
      <c r="Z23" s="116">
        <v>136</v>
      </c>
      <c r="AA23" s="116">
        <v>0</v>
      </c>
      <c r="AC23" s="116">
        <v>0</v>
      </c>
      <c r="AD23" s="116">
        <v>0</v>
      </c>
      <c r="AE23" s="116">
        <v>0</v>
      </c>
      <c r="AF23" s="116">
        <v>0</v>
      </c>
      <c r="AH23" s="116">
        <v>0</v>
      </c>
      <c r="AI23" s="116">
        <v>0</v>
      </c>
    </row>
    <row r="24" spans="2:35" s="56" customFormat="1" x14ac:dyDescent="0.35">
      <c r="B24" s="333" t="s">
        <v>419</v>
      </c>
      <c r="C24" s="115">
        <v>0</v>
      </c>
      <c r="D24" s="116">
        <v>0</v>
      </c>
      <c r="E24" s="116">
        <v>0</v>
      </c>
      <c r="F24" s="116">
        <v>77</v>
      </c>
      <c r="G24" s="115">
        <v>0</v>
      </c>
      <c r="H24" s="116">
        <v>2</v>
      </c>
      <c r="I24" s="116">
        <v>0</v>
      </c>
      <c r="J24" s="116">
        <v>187</v>
      </c>
      <c r="K24" s="115">
        <v>4</v>
      </c>
      <c r="L24" s="116">
        <v>0</v>
      </c>
      <c r="M24" s="453">
        <v>0</v>
      </c>
      <c r="N24" s="116">
        <v>0</v>
      </c>
      <c r="O24" s="115">
        <v>173</v>
      </c>
      <c r="P24" s="116">
        <v>0</v>
      </c>
      <c r="Q24" s="116">
        <v>0</v>
      </c>
      <c r="R24" s="116">
        <v>0</v>
      </c>
      <c r="S24" s="115">
        <v>0</v>
      </c>
      <c r="T24" s="116">
        <v>0</v>
      </c>
      <c r="U24" s="116">
        <v>0</v>
      </c>
      <c r="V24" s="116">
        <v>0</v>
      </c>
      <c r="W24" s="115">
        <v>0</v>
      </c>
      <c r="X24" s="116">
        <v>0</v>
      </c>
      <c r="Y24" s="116">
        <v>0</v>
      </c>
      <c r="Z24" s="116">
        <v>0</v>
      </c>
      <c r="AA24" s="116">
        <v>0</v>
      </c>
      <c r="AC24" s="116">
        <v>0</v>
      </c>
      <c r="AD24" s="116">
        <v>0</v>
      </c>
      <c r="AE24" s="116">
        <v>0</v>
      </c>
      <c r="AF24" s="116">
        <v>0</v>
      </c>
      <c r="AH24" s="116">
        <v>0</v>
      </c>
      <c r="AI24" s="116">
        <v>0</v>
      </c>
    </row>
    <row r="25" spans="2:35" s="56" customFormat="1" ht="18" customHeight="1" x14ac:dyDescent="0.35">
      <c r="B25" s="333" t="s">
        <v>395</v>
      </c>
      <c r="C25" s="115">
        <v>0</v>
      </c>
      <c r="D25" s="116">
        <v>0</v>
      </c>
      <c r="E25" s="116">
        <v>0</v>
      </c>
      <c r="F25" s="115">
        <v>0</v>
      </c>
      <c r="G25" s="115">
        <v>0</v>
      </c>
      <c r="H25" s="116">
        <v>0</v>
      </c>
      <c r="I25" s="116">
        <v>0</v>
      </c>
      <c r="J25" s="116">
        <v>0</v>
      </c>
      <c r="K25" s="116">
        <v>0</v>
      </c>
      <c r="L25" s="116">
        <v>0</v>
      </c>
      <c r="M25" s="453">
        <v>0</v>
      </c>
      <c r="N25" s="116">
        <v>0</v>
      </c>
      <c r="O25" s="115">
        <v>55</v>
      </c>
      <c r="P25" s="116">
        <v>9</v>
      </c>
      <c r="Q25" s="116">
        <v>12</v>
      </c>
      <c r="R25" s="116">
        <v>12</v>
      </c>
      <c r="S25" s="115">
        <v>30</v>
      </c>
      <c r="T25" s="116">
        <v>0</v>
      </c>
      <c r="U25" s="116">
        <v>0</v>
      </c>
      <c r="V25" s="116">
        <v>-8</v>
      </c>
      <c r="W25" s="115">
        <v>0</v>
      </c>
      <c r="X25" s="116">
        <v>0</v>
      </c>
      <c r="Y25" s="116">
        <v>0</v>
      </c>
      <c r="Z25" s="116">
        <v>0</v>
      </c>
      <c r="AA25" s="116">
        <v>0</v>
      </c>
      <c r="AC25" s="116">
        <v>0</v>
      </c>
      <c r="AD25" s="116">
        <v>0</v>
      </c>
      <c r="AE25" s="116">
        <v>0</v>
      </c>
      <c r="AF25" s="116">
        <v>0</v>
      </c>
      <c r="AH25" s="116">
        <v>0</v>
      </c>
      <c r="AI25" s="116">
        <v>0</v>
      </c>
    </row>
    <row r="26" spans="2:35" s="56" customFormat="1" ht="18" customHeight="1" x14ac:dyDescent="0.35">
      <c r="B26" s="333" t="s">
        <v>387</v>
      </c>
      <c r="C26" s="115">
        <v>0</v>
      </c>
      <c r="D26" s="116">
        <v>0</v>
      </c>
      <c r="E26" s="116">
        <v>0</v>
      </c>
      <c r="F26" s="115">
        <v>0</v>
      </c>
      <c r="G26" s="115">
        <v>0</v>
      </c>
      <c r="H26" s="116">
        <v>0</v>
      </c>
      <c r="I26" s="116">
        <v>0</v>
      </c>
      <c r="J26" s="116">
        <v>0</v>
      </c>
      <c r="K26" s="116">
        <v>0</v>
      </c>
      <c r="L26" s="116">
        <v>0</v>
      </c>
      <c r="M26" s="453">
        <v>0</v>
      </c>
      <c r="N26" s="116">
        <v>0</v>
      </c>
      <c r="O26" s="115">
        <v>11</v>
      </c>
      <c r="P26" s="116">
        <v>0</v>
      </c>
      <c r="Q26" s="116">
        <v>0</v>
      </c>
      <c r="R26" s="116">
        <v>0</v>
      </c>
      <c r="S26" s="115">
        <v>0</v>
      </c>
      <c r="T26" s="116">
        <v>0</v>
      </c>
      <c r="U26" s="116">
        <v>0</v>
      </c>
      <c r="V26" s="116">
        <v>0</v>
      </c>
      <c r="W26" s="115">
        <v>0</v>
      </c>
      <c r="X26" s="116">
        <v>0</v>
      </c>
      <c r="Y26" s="116">
        <v>0</v>
      </c>
      <c r="Z26" s="116">
        <v>0</v>
      </c>
      <c r="AA26" s="116">
        <v>0</v>
      </c>
      <c r="AC26" s="116">
        <v>0</v>
      </c>
      <c r="AD26" s="116">
        <v>0</v>
      </c>
      <c r="AE26" s="116">
        <v>0</v>
      </c>
      <c r="AF26" s="116">
        <v>0</v>
      </c>
      <c r="AH26" s="116">
        <v>0</v>
      </c>
      <c r="AI26" s="116">
        <v>0</v>
      </c>
    </row>
    <row r="27" spans="2:35" s="56" customFormat="1" x14ac:dyDescent="0.35">
      <c r="B27" s="333" t="s">
        <v>420</v>
      </c>
      <c r="C27" s="115">
        <v>6</v>
      </c>
      <c r="D27" s="116">
        <v>0</v>
      </c>
      <c r="E27" s="116">
        <v>3</v>
      </c>
      <c r="F27" s="115">
        <v>0</v>
      </c>
      <c r="G27" s="115">
        <v>0</v>
      </c>
      <c r="H27" s="116">
        <v>0</v>
      </c>
      <c r="I27" s="116">
        <v>0</v>
      </c>
      <c r="J27" s="116">
        <v>0</v>
      </c>
      <c r="K27" s="116">
        <v>0</v>
      </c>
      <c r="L27" s="116">
        <v>0</v>
      </c>
      <c r="M27" s="453">
        <v>0</v>
      </c>
      <c r="N27" s="116">
        <v>0</v>
      </c>
      <c r="O27" s="115">
        <v>4</v>
      </c>
      <c r="P27" s="116">
        <v>11</v>
      </c>
      <c r="Q27" s="116">
        <v>0</v>
      </c>
      <c r="R27" s="116">
        <v>0</v>
      </c>
      <c r="S27" s="115">
        <v>9</v>
      </c>
      <c r="T27" s="116">
        <v>41</v>
      </c>
      <c r="U27" s="116">
        <v>21</v>
      </c>
      <c r="V27" s="116">
        <v>223</v>
      </c>
      <c r="W27" s="115">
        <v>3</v>
      </c>
      <c r="X27" s="116">
        <v>10</v>
      </c>
      <c r="Y27" s="116">
        <v>0</v>
      </c>
      <c r="Z27" s="116">
        <v>0</v>
      </c>
      <c r="AA27" s="116">
        <v>3</v>
      </c>
      <c r="AC27" s="116">
        <v>0</v>
      </c>
      <c r="AD27" s="116">
        <v>0</v>
      </c>
      <c r="AE27" s="116">
        <v>0</v>
      </c>
      <c r="AF27" s="116">
        <v>7</v>
      </c>
      <c r="AH27" s="116">
        <v>3</v>
      </c>
      <c r="AI27" s="376">
        <v>1</v>
      </c>
    </row>
    <row r="28" spans="2:35" s="56" customFormat="1" x14ac:dyDescent="0.35">
      <c r="B28" s="333" t="s">
        <v>396</v>
      </c>
      <c r="C28" s="115">
        <v>0</v>
      </c>
      <c r="D28" s="116">
        <v>0</v>
      </c>
      <c r="E28" s="116">
        <v>0</v>
      </c>
      <c r="F28" s="115">
        <v>0</v>
      </c>
      <c r="G28" s="115">
        <v>0</v>
      </c>
      <c r="H28" s="116">
        <v>0</v>
      </c>
      <c r="I28" s="116">
        <v>0</v>
      </c>
      <c r="J28" s="116">
        <v>0</v>
      </c>
      <c r="K28" s="116">
        <v>0</v>
      </c>
      <c r="L28" s="116">
        <v>64</v>
      </c>
      <c r="M28" s="453">
        <v>-59</v>
      </c>
      <c r="N28" s="116">
        <v>26</v>
      </c>
      <c r="O28" s="115">
        <v>36</v>
      </c>
      <c r="P28" s="116">
        <v>-292</v>
      </c>
      <c r="Q28" s="116">
        <v>308</v>
      </c>
      <c r="R28" s="116">
        <v>-75</v>
      </c>
      <c r="S28" s="115">
        <v>109</v>
      </c>
      <c r="T28" s="116">
        <v>-61</v>
      </c>
      <c r="U28" s="116">
        <v>-5</v>
      </c>
      <c r="V28" s="116">
        <v>33</v>
      </c>
      <c r="W28" s="115">
        <v>-23</v>
      </c>
      <c r="X28" s="116">
        <v>258</v>
      </c>
      <c r="Y28" s="116">
        <v>-352</v>
      </c>
      <c r="Z28" s="116">
        <v>104</v>
      </c>
      <c r="AA28" s="116">
        <v>79</v>
      </c>
      <c r="AC28" s="116">
        <v>-92</v>
      </c>
      <c r="AD28" s="116">
        <v>0</v>
      </c>
      <c r="AE28" s="116">
        <v>16</v>
      </c>
      <c r="AF28" s="116">
        <v>-42</v>
      </c>
      <c r="AH28" s="116">
        <v>17</v>
      </c>
      <c r="AI28" s="376">
        <v>18</v>
      </c>
    </row>
    <row r="29" spans="2:35" s="56" customFormat="1" x14ac:dyDescent="0.35">
      <c r="B29" s="333" t="s">
        <v>179</v>
      </c>
      <c r="C29" s="115">
        <v>0</v>
      </c>
      <c r="D29" s="116">
        <v>0</v>
      </c>
      <c r="E29" s="116">
        <v>0</v>
      </c>
      <c r="F29" s="115">
        <v>0</v>
      </c>
      <c r="G29" s="115">
        <v>0</v>
      </c>
      <c r="H29" s="116">
        <v>0</v>
      </c>
      <c r="I29" s="116">
        <v>0</v>
      </c>
      <c r="J29" s="116">
        <v>0</v>
      </c>
      <c r="K29" s="116">
        <v>0</v>
      </c>
      <c r="L29" s="115">
        <v>0</v>
      </c>
      <c r="M29" s="453">
        <v>0</v>
      </c>
      <c r="N29" s="115">
        <v>0</v>
      </c>
      <c r="O29" s="115">
        <v>0</v>
      </c>
      <c r="P29" s="115">
        <v>0</v>
      </c>
      <c r="Q29" s="115">
        <v>0</v>
      </c>
      <c r="R29" s="116">
        <v>-117</v>
      </c>
      <c r="S29" s="115">
        <v>0</v>
      </c>
      <c r="T29" s="116">
        <v>0</v>
      </c>
      <c r="U29" s="116">
        <v>0</v>
      </c>
      <c r="V29" s="116">
        <v>0</v>
      </c>
      <c r="W29" s="115">
        <v>0</v>
      </c>
      <c r="X29" s="116">
        <v>0</v>
      </c>
      <c r="Y29" s="116">
        <v>0</v>
      </c>
      <c r="Z29" s="116">
        <v>0</v>
      </c>
      <c r="AA29" s="116">
        <v>0</v>
      </c>
      <c r="AC29" s="116">
        <v>0</v>
      </c>
      <c r="AD29" s="116">
        <v>0</v>
      </c>
      <c r="AE29" s="116">
        <v>0</v>
      </c>
      <c r="AF29" s="116">
        <v>0</v>
      </c>
      <c r="AH29" s="116">
        <v>0</v>
      </c>
      <c r="AI29" s="116">
        <v>0</v>
      </c>
    </row>
    <row r="30" spans="2:35" s="56" customFormat="1" x14ac:dyDescent="0.35">
      <c r="B30" s="333" t="s">
        <v>398</v>
      </c>
      <c r="C30" s="115">
        <v>0</v>
      </c>
      <c r="D30" s="116">
        <v>0</v>
      </c>
      <c r="E30" s="116">
        <v>0</v>
      </c>
      <c r="F30" s="115">
        <v>0</v>
      </c>
      <c r="G30" s="115">
        <v>0</v>
      </c>
      <c r="H30" s="116">
        <v>0</v>
      </c>
      <c r="I30" s="116">
        <v>0</v>
      </c>
      <c r="J30" s="116">
        <v>0</v>
      </c>
      <c r="K30" s="116">
        <v>0</v>
      </c>
      <c r="L30" s="115">
        <v>0</v>
      </c>
      <c r="M30" s="453">
        <v>0</v>
      </c>
      <c r="N30" s="115">
        <v>0</v>
      </c>
      <c r="O30" s="115">
        <v>0</v>
      </c>
      <c r="P30" s="115">
        <v>0</v>
      </c>
      <c r="Q30" s="115">
        <v>0</v>
      </c>
      <c r="R30" s="116">
        <v>152</v>
      </c>
      <c r="S30" s="115">
        <v>0</v>
      </c>
      <c r="T30" s="116">
        <v>0</v>
      </c>
      <c r="U30" s="116">
        <v>0</v>
      </c>
      <c r="V30" s="116">
        <v>0</v>
      </c>
      <c r="W30" s="115">
        <v>0</v>
      </c>
      <c r="X30" s="116">
        <v>0</v>
      </c>
      <c r="Y30" s="116">
        <v>0</v>
      </c>
      <c r="Z30" s="116">
        <v>0</v>
      </c>
      <c r="AA30" s="116">
        <v>0</v>
      </c>
      <c r="AC30" s="116">
        <v>0</v>
      </c>
      <c r="AD30" s="116">
        <v>0</v>
      </c>
      <c r="AE30" s="116">
        <v>0</v>
      </c>
      <c r="AF30" s="116">
        <v>0</v>
      </c>
      <c r="AH30" s="116">
        <v>0</v>
      </c>
      <c r="AI30" s="116">
        <v>0</v>
      </c>
    </row>
    <row r="31" spans="2:35" s="56" customFormat="1" x14ac:dyDescent="0.35">
      <c r="B31" s="333" t="s">
        <v>397</v>
      </c>
      <c r="C31" s="115">
        <v>0</v>
      </c>
      <c r="D31" s="116">
        <v>0</v>
      </c>
      <c r="E31" s="116">
        <v>0</v>
      </c>
      <c r="F31" s="115">
        <v>0</v>
      </c>
      <c r="G31" s="115">
        <v>0</v>
      </c>
      <c r="H31" s="116">
        <v>0</v>
      </c>
      <c r="I31" s="116">
        <v>0</v>
      </c>
      <c r="J31" s="116">
        <v>0</v>
      </c>
      <c r="K31" s="116">
        <v>0</v>
      </c>
      <c r="L31" s="115">
        <v>0</v>
      </c>
      <c r="M31" s="453">
        <v>0</v>
      </c>
      <c r="N31" s="115">
        <v>0</v>
      </c>
      <c r="O31" s="115">
        <v>0</v>
      </c>
      <c r="P31" s="115">
        <v>0</v>
      </c>
      <c r="Q31" s="115">
        <v>0</v>
      </c>
      <c r="R31" s="116">
        <v>0</v>
      </c>
      <c r="S31" s="115">
        <v>0</v>
      </c>
      <c r="T31" s="116">
        <v>-44</v>
      </c>
      <c r="U31" s="116">
        <v>-2</v>
      </c>
      <c r="V31" s="116">
        <v>0</v>
      </c>
      <c r="W31" s="115">
        <v>0</v>
      </c>
      <c r="X31" s="116">
        <v>0</v>
      </c>
      <c r="Y31" s="116">
        <v>0</v>
      </c>
      <c r="Z31" s="116">
        <v>0</v>
      </c>
      <c r="AA31" s="116">
        <v>0</v>
      </c>
      <c r="AC31" s="116">
        <v>0</v>
      </c>
      <c r="AD31" s="116">
        <v>0</v>
      </c>
      <c r="AE31" s="116">
        <v>0</v>
      </c>
      <c r="AF31" s="116">
        <v>0</v>
      </c>
      <c r="AH31" s="116">
        <v>0</v>
      </c>
      <c r="AI31" s="116">
        <v>0</v>
      </c>
    </row>
    <row r="32" spans="2:35" s="56" customFormat="1" x14ac:dyDescent="0.35">
      <c r="B32" s="333" t="s">
        <v>421</v>
      </c>
      <c r="C32" s="115">
        <v>0</v>
      </c>
      <c r="D32" s="116">
        <v>0</v>
      </c>
      <c r="E32" s="116">
        <v>0</v>
      </c>
      <c r="F32" s="115">
        <v>0</v>
      </c>
      <c r="G32" s="115">
        <v>0</v>
      </c>
      <c r="H32" s="116">
        <v>0</v>
      </c>
      <c r="I32" s="116">
        <v>0</v>
      </c>
      <c r="J32" s="116">
        <v>0</v>
      </c>
      <c r="K32" s="116">
        <v>0</v>
      </c>
      <c r="L32" s="115">
        <v>0</v>
      </c>
      <c r="M32" s="453">
        <v>0</v>
      </c>
      <c r="N32" s="115">
        <v>0</v>
      </c>
      <c r="O32" s="115">
        <v>0</v>
      </c>
      <c r="P32" s="115">
        <v>0</v>
      </c>
      <c r="Q32" s="115">
        <v>0</v>
      </c>
      <c r="R32" s="116">
        <v>0</v>
      </c>
      <c r="S32" s="115">
        <v>0</v>
      </c>
      <c r="T32" s="116">
        <v>0</v>
      </c>
      <c r="U32" s="116">
        <v>0</v>
      </c>
      <c r="V32" s="116">
        <v>54</v>
      </c>
      <c r="W32" s="115">
        <v>0</v>
      </c>
      <c r="X32" s="116">
        <v>0</v>
      </c>
      <c r="Y32" s="116">
        <v>0</v>
      </c>
      <c r="Z32" s="116">
        <v>0</v>
      </c>
      <c r="AA32" s="116">
        <v>0</v>
      </c>
      <c r="AC32" s="116">
        <v>0</v>
      </c>
      <c r="AD32" s="116">
        <v>0</v>
      </c>
      <c r="AE32" s="116">
        <v>0</v>
      </c>
      <c r="AF32" s="116">
        <v>0</v>
      </c>
      <c r="AH32" s="116">
        <v>0</v>
      </c>
      <c r="AI32" s="116">
        <v>0</v>
      </c>
    </row>
    <row r="33" spans="2:35" s="56" customFormat="1" x14ac:dyDescent="0.35">
      <c r="B33" s="333" t="s">
        <v>606</v>
      </c>
      <c r="C33" s="115">
        <v>0</v>
      </c>
      <c r="D33" s="116">
        <v>0</v>
      </c>
      <c r="E33" s="116">
        <v>0</v>
      </c>
      <c r="F33" s="115">
        <v>0</v>
      </c>
      <c r="G33" s="115">
        <v>0</v>
      </c>
      <c r="H33" s="116">
        <v>0</v>
      </c>
      <c r="I33" s="116">
        <v>0</v>
      </c>
      <c r="J33" s="116">
        <v>0</v>
      </c>
      <c r="K33" s="116">
        <v>0</v>
      </c>
      <c r="L33" s="115">
        <v>0</v>
      </c>
      <c r="M33" s="453">
        <v>0</v>
      </c>
      <c r="N33" s="115">
        <v>0</v>
      </c>
      <c r="O33" s="115">
        <v>0</v>
      </c>
      <c r="P33" s="115">
        <v>0</v>
      </c>
      <c r="Q33" s="115">
        <v>0</v>
      </c>
      <c r="R33" s="116">
        <v>0</v>
      </c>
      <c r="S33" s="115">
        <v>0</v>
      </c>
      <c r="T33" s="116">
        <v>0</v>
      </c>
      <c r="U33" s="116">
        <v>0</v>
      </c>
      <c r="V33" s="115">
        <v>0</v>
      </c>
      <c r="W33" s="115">
        <v>0</v>
      </c>
      <c r="X33" s="116">
        <v>0</v>
      </c>
      <c r="Y33" s="116">
        <v>0</v>
      </c>
      <c r="Z33" s="116">
        <v>0</v>
      </c>
      <c r="AA33" s="116">
        <v>0</v>
      </c>
      <c r="AC33" s="116">
        <v>0</v>
      </c>
      <c r="AD33" s="116">
        <v>0</v>
      </c>
      <c r="AE33" s="116">
        <v>-564</v>
      </c>
      <c r="AF33" s="116">
        <v>0</v>
      </c>
      <c r="AH33" s="116">
        <v>0</v>
      </c>
      <c r="AI33" s="116">
        <v>0</v>
      </c>
    </row>
    <row r="34" spans="2:35" s="56" customFormat="1" x14ac:dyDescent="0.35">
      <c r="B34" s="337" t="s">
        <v>589</v>
      </c>
      <c r="C34" s="115">
        <v>0</v>
      </c>
      <c r="D34" s="116">
        <v>0</v>
      </c>
      <c r="E34" s="116">
        <v>0</v>
      </c>
      <c r="F34" s="115">
        <v>0</v>
      </c>
      <c r="G34" s="115">
        <v>0</v>
      </c>
      <c r="H34" s="116">
        <v>0</v>
      </c>
      <c r="I34" s="116">
        <v>0</v>
      </c>
      <c r="J34" s="116">
        <v>0</v>
      </c>
      <c r="K34" s="116">
        <v>0</v>
      </c>
      <c r="L34" s="115">
        <v>0</v>
      </c>
      <c r="M34" s="453">
        <v>0</v>
      </c>
      <c r="N34" s="115">
        <v>0</v>
      </c>
      <c r="O34" s="115">
        <v>0</v>
      </c>
      <c r="P34" s="115">
        <v>0</v>
      </c>
      <c r="Q34" s="115">
        <v>0</v>
      </c>
      <c r="R34" s="116">
        <v>0</v>
      </c>
      <c r="S34" s="115">
        <v>0</v>
      </c>
      <c r="T34" s="116">
        <v>0</v>
      </c>
      <c r="U34" s="116">
        <v>0</v>
      </c>
      <c r="V34" s="115">
        <v>0</v>
      </c>
      <c r="W34" s="115">
        <v>0</v>
      </c>
      <c r="X34" s="116">
        <v>0</v>
      </c>
      <c r="Y34" s="116">
        <v>0</v>
      </c>
      <c r="Z34" s="116">
        <v>0</v>
      </c>
      <c r="AA34" s="116">
        <v>0</v>
      </c>
      <c r="AC34" s="116">
        <v>0</v>
      </c>
      <c r="AD34" s="116">
        <v>0</v>
      </c>
      <c r="AE34" s="116">
        <v>360</v>
      </c>
      <c r="AF34" s="116">
        <v>0</v>
      </c>
      <c r="AH34" s="116">
        <v>0</v>
      </c>
      <c r="AI34" s="116">
        <v>0</v>
      </c>
    </row>
    <row r="35" spans="2:35" s="56" customFormat="1" x14ac:dyDescent="0.35">
      <c r="B35" s="333" t="s">
        <v>621</v>
      </c>
      <c r="C35" s="115">
        <v>0</v>
      </c>
      <c r="D35" s="116">
        <v>0</v>
      </c>
      <c r="E35" s="116">
        <v>0</v>
      </c>
      <c r="F35" s="115">
        <v>0</v>
      </c>
      <c r="G35" s="115">
        <v>0</v>
      </c>
      <c r="H35" s="116">
        <v>0</v>
      </c>
      <c r="I35" s="116">
        <v>0</v>
      </c>
      <c r="J35" s="116">
        <v>0</v>
      </c>
      <c r="K35" s="116">
        <v>0</v>
      </c>
      <c r="L35" s="115">
        <v>0</v>
      </c>
      <c r="M35" s="453">
        <v>0</v>
      </c>
      <c r="N35" s="115">
        <v>0</v>
      </c>
      <c r="O35" s="115">
        <v>0</v>
      </c>
      <c r="P35" s="115">
        <v>0</v>
      </c>
      <c r="Q35" s="115">
        <v>0</v>
      </c>
      <c r="R35" s="116">
        <v>0</v>
      </c>
      <c r="S35" s="115">
        <v>0</v>
      </c>
      <c r="T35" s="116">
        <v>0</v>
      </c>
      <c r="U35" s="116">
        <v>0</v>
      </c>
      <c r="V35" s="115">
        <v>0</v>
      </c>
      <c r="W35" s="115">
        <v>0</v>
      </c>
      <c r="X35" s="116">
        <v>0</v>
      </c>
      <c r="Y35" s="116">
        <v>0</v>
      </c>
      <c r="Z35" s="116">
        <v>0</v>
      </c>
      <c r="AA35" s="116">
        <v>0</v>
      </c>
      <c r="AC35" s="116">
        <v>0</v>
      </c>
      <c r="AD35" s="116">
        <v>0</v>
      </c>
      <c r="AE35" s="116">
        <v>0</v>
      </c>
      <c r="AF35" s="116">
        <v>-12</v>
      </c>
      <c r="AH35" s="116">
        <v>0</v>
      </c>
      <c r="AI35" s="116">
        <v>0</v>
      </c>
    </row>
    <row r="36" spans="2:35" s="56" customFormat="1" x14ac:dyDescent="0.35">
      <c r="B36" s="333" t="s">
        <v>422</v>
      </c>
      <c r="C36" s="115">
        <v>84</v>
      </c>
      <c r="D36" s="116">
        <v>15</v>
      </c>
      <c r="E36" s="116">
        <v>14</v>
      </c>
      <c r="F36" s="116">
        <v>11</v>
      </c>
      <c r="G36" s="115">
        <v>8</v>
      </c>
      <c r="H36" s="116">
        <v>7</v>
      </c>
      <c r="I36" s="116">
        <v>8</v>
      </c>
      <c r="J36" s="116">
        <v>5</v>
      </c>
      <c r="K36" s="115">
        <v>39</v>
      </c>
      <c r="L36" s="116">
        <v>10</v>
      </c>
      <c r="M36" s="453">
        <v>9</v>
      </c>
      <c r="N36" s="116">
        <v>29</v>
      </c>
      <c r="O36" s="115">
        <v>12</v>
      </c>
      <c r="P36" s="116">
        <v>9</v>
      </c>
      <c r="Q36" s="116">
        <v>16</v>
      </c>
      <c r="R36" s="116">
        <v>42</v>
      </c>
      <c r="S36" s="115">
        <v>19</v>
      </c>
      <c r="T36" s="116">
        <v>6</v>
      </c>
      <c r="U36" s="116">
        <v>4</v>
      </c>
      <c r="V36" s="116">
        <v>6</v>
      </c>
      <c r="W36" s="115">
        <v>19</v>
      </c>
      <c r="X36" s="116">
        <v>11</v>
      </c>
      <c r="Y36" s="116">
        <v>9</v>
      </c>
      <c r="Z36" s="116">
        <v>7</v>
      </c>
      <c r="AA36" s="116">
        <v>9</v>
      </c>
      <c r="AC36" s="116">
        <v>10</v>
      </c>
      <c r="AD36" s="116">
        <v>10</v>
      </c>
      <c r="AE36" s="116">
        <v>10</v>
      </c>
      <c r="AF36" s="116">
        <v>12</v>
      </c>
      <c r="AH36" s="116">
        <v>8</v>
      </c>
      <c r="AI36" s="376">
        <v>16</v>
      </c>
    </row>
    <row r="37" spans="2:35" s="129" customFormat="1" ht="18" x14ac:dyDescent="0.4">
      <c r="B37" s="333" t="str">
        <f>'6. Reconciliation'!B46</f>
        <v>Result of the incorporation process of Vem Conveniência - JV with Lojas Americanas</v>
      </c>
      <c r="C37" s="115">
        <v>0</v>
      </c>
      <c r="D37" s="116">
        <v>0</v>
      </c>
      <c r="E37" s="116">
        <v>0</v>
      </c>
      <c r="F37" s="115">
        <v>0</v>
      </c>
      <c r="G37" s="115">
        <v>0</v>
      </c>
      <c r="H37" s="116">
        <v>0</v>
      </c>
      <c r="I37" s="116">
        <v>0</v>
      </c>
      <c r="J37" s="116">
        <v>0</v>
      </c>
      <c r="K37" s="116">
        <v>0</v>
      </c>
      <c r="L37" s="115">
        <v>0</v>
      </c>
      <c r="M37" s="453">
        <v>0</v>
      </c>
      <c r="N37" s="115">
        <v>0</v>
      </c>
      <c r="O37" s="115">
        <v>0</v>
      </c>
      <c r="P37" s="115">
        <v>0</v>
      </c>
      <c r="Q37" s="115">
        <v>0</v>
      </c>
      <c r="R37" s="116">
        <v>0</v>
      </c>
      <c r="S37" s="115">
        <v>0</v>
      </c>
      <c r="T37" s="116">
        <v>0</v>
      </c>
      <c r="U37" s="116">
        <v>0</v>
      </c>
      <c r="V37" s="116">
        <v>0</v>
      </c>
      <c r="W37" s="115">
        <v>0</v>
      </c>
      <c r="X37" s="116">
        <v>-447</v>
      </c>
      <c r="Y37" s="116">
        <v>0</v>
      </c>
      <c r="Z37" s="116">
        <v>0</v>
      </c>
      <c r="AA37" s="116">
        <v>0</v>
      </c>
      <c r="AB37" s="56"/>
      <c r="AC37" s="116">
        <v>0</v>
      </c>
      <c r="AD37" s="116">
        <v>0</v>
      </c>
      <c r="AE37" s="116">
        <v>0</v>
      </c>
      <c r="AF37" s="116">
        <v>0</v>
      </c>
      <c r="AH37" s="116">
        <v>0</v>
      </c>
      <c r="AI37" s="116">
        <v>0</v>
      </c>
    </row>
    <row r="38" spans="2:35" s="56" customFormat="1" ht="19" customHeight="1" x14ac:dyDescent="0.35">
      <c r="B38" s="333" t="str">
        <f>'6. Reconciliation'!B47</f>
        <v>Result of the contribution of Vibra Comercializadora de Energia to Comerc Participações S.A.</v>
      </c>
      <c r="C38" s="115">
        <v>0</v>
      </c>
      <c r="D38" s="116">
        <v>0</v>
      </c>
      <c r="E38" s="116">
        <v>0</v>
      </c>
      <c r="F38" s="115">
        <v>0</v>
      </c>
      <c r="G38" s="115">
        <v>0</v>
      </c>
      <c r="H38" s="116">
        <v>0</v>
      </c>
      <c r="I38" s="116">
        <v>0</v>
      </c>
      <c r="J38" s="116">
        <v>0</v>
      </c>
      <c r="K38" s="116">
        <v>0</v>
      </c>
      <c r="L38" s="115">
        <v>0</v>
      </c>
      <c r="M38" s="453">
        <v>0</v>
      </c>
      <c r="N38" s="115">
        <v>0</v>
      </c>
      <c r="O38" s="115">
        <v>0</v>
      </c>
      <c r="P38" s="115">
        <v>0</v>
      </c>
      <c r="Q38" s="115">
        <v>0</v>
      </c>
      <c r="R38" s="116">
        <v>0</v>
      </c>
      <c r="S38" s="115">
        <v>0</v>
      </c>
      <c r="T38" s="116">
        <v>0</v>
      </c>
      <c r="U38" s="116">
        <v>0</v>
      </c>
      <c r="V38" s="116">
        <v>0</v>
      </c>
      <c r="W38" s="115">
        <v>0</v>
      </c>
      <c r="X38" s="116">
        <v>-69</v>
      </c>
      <c r="Y38" s="116">
        <v>11</v>
      </c>
      <c r="Z38" s="116">
        <v>0</v>
      </c>
      <c r="AA38" s="116">
        <v>0</v>
      </c>
      <c r="AC38" s="116">
        <v>0</v>
      </c>
      <c r="AD38" s="116">
        <v>0</v>
      </c>
      <c r="AE38" s="116">
        <v>0</v>
      </c>
      <c r="AF38" s="116">
        <v>0</v>
      </c>
      <c r="AH38" s="116">
        <v>0</v>
      </c>
      <c r="AI38" s="116">
        <v>0</v>
      </c>
    </row>
    <row r="39" spans="2:35" s="56" customFormat="1" x14ac:dyDescent="0.35">
      <c r="B39" s="333" t="s">
        <v>517</v>
      </c>
      <c r="C39" s="115"/>
      <c r="D39" s="116"/>
      <c r="E39" s="116"/>
      <c r="F39" s="116"/>
      <c r="G39" s="115"/>
      <c r="H39" s="116"/>
      <c r="I39" s="116"/>
      <c r="J39" s="116"/>
      <c r="K39" s="116"/>
      <c r="L39" s="116"/>
      <c r="M39" s="453"/>
      <c r="N39" s="116"/>
      <c r="O39" s="115"/>
      <c r="P39" s="116"/>
      <c r="Q39" s="116"/>
      <c r="R39" s="116"/>
      <c r="S39" s="115"/>
      <c r="T39" s="116"/>
      <c r="U39" s="116"/>
      <c r="V39" s="116"/>
      <c r="W39" s="115"/>
      <c r="X39" s="116">
        <v>-17</v>
      </c>
      <c r="Y39" s="116">
        <v>-14</v>
      </c>
      <c r="Z39" s="116">
        <v>-16</v>
      </c>
      <c r="AA39" s="116">
        <v>51</v>
      </c>
      <c r="AC39" s="116">
        <v>2</v>
      </c>
      <c r="AD39" s="116">
        <v>26</v>
      </c>
      <c r="AE39" s="116">
        <v>49</v>
      </c>
      <c r="AF39" s="116">
        <v>-41</v>
      </c>
      <c r="AH39" s="116">
        <v>71</v>
      </c>
      <c r="AI39" s="376">
        <v>-79</v>
      </c>
    </row>
    <row r="40" spans="2:35" s="56" customFormat="1" ht="6" customHeight="1" x14ac:dyDescent="0.4">
      <c r="B40" s="101"/>
      <c r="C40" s="92"/>
      <c r="D40" s="94"/>
      <c r="E40" s="94"/>
      <c r="F40" s="94"/>
      <c r="G40" s="92"/>
      <c r="H40" s="94"/>
      <c r="I40" s="94"/>
      <c r="J40" s="94"/>
      <c r="K40" s="92"/>
      <c r="L40" s="94"/>
      <c r="M40" s="454"/>
      <c r="N40" s="94"/>
      <c r="O40" s="92"/>
      <c r="P40" s="94"/>
      <c r="Q40" s="94"/>
      <c r="R40" s="94"/>
      <c r="S40" s="92"/>
      <c r="T40" s="94"/>
      <c r="U40" s="94"/>
      <c r="V40" s="94"/>
      <c r="W40" s="92"/>
      <c r="X40" s="94"/>
      <c r="Y40" s="94"/>
      <c r="Z40" s="94"/>
      <c r="AA40" s="94"/>
      <c r="AB40" s="129"/>
      <c r="AC40" s="94"/>
      <c r="AD40" s="94"/>
      <c r="AE40" s="94"/>
      <c r="AF40" s="94"/>
      <c r="AH40" s="94"/>
      <c r="AI40" s="94"/>
    </row>
    <row r="41" spans="2:35" s="129" customFormat="1" ht="18" x14ac:dyDescent="0.4">
      <c r="B41" s="193" t="s">
        <v>423</v>
      </c>
      <c r="C41" s="374">
        <f t="shared" ref="C41:V41" si="1">SUM(C16:C38)</f>
        <v>2995</v>
      </c>
      <c r="D41" s="374">
        <f t="shared" si="1"/>
        <v>647</v>
      </c>
      <c r="E41" s="374">
        <f t="shared" si="1"/>
        <v>481</v>
      </c>
      <c r="F41" s="374">
        <f t="shared" si="1"/>
        <v>1056</v>
      </c>
      <c r="G41" s="374">
        <f t="shared" si="1"/>
        <v>883</v>
      </c>
      <c r="H41" s="374">
        <f t="shared" si="1"/>
        <v>773</v>
      </c>
      <c r="I41" s="374">
        <f t="shared" si="1"/>
        <v>508</v>
      </c>
      <c r="J41" s="374">
        <f t="shared" si="1"/>
        <v>631</v>
      </c>
      <c r="K41" s="374">
        <f t="shared" si="1"/>
        <v>646</v>
      </c>
      <c r="L41" s="374">
        <f t="shared" si="1"/>
        <v>860</v>
      </c>
      <c r="M41" s="455">
        <f t="shared" si="1"/>
        <v>506</v>
      </c>
      <c r="N41" s="374">
        <f t="shared" si="1"/>
        <v>819</v>
      </c>
      <c r="O41" s="374">
        <f t="shared" si="1"/>
        <v>947</v>
      </c>
      <c r="P41" s="374">
        <f t="shared" si="1"/>
        <v>545</v>
      </c>
      <c r="Q41" s="374">
        <f t="shared" si="1"/>
        <v>816</v>
      </c>
      <c r="R41" s="374">
        <f t="shared" si="1"/>
        <v>834</v>
      </c>
      <c r="S41" s="374">
        <f t="shared" si="1"/>
        <v>1616</v>
      </c>
      <c r="T41" s="374">
        <f t="shared" si="1"/>
        <v>1182</v>
      </c>
      <c r="U41" s="374">
        <f t="shared" si="1"/>
        <v>1018</v>
      </c>
      <c r="V41" s="374">
        <f t="shared" si="1"/>
        <v>1185</v>
      </c>
      <c r="W41" s="374">
        <f>SUM(W16:W39)</f>
        <v>1598</v>
      </c>
      <c r="X41" s="374">
        <f>SUM(X16:X39)</f>
        <v>1090</v>
      </c>
      <c r="Y41" s="374">
        <f>SUM(Y16:Y39)</f>
        <v>1598</v>
      </c>
      <c r="Z41" s="374">
        <f>SUM(Z16:Z39)</f>
        <v>916</v>
      </c>
      <c r="AA41" s="374">
        <f>SUM(AA16:AA39)</f>
        <v>1507</v>
      </c>
      <c r="AB41" s="56"/>
      <c r="AC41" s="374">
        <f>SUM(AC16:AC39)</f>
        <v>688</v>
      </c>
      <c r="AD41" s="374">
        <f>SUM(AD16:AD39)</f>
        <v>910</v>
      </c>
      <c r="AE41" s="374">
        <f>SUM(AE16:AE39)</f>
        <v>2333</v>
      </c>
      <c r="AF41" s="374">
        <f>SUM(AF16:AF39)</f>
        <v>4919</v>
      </c>
      <c r="AH41" s="374">
        <f>SUM(AH16:AH39)</f>
        <v>1945</v>
      </c>
      <c r="AI41" s="374">
        <f>SUM(AI16:AI39)</f>
        <v>1550</v>
      </c>
    </row>
    <row r="42" spans="2:35" s="56" customFormat="1" x14ac:dyDescent="0.35">
      <c r="B42" s="330" t="s">
        <v>424</v>
      </c>
      <c r="C42" s="116">
        <v>45794</v>
      </c>
      <c r="D42" s="116">
        <v>10337</v>
      </c>
      <c r="E42" s="116">
        <v>10501</v>
      </c>
      <c r="F42" s="116">
        <v>11311</v>
      </c>
      <c r="G42" s="116">
        <v>11028</v>
      </c>
      <c r="H42" s="116">
        <v>10109</v>
      </c>
      <c r="I42" s="116">
        <v>10061</v>
      </c>
      <c r="J42" s="116">
        <v>10966</v>
      </c>
      <c r="K42" s="116">
        <v>10412</v>
      </c>
      <c r="L42" s="116">
        <v>9765</v>
      </c>
      <c r="M42" s="116">
        <v>9999</v>
      </c>
      <c r="N42" s="116">
        <v>10487</v>
      </c>
      <c r="O42" s="115">
        <v>9929</v>
      </c>
      <c r="P42" s="116">
        <v>9191</v>
      </c>
      <c r="Q42" s="116">
        <v>7827</v>
      </c>
      <c r="R42" s="116">
        <v>9455</v>
      </c>
      <c r="S42" s="115">
        <v>10278</v>
      </c>
      <c r="T42" s="116">
        <v>9337</v>
      </c>
      <c r="U42" s="116">
        <v>8859</v>
      </c>
      <c r="V42" s="116">
        <v>10326</v>
      </c>
      <c r="W42" s="115">
        <v>9971</v>
      </c>
      <c r="X42" s="116">
        <v>8988</v>
      </c>
      <c r="Y42" s="116">
        <v>9212</v>
      </c>
      <c r="Z42" s="116">
        <v>10303</v>
      </c>
      <c r="AA42" s="116">
        <f>'1. Volume'!Z8</f>
        <v>10049.747080808997</v>
      </c>
      <c r="AC42" s="116">
        <f>'1. Volume'!AB8</f>
        <v>9323.2000000000007</v>
      </c>
      <c r="AD42" s="116">
        <f>'1. Volume'!AC8</f>
        <v>9024.8000000000011</v>
      </c>
      <c r="AE42" s="116">
        <f>'1. Volume'!AD8</f>
        <v>9410.2999999999993</v>
      </c>
      <c r="AF42" s="116">
        <f>'[21]1. Volume'!AE8</f>
        <v>9173.3000000000011</v>
      </c>
      <c r="AH42" s="116">
        <f>'[22]1. Volume'!AG8</f>
        <v>8599.1999999999989</v>
      </c>
      <c r="AI42" s="116">
        <f>'[23]1. Volume'!AH8</f>
        <v>8819.5087737355007</v>
      </c>
    </row>
    <row r="43" spans="2:35" ht="3" customHeight="1" x14ac:dyDescent="0.4">
      <c r="B43" s="101"/>
      <c r="C43" s="92"/>
      <c r="D43" s="94"/>
      <c r="E43" s="94"/>
      <c r="F43" s="94"/>
      <c r="G43" s="92"/>
      <c r="H43" s="94"/>
      <c r="I43" s="94"/>
      <c r="J43" s="94"/>
      <c r="K43" s="92"/>
      <c r="L43" s="94"/>
      <c r="M43" s="94"/>
      <c r="N43" s="94"/>
      <c r="O43" s="92"/>
      <c r="P43" s="94"/>
      <c r="Q43" s="94"/>
      <c r="R43" s="94"/>
      <c r="S43" s="92"/>
      <c r="T43" s="94"/>
      <c r="U43" s="94"/>
      <c r="V43" s="94"/>
      <c r="W43" s="92"/>
      <c r="X43" s="94"/>
      <c r="Y43" s="94"/>
      <c r="Z43" s="94"/>
      <c r="AA43" s="94"/>
      <c r="AB43" s="129"/>
      <c r="AC43" s="94"/>
      <c r="AD43" s="94"/>
      <c r="AE43" s="94"/>
      <c r="AF43" s="94"/>
      <c r="AH43" s="94"/>
      <c r="AI43" s="94"/>
    </row>
    <row r="44" spans="2:35" x14ac:dyDescent="0.35">
      <c r="B44" s="193" t="s">
        <v>425</v>
      </c>
      <c r="C44" s="374">
        <f t="shared" ref="C44:U44" si="2">C41/C42*1000</f>
        <v>65.401580993143213</v>
      </c>
      <c r="D44" s="374">
        <f t="shared" si="2"/>
        <v>62.590693624842793</v>
      </c>
      <c r="E44" s="374">
        <f t="shared" si="2"/>
        <v>45.805161413198746</v>
      </c>
      <c r="F44" s="374">
        <f t="shared" si="2"/>
        <v>93.360445583944838</v>
      </c>
      <c r="G44" s="374">
        <f t="shared" si="2"/>
        <v>80.068915487849111</v>
      </c>
      <c r="H44" s="374">
        <f t="shared" si="2"/>
        <v>76.466514986645564</v>
      </c>
      <c r="I44" s="374">
        <f t="shared" si="2"/>
        <v>50.491998807275621</v>
      </c>
      <c r="J44" s="374">
        <f t="shared" si="2"/>
        <v>57.541491884005104</v>
      </c>
      <c r="K44" s="374">
        <f t="shared" si="2"/>
        <v>62.043795620437955</v>
      </c>
      <c r="L44" s="374">
        <f t="shared" si="2"/>
        <v>88.069636456733221</v>
      </c>
      <c r="M44" s="374">
        <f t="shared" si="2"/>
        <v>50.605060506050606</v>
      </c>
      <c r="N44" s="374">
        <f t="shared" si="2"/>
        <v>78.096691141413189</v>
      </c>
      <c r="O44" s="374">
        <f t="shared" si="2"/>
        <v>95.377177963541143</v>
      </c>
      <c r="P44" s="374">
        <f t="shared" si="2"/>
        <v>59.297138505059301</v>
      </c>
      <c r="Q44" s="374">
        <f t="shared" si="2"/>
        <v>104.25450364124185</v>
      </c>
      <c r="R44" s="374">
        <f t="shared" si="2"/>
        <v>88.207297726070863</v>
      </c>
      <c r="S44" s="374">
        <f t="shared" si="2"/>
        <v>157.22903288577544</v>
      </c>
      <c r="T44" s="374">
        <f t="shared" si="2"/>
        <v>126.59312412980614</v>
      </c>
      <c r="U44" s="374">
        <f t="shared" si="2"/>
        <v>114.91138954735297</v>
      </c>
      <c r="V44" s="374">
        <f>V41/V42*1000</f>
        <v>114.75886112725161</v>
      </c>
      <c r="W44" s="374">
        <f>W41/W42*1000</f>
        <v>160.26476782669744</v>
      </c>
      <c r="X44" s="374">
        <f t="shared" ref="X44:AF44" si="3">X41/X42*1000</f>
        <v>121.27280818869605</v>
      </c>
      <c r="Y44" s="374">
        <f t="shared" si="3"/>
        <v>173.46938775510205</v>
      </c>
      <c r="Z44" s="374">
        <f t="shared" si="3"/>
        <v>88.90614384159953</v>
      </c>
      <c r="AA44" s="374">
        <f t="shared" si="3"/>
        <v>149.95402251244394</v>
      </c>
      <c r="AB44" s="56"/>
      <c r="AC44" s="374">
        <f t="shared" si="3"/>
        <v>73.79440535438475</v>
      </c>
      <c r="AD44" s="374">
        <f t="shared" si="3"/>
        <v>100.83325946281357</v>
      </c>
      <c r="AE44" s="374">
        <f t="shared" si="3"/>
        <v>247.91983252393658</v>
      </c>
      <c r="AF44" s="374">
        <f t="shared" si="3"/>
        <v>536.23014618512411</v>
      </c>
      <c r="AH44" s="374">
        <f t="shared" ref="AH44:AI44" si="4">AH41/AH42*1000</f>
        <v>226.18383105405158</v>
      </c>
      <c r="AI44" s="374">
        <f t="shared" si="4"/>
        <v>175.74674959402506</v>
      </c>
    </row>
  </sheetData>
  <phoneticPr fontId="96"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3D95E-F272-4B30-AE5C-E6512C1F0802}">
  <sheetPr>
    <tabColor rgb="FFFFC000"/>
  </sheetPr>
  <dimension ref="A1:AH28"/>
  <sheetViews>
    <sheetView showGridLines="0" zoomScale="70" zoomScaleNormal="70" workbookViewId="0">
      <pane xSplit="2" ySplit="5" topLeftCell="S6" activePane="bottomRight" state="frozen"/>
      <selection pane="topRight"/>
      <selection pane="bottomLeft"/>
      <selection pane="bottomRight" activeCell="AK6" sqref="AK6"/>
    </sheetView>
  </sheetViews>
  <sheetFormatPr defaultColWidth="9.1796875" defaultRowHeight="15.5" outlineLevelCol="1" x14ac:dyDescent="0.35"/>
  <cols>
    <col min="1" max="1" width="1.453125" style="71" customWidth="1"/>
    <col min="2" max="2" width="63" style="56" customWidth="1"/>
    <col min="3" max="3" width="9.7265625" style="99" customWidth="1" outlineLevel="1"/>
    <col min="4" max="5" width="9.7265625" style="38" customWidth="1" outlineLevel="1"/>
    <col min="6" max="6" width="9.7265625" style="39" customWidth="1" outlineLevel="1"/>
    <col min="7" max="9" width="9.7265625" style="38" customWidth="1" outlineLevel="1"/>
    <col min="10" max="10" width="9.7265625" style="39" customWidth="1" outlineLevel="1"/>
    <col min="11" max="13" width="9.7265625" style="38" customWidth="1" outlineLevel="1"/>
    <col min="14" max="14" width="9.7265625" style="39" customWidth="1" outlineLevel="1"/>
    <col min="15" max="17" width="9.7265625" style="38" customWidth="1" outlineLevel="1"/>
    <col min="18" max="18" width="9.7265625" style="39" customWidth="1" outlineLevel="1"/>
    <col min="19" max="21" width="9.7265625" style="38" customWidth="1"/>
    <col min="22" max="22" width="9.7265625" style="39" customWidth="1"/>
    <col min="23" max="25" width="9.7265625" style="38" customWidth="1"/>
    <col min="26" max="26" width="9.1796875" style="71" customWidth="1"/>
    <col min="27" max="27" width="0.36328125" style="71" customWidth="1"/>
    <col min="28" max="31" width="9.7265625" style="38" customWidth="1"/>
    <col min="32" max="32" width="0.6328125" style="71" customWidth="1"/>
    <col min="33" max="34" width="9.7265625" style="38" customWidth="1"/>
    <col min="35" max="16384" width="9.1796875" style="71"/>
  </cols>
  <sheetData>
    <row r="1" spans="1:34" ht="41.25" customHeight="1" x14ac:dyDescent="0.35">
      <c r="A1" s="166"/>
      <c r="C1" s="72"/>
      <c r="D1" s="34"/>
      <c r="E1" s="34"/>
      <c r="F1" s="35"/>
      <c r="G1" s="34"/>
      <c r="H1" s="34"/>
      <c r="I1" s="34"/>
      <c r="J1" s="35"/>
      <c r="K1" s="34"/>
      <c r="L1" s="34"/>
      <c r="M1" s="34"/>
      <c r="N1" s="35"/>
      <c r="O1" s="34"/>
      <c r="P1" s="34"/>
      <c r="Q1" s="34"/>
      <c r="R1" s="35"/>
      <c r="S1" s="34"/>
      <c r="T1" s="34"/>
      <c r="U1" s="34"/>
      <c r="V1" s="35"/>
      <c r="W1" s="34"/>
      <c r="X1" s="34"/>
      <c r="Y1" s="34"/>
      <c r="AB1" s="34"/>
      <c r="AC1" s="34"/>
      <c r="AD1" s="34"/>
      <c r="AE1" s="34"/>
      <c r="AG1" s="34"/>
      <c r="AH1" s="34"/>
    </row>
    <row r="2" spans="1:34" ht="18" x14ac:dyDescent="0.3">
      <c r="B2" s="57" t="s">
        <v>407</v>
      </c>
      <c r="C2" s="152"/>
      <c r="D2" s="36"/>
      <c r="E2" s="36"/>
      <c r="F2" s="37"/>
      <c r="G2" s="36"/>
      <c r="H2" s="36"/>
      <c r="I2" s="36"/>
      <c r="J2" s="37"/>
      <c r="K2" s="36"/>
      <c r="L2" s="36"/>
      <c r="M2" s="36"/>
      <c r="N2" s="37"/>
      <c r="O2" s="36"/>
      <c r="P2" s="36"/>
      <c r="Q2" s="36"/>
      <c r="R2" s="37"/>
      <c r="S2" s="36"/>
      <c r="T2" s="36"/>
      <c r="U2" s="36"/>
      <c r="V2" s="37"/>
      <c r="W2" s="36"/>
      <c r="X2" s="36"/>
      <c r="Y2" s="36"/>
      <c r="Z2" s="36"/>
      <c r="AB2" s="36"/>
      <c r="AC2" s="36"/>
      <c r="AD2" s="36"/>
      <c r="AE2" s="36"/>
      <c r="AG2" s="36"/>
      <c r="AH2" s="36"/>
    </row>
    <row r="3" spans="1:34" ht="14.25" customHeight="1" x14ac:dyDescent="0.35">
      <c r="C3" s="38"/>
    </row>
    <row r="4" spans="1:34" x14ac:dyDescent="0.35">
      <c r="B4" s="167"/>
      <c r="C4" s="41" t="s">
        <v>211</v>
      </c>
      <c r="D4" s="41" t="s">
        <v>212</v>
      </c>
      <c r="E4" s="41" t="s">
        <v>213</v>
      </c>
      <c r="F4" s="42" t="s">
        <v>195</v>
      </c>
      <c r="G4" s="41" t="s">
        <v>196</v>
      </c>
      <c r="H4" s="41" t="s">
        <v>197</v>
      </c>
      <c r="I4" s="41" t="s">
        <v>198</v>
      </c>
      <c r="J4" s="42" t="s">
        <v>199</v>
      </c>
      <c r="K4" s="41" t="s">
        <v>200</v>
      </c>
      <c r="L4" s="41" t="s">
        <v>201</v>
      </c>
      <c r="M4" s="41" t="s">
        <v>202</v>
      </c>
      <c r="N4" s="42" t="s">
        <v>203</v>
      </c>
      <c r="O4" s="41" t="s">
        <v>204</v>
      </c>
      <c r="P4" s="41" t="s">
        <v>205</v>
      </c>
      <c r="Q4" s="41" t="s">
        <v>206</v>
      </c>
      <c r="R4" s="42" t="s">
        <v>207</v>
      </c>
      <c r="S4" s="41" t="s">
        <v>208</v>
      </c>
      <c r="T4" s="41" t="s">
        <v>209</v>
      </c>
      <c r="U4" s="41" t="s">
        <v>210</v>
      </c>
      <c r="V4" s="42" t="s">
        <v>428</v>
      </c>
      <c r="W4" s="41" t="s">
        <v>435</v>
      </c>
      <c r="X4" s="41" t="s">
        <v>440</v>
      </c>
      <c r="Y4" s="41" t="s">
        <v>470</v>
      </c>
      <c r="Z4" s="41" t="s">
        <v>480</v>
      </c>
      <c r="AB4" s="41" t="s">
        <v>500</v>
      </c>
      <c r="AC4" s="41" t="s">
        <v>524</v>
      </c>
      <c r="AD4" s="41" t="s">
        <v>588</v>
      </c>
      <c r="AE4" s="41" t="s">
        <v>604</v>
      </c>
      <c r="AG4" s="41" t="s">
        <v>633</v>
      </c>
      <c r="AH4" s="41" t="s">
        <v>672</v>
      </c>
    </row>
    <row r="5" spans="1:34" s="328" customFormat="1" x14ac:dyDescent="0.35">
      <c r="C5" s="367"/>
      <c r="D5" s="367"/>
      <c r="E5" s="367"/>
      <c r="F5" s="367"/>
      <c r="G5" s="367"/>
      <c r="H5" s="367"/>
      <c r="I5" s="367"/>
      <c r="J5" s="367"/>
      <c r="K5" s="367"/>
      <c r="L5" s="367"/>
      <c r="M5" s="367"/>
      <c r="N5" s="367"/>
      <c r="O5" s="367"/>
      <c r="P5" s="367"/>
      <c r="Q5" s="367"/>
      <c r="R5" s="367"/>
      <c r="S5" s="367"/>
      <c r="T5" s="367"/>
      <c r="U5" s="367"/>
      <c r="V5" s="367"/>
      <c r="W5" s="44"/>
      <c r="X5" s="367"/>
      <c r="Y5" s="367"/>
      <c r="AB5" s="44"/>
      <c r="AC5" s="44"/>
      <c r="AD5" s="44"/>
      <c r="AE5" s="44"/>
      <c r="AG5" s="44"/>
      <c r="AH5" s="44"/>
    </row>
    <row r="6" spans="1:34" ht="7.5" customHeight="1" x14ac:dyDescent="0.35">
      <c r="C6" s="34"/>
      <c r="D6" s="34"/>
      <c r="E6" s="34"/>
      <c r="F6" s="35"/>
      <c r="G6" s="34"/>
      <c r="H6" s="34"/>
      <c r="I6" s="34"/>
      <c r="J6" s="35"/>
      <c r="K6" s="34"/>
      <c r="L6" s="34"/>
      <c r="M6" s="34"/>
      <c r="N6" s="35"/>
      <c r="O6" s="34"/>
      <c r="P6" s="34"/>
      <c r="Q6" s="34"/>
      <c r="R6" s="35"/>
      <c r="S6" s="34"/>
      <c r="T6" s="34"/>
      <c r="U6" s="34"/>
      <c r="V6" s="35"/>
      <c r="W6" s="34"/>
      <c r="X6" s="34"/>
      <c r="Y6" s="34"/>
      <c r="AB6" s="34"/>
      <c r="AC6" s="34"/>
      <c r="AD6" s="34"/>
      <c r="AE6" s="34"/>
      <c r="AG6" s="34"/>
      <c r="AH6" s="34"/>
    </row>
    <row r="7" spans="1:34" s="56" customFormat="1" x14ac:dyDescent="0.35">
      <c r="B7" s="168" t="s">
        <v>162</v>
      </c>
      <c r="C7" s="377"/>
      <c r="D7" s="377"/>
      <c r="E7" s="377"/>
      <c r="F7" s="378"/>
      <c r="G7" s="377"/>
      <c r="H7" s="377"/>
      <c r="I7" s="377"/>
      <c r="J7" s="378"/>
      <c r="K7" s="377"/>
      <c r="L7" s="377"/>
      <c r="M7" s="377"/>
      <c r="N7" s="378"/>
      <c r="O7" s="377"/>
      <c r="P7" s="377"/>
      <c r="Q7" s="377"/>
      <c r="R7" s="378"/>
      <c r="S7" s="377"/>
      <c r="T7" s="377"/>
      <c r="U7" s="377"/>
      <c r="V7" s="378"/>
      <c r="W7" s="377"/>
      <c r="X7" s="377"/>
      <c r="Y7" s="377"/>
      <c r="Z7" s="377"/>
      <c r="AB7" s="377"/>
      <c r="AC7" s="377"/>
      <c r="AD7" s="377"/>
      <c r="AE7" s="377"/>
      <c r="AG7" s="377"/>
      <c r="AH7" s="377"/>
    </row>
    <row r="8" spans="1:34" s="56" customFormat="1" ht="6.75" customHeight="1" x14ac:dyDescent="0.35">
      <c r="B8" s="104"/>
      <c r="C8" s="379"/>
      <c r="D8" s="379"/>
      <c r="E8" s="379"/>
      <c r="F8" s="380"/>
      <c r="G8" s="379"/>
      <c r="H8" s="379"/>
      <c r="I8" s="379"/>
      <c r="J8" s="380"/>
      <c r="K8" s="379"/>
      <c r="L8" s="379"/>
      <c r="M8" s="379"/>
      <c r="N8" s="380"/>
      <c r="O8" s="379"/>
      <c r="P8" s="379"/>
      <c r="Q8" s="379"/>
      <c r="R8" s="380"/>
      <c r="S8" s="379"/>
      <c r="T8" s="379"/>
      <c r="U8" s="379"/>
      <c r="V8" s="380"/>
      <c r="W8" s="379"/>
      <c r="X8" s="379"/>
      <c r="Y8" s="379"/>
      <c r="AB8" s="379"/>
      <c r="AC8" s="379"/>
      <c r="AD8" s="379"/>
      <c r="AE8" s="379"/>
      <c r="AG8" s="379"/>
      <c r="AH8" s="379"/>
    </row>
    <row r="9" spans="1:34" x14ac:dyDescent="0.35">
      <c r="B9" s="173" t="s">
        <v>161</v>
      </c>
      <c r="C9" s="381"/>
      <c r="D9" s="382"/>
      <c r="E9" s="382"/>
      <c r="F9" s="383"/>
      <c r="G9" s="382"/>
      <c r="H9" s="382"/>
      <c r="I9" s="382"/>
      <c r="J9" s="383"/>
      <c r="K9" s="382"/>
      <c r="L9" s="382"/>
      <c r="M9" s="382"/>
      <c r="N9" s="383"/>
      <c r="O9" s="382"/>
      <c r="P9" s="382"/>
      <c r="Q9" s="382"/>
      <c r="R9" s="383"/>
      <c r="S9" s="382"/>
      <c r="T9" s="384"/>
      <c r="U9" s="382"/>
      <c r="V9" s="383"/>
      <c r="W9" s="382"/>
      <c r="X9" s="382"/>
      <c r="Y9" s="382"/>
      <c r="AB9" s="382"/>
      <c r="AC9" s="382"/>
      <c r="AD9" s="382"/>
      <c r="AE9" s="382"/>
      <c r="AG9" s="382"/>
      <c r="AH9" s="382"/>
    </row>
    <row r="10" spans="1:34" s="56" customFormat="1" x14ac:dyDescent="0.35">
      <c r="B10" s="104"/>
      <c r="C10" s="379"/>
      <c r="D10" s="379"/>
      <c r="E10" s="379"/>
      <c r="F10" s="380"/>
      <c r="G10" s="379"/>
      <c r="H10" s="379"/>
      <c r="I10" s="379"/>
      <c r="J10" s="380"/>
      <c r="K10" s="379"/>
      <c r="L10" s="379"/>
      <c r="M10" s="379"/>
      <c r="N10" s="380"/>
      <c r="O10" s="379"/>
      <c r="P10" s="379"/>
      <c r="Q10" s="379"/>
      <c r="R10" s="380"/>
      <c r="S10" s="379"/>
      <c r="T10" s="379"/>
      <c r="U10" s="379"/>
      <c r="V10" s="380"/>
      <c r="W10" s="379"/>
      <c r="X10" s="379"/>
      <c r="Y10" s="379"/>
      <c r="Z10" s="437"/>
      <c r="AB10" s="379"/>
      <c r="AC10" s="379"/>
      <c r="AD10" s="379"/>
      <c r="AE10" s="379"/>
      <c r="AG10" s="379"/>
      <c r="AH10" s="379"/>
    </row>
    <row r="11" spans="1:34" s="178" customFormat="1" ht="17.5" x14ac:dyDescent="0.35">
      <c r="B11" s="63" t="s">
        <v>68</v>
      </c>
      <c r="C11" s="179">
        <v>-125</v>
      </c>
      <c r="D11" s="179">
        <f>-265+125</f>
        <v>-140</v>
      </c>
      <c r="E11" s="179">
        <f>-418+265</f>
        <v>-153</v>
      </c>
      <c r="F11" s="179">
        <f>-545+418</f>
        <v>-127</v>
      </c>
      <c r="G11" s="179">
        <v>-121</v>
      </c>
      <c r="H11" s="179">
        <v>-136</v>
      </c>
      <c r="I11" s="179">
        <v>-131</v>
      </c>
      <c r="J11" s="179">
        <f>-522+388</f>
        <v>-134</v>
      </c>
      <c r="K11" s="179">
        <v>-124</v>
      </c>
      <c r="L11" s="179">
        <v>-115</v>
      </c>
      <c r="M11" s="179">
        <v>-135</v>
      </c>
      <c r="N11" s="179">
        <f>-513+374</f>
        <v>-139</v>
      </c>
      <c r="O11" s="179">
        <v>-150</v>
      </c>
      <c r="P11" s="179">
        <v>-157</v>
      </c>
      <c r="Q11" s="179">
        <v>-148</v>
      </c>
      <c r="R11" s="179">
        <f>-638+455</f>
        <v>-183</v>
      </c>
      <c r="S11" s="179">
        <v>-193</v>
      </c>
      <c r="T11" s="179">
        <v>-240</v>
      </c>
      <c r="U11" s="179">
        <v>-188</v>
      </c>
      <c r="V11" s="179">
        <v>-184</v>
      </c>
      <c r="W11" s="179">
        <v>-122</v>
      </c>
      <c r="X11" s="179">
        <v>-136</v>
      </c>
      <c r="Y11" s="179">
        <v>-227</v>
      </c>
      <c r="Z11" s="179">
        <v>-166</v>
      </c>
      <c r="AB11" s="179">
        <v>-175</v>
      </c>
      <c r="AC11" s="179">
        <v>-179</v>
      </c>
      <c r="AD11" s="179">
        <v>-180</v>
      </c>
      <c r="AE11" s="179">
        <v>-183</v>
      </c>
      <c r="AG11" s="179">
        <v>-172</v>
      </c>
      <c r="AH11" s="551">
        <v>-188</v>
      </c>
    </row>
    <row r="12" spans="1:34" s="180" customFormat="1" ht="17.5" x14ac:dyDescent="0.35">
      <c r="B12" s="181"/>
      <c r="C12" s="182"/>
      <c r="D12" s="182"/>
      <c r="E12" s="182"/>
      <c r="F12" s="183"/>
      <c r="G12" s="182"/>
      <c r="H12" s="182"/>
      <c r="I12" s="182"/>
      <c r="J12" s="183"/>
      <c r="K12" s="182"/>
      <c r="L12" s="182"/>
      <c r="M12" s="182"/>
      <c r="N12" s="183"/>
      <c r="O12" s="182"/>
      <c r="P12" s="182"/>
      <c r="Q12" s="182"/>
      <c r="R12" s="183"/>
      <c r="S12" s="182"/>
      <c r="T12" s="184"/>
      <c r="U12" s="182"/>
      <c r="V12" s="183"/>
      <c r="W12" s="182"/>
      <c r="X12" s="182"/>
      <c r="Y12" s="182"/>
      <c r="Z12" s="182"/>
      <c r="AB12" s="182"/>
      <c r="AC12" s="182"/>
      <c r="AD12" s="182"/>
      <c r="AE12" s="182"/>
      <c r="AG12" s="182"/>
      <c r="AH12" s="552"/>
    </row>
    <row r="13" spans="1:34" s="178" customFormat="1" ht="17.5" x14ac:dyDescent="0.35">
      <c r="B13" s="63" t="s">
        <v>159</v>
      </c>
      <c r="C13" s="179">
        <v>-69</v>
      </c>
      <c r="D13" s="179">
        <f>-129+69</f>
        <v>-60</v>
      </c>
      <c r="E13" s="179">
        <f>-190+129</f>
        <v>-61</v>
      </c>
      <c r="F13" s="179">
        <f>-248+190</f>
        <v>-58</v>
      </c>
      <c r="G13" s="179">
        <v>-59</v>
      </c>
      <c r="H13" s="179">
        <v>-57</v>
      </c>
      <c r="I13" s="179">
        <v>-68</v>
      </c>
      <c r="J13" s="179">
        <f>-255+184</f>
        <v>-71</v>
      </c>
      <c r="K13" s="179">
        <v>-74</v>
      </c>
      <c r="L13" s="179">
        <v>-74</v>
      </c>
      <c r="M13" s="179">
        <v>-67</v>
      </c>
      <c r="N13" s="179">
        <f>-323+215</f>
        <v>-108</v>
      </c>
      <c r="O13" s="179">
        <v>-63</v>
      </c>
      <c r="P13" s="179">
        <v>-80</v>
      </c>
      <c r="Q13" s="179">
        <v>-85</v>
      </c>
      <c r="R13" s="179">
        <f>-323+228</f>
        <v>-95</v>
      </c>
      <c r="S13" s="179">
        <v>-101</v>
      </c>
      <c r="T13" s="179">
        <v>-93</v>
      </c>
      <c r="U13" s="179">
        <v>-101</v>
      </c>
      <c r="V13" s="179">
        <v>-137</v>
      </c>
      <c r="W13" s="179">
        <v>-92</v>
      </c>
      <c r="X13" s="179">
        <v>-114</v>
      </c>
      <c r="Y13" s="179">
        <v>-125</v>
      </c>
      <c r="Z13" s="179">
        <v>-160</v>
      </c>
      <c r="AB13" s="179">
        <v>-105</v>
      </c>
      <c r="AC13" s="179">
        <v>-104</v>
      </c>
      <c r="AD13" s="179">
        <v>-156</v>
      </c>
      <c r="AE13" s="179">
        <v>-201</v>
      </c>
      <c r="AG13" s="179">
        <v>-126</v>
      </c>
      <c r="AH13" s="551">
        <v>-136</v>
      </c>
    </row>
    <row r="14" spans="1:34" ht="26" x14ac:dyDescent="0.35">
      <c r="B14" s="185" t="s">
        <v>160</v>
      </c>
      <c r="C14" s="56"/>
      <c r="D14" s="32"/>
      <c r="E14" s="32"/>
      <c r="F14" s="33"/>
      <c r="G14" s="32"/>
      <c r="H14" s="32"/>
      <c r="I14" s="32"/>
      <c r="J14" s="33"/>
      <c r="K14" s="32"/>
      <c r="L14" s="32"/>
      <c r="M14" s="32"/>
      <c r="N14" s="33"/>
      <c r="O14" s="32"/>
      <c r="P14" s="32"/>
      <c r="Q14" s="32"/>
      <c r="R14" s="33"/>
      <c r="S14" s="32"/>
      <c r="T14" s="186"/>
      <c r="U14" s="32"/>
      <c r="V14" s="33"/>
      <c r="W14" s="32"/>
      <c r="X14" s="32"/>
      <c r="Y14" s="32"/>
      <c r="Z14" s="32"/>
      <c r="AB14" s="32"/>
      <c r="AC14" s="32"/>
      <c r="AD14" s="32"/>
      <c r="AE14" s="32"/>
      <c r="AG14" s="32"/>
      <c r="AH14" s="553"/>
    </row>
    <row r="15" spans="1:34" s="178" customFormat="1" ht="17.5" x14ac:dyDescent="0.35">
      <c r="B15" s="63" t="s">
        <v>163</v>
      </c>
      <c r="C15" s="179">
        <v>-10</v>
      </c>
      <c r="D15" s="179">
        <f>-19+10</f>
        <v>-9</v>
      </c>
      <c r="E15" s="179">
        <f>-33+19</f>
        <v>-14</v>
      </c>
      <c r="F15" s="179">
        <f>-55+33</f>
        <v>-22</v>
      </c>
      <c r="G15" s="179">
        <v>-78</v>
      </c>
      <c r="H15" s="179">
        <v>-89</v>
      </c>
      <c r="I15" s="179">
        <v>-82</v>
      </c>
      <c r="J15" s="179">
        <f>-328+249</f>
        <v>-79</v>
      </c>
      <c r="K15" s="179">
        <v>-50</v>
      </c>
      <c r="L15" s="179">
        <v>-75</v>
      </c>
      <c r="M15" s="179">
        <v>-74</v>
      </c>
      <c r="N15" s="179">
        <f>-249+199</f>
        <v>-50</v>
      </c>
      <c r="O15" s="179">
        <v>-55</v>
      </c>
      <c r="P15" s="179">
        <v>-58</v>
      </c>
      <c r="Q15" s="179">
        <v>-66</v>
      </c>
      <c r="R15" s="179">
        <f>-253+179</f>
        <v>-74</v>
      </c>
      <c r="S15" s="179">
        <v>-78</v>
      </c>
      <c r="T15" s="179">
        <v>-82</v>
      </c>
      <c r="U15" s="179">
        <v>-87</v>
      </c>
      <c r="V15" s="179">
        <v>-89</v>
      </c>
      <c r="W15" s="179">
        <v>-96</v>
      </c>
      <c r="X15" s="179">
        <v>-99</v>
      </c>
      <c r="Y15" s="179">
        <v>-133</v>
      </c>
      <c r="Z15" s="179">
        <v>-174</v>
      </c>
      <c r="AB15" s="179">
        <v>-141</v>
      </c>
      <c r="AC15" s="179">
        <v>-139</v>
      </c>
      <c r="AD15" s="179">
        <v>-92</v>
      </c>
      <c r="AE15" s="179">
        <v>-79</v>
      </c>
      <c r="AG15" s="179">
        <v>-67</v>
      </c>
      <c r="AH15" s="551">
        <v>-76</v>
      </c>
    </row>
    <row r="16" spans="1:34" s="178" customFormat="1" ht="17.5" x14ac:dyDescent="0.35">
      <c r="B16" s="63"/>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B16" s="179"/>
      <c r="AC16" s="179"/>
      <c r="AD16" s="179"/>
      <c r="AE16" s="179"/>
      <c r="AG16" s="179"/>
      <c r="AH16" s="551"/>
    </row>
    <row r="17" spans="1:34" s="178" customFormat="1" ht="17.5" x14ac:dyDescent="0.35">
      <c r="B17" s="63" t="s">
        <v>518</v>
      </c>
      <c r="C17" s="445" t="s">
        <v>17</v>
      </c>
      <c r="D17" s="445" t="s">
        <v>17</v>
      </c>
      <c r="E17" s="445" t="s">
        <v>17</v>
      </c>
      <c r="F17" s="179">
        <v>7617</v>
      </c>
      <c r="G17" s="179">
        <v>7406</v>
      </c>
      <c r="H17" s="179">
        <v>7501</v>
      </c>
      <c r="I17" s="179">
        <v>7572</v>
      </c>
      <c r="J17" s="179">
        <v>7665</v>
      </c>
      <c r="K17" s="179">
        <v>7703</v>
      </c>
      <c r="L17" s="179">
        <v>7797</v>
      </c>
      <c r="M17" s="179">
        <v>7826</v>
      </c>
      <c r="N17" s="179">
        <v>7817</v>
      </c>
      <c r="O17" s="179">
        <v>7818</v>
      </c>
      <c r="P17" s="179">
        <v>7774</v>
      </c>
      <c r="Q17" s="179">
        <v>7857</v>
      </c>
      <c r="R17" s="179">
        <v>8022</v>
      </c>
      <c r="S17" s="179">
        <v>8058</v>
      </c>
      <c r="T17" s="179">
        <v>8076</v>
      </c>
      <c r="U17" s="179">
        <v>8127</v>
      </c>
      <c r="V17" s="179">
        <v>8201</v>
      </c>
      <c r="W17" s="179">
        <v>8214</v>
      </c>
      <c r="X17" s="179">
        <v>8273</v>
      </c>
      <c r="Y17" s="179">
        <v>8234</v>
      </c>
      <c r="Z17" s="179">
        <v>8383</v>
      </c>
      <c r="AB17" s="179">
        <v>8381</v>
      </c>
      <c r="AC17" s="179">
        <v>8383</v>
      </c>
      <c r="AD17" s="179">
        <v>8383</v>
      </c>
      <c r="AE17" s="179">
        <v>8198</v>
      </c>
      <c r="AG17" s="179">
        <v>8062</v>
      </c>
      <c r="AH17" s="551">
        <v>8023</v>
      </c>
    </row>
    <row r="18" spans="1:34" ht="18" x14ac:dyDescent="0.4">
      <c r="B18" s="187"/>
      <c r="C18" s="56"/>
      <c r="D18" s="32"/>
      <c r="E18" s="32"/>
      <c r="F18" s="33"/>
      <c r="G18" s="32"/>
      <c r="H18" s="32"/>
      <c r="I18" s="32"/>
      <c r="J18" s="33"/>
      <c r="K18" s="32"/>
      <c r="L18" s="32"/>
      <c r="M18" s="32"/>
      <c r="N18" s="33"/>
      <c r="O18" s="32"/>
      <c r="P18" s="32"/>
      <c r="Q18" s="32"/>
      <c r="R18" s="33"/>
      <c r="S18" s="32"/>
      <c r="T18" s="188"/>
      <c r="U18" s="32"/>
      <c r="V18" s="33"/>
      <c r="W18" s="32"/>
      <c r="X18" s="32"/>
      <c r="Y18" s="32"/>
      <c r="AB18" s="32"/>
      <c r="AC18" s="32"/>
      <c r="AD18" s="32"/>
      <c r="AE18" s="32"/>
      <c r="AG18" s="32"/>
      <c r="AH18" s="553"/>
    </row>
    <row r="19" spans="1:34" x14ac:dyDescent="0.35">
      <c r="B19" s="173" t="s">
        <v>3</v>
      </c>
      <c r="C19" s="174"/>
      <c r="D19" s="175"/>
      <c r="E19" s="175"/>
      <c r="F19" s="176"/>
      <c r="G19" s="175"/>
      <c r="H19" s="175"/>
      <c r="I19" s="175"/>
      <c r="J19" s="176"/>
      <c r="K19" s="175"/>
      <c r="L19" s="175"/>
      <c r="M19" s="175"/>
      <c r="N19" s="176"/>
      <c r="O19" s="175"/>
      <c r="P19" s="175"/>
      <c r="Q19" s="175"/>
      <c r="R19" s="176"/>
      <c r="S19" s="175"/>
      <c r="T19" s="177"/>
      <c r="U19" s="175"/>
      <c r="V19" s="176"/>
      <c r="W19" s="175"/>
      <c r="X19" s="175"/>
      <c r="Y19" s="175"/>
      <c r="AB19" s="175"/>
      <c r="AC19" s="175"/>
      <c r="AD19" s="175"/>
      <c r="AE19" s="175"/>
      <c r="AG19" s="175"/>
      <c r="AH19" s="175"/>
    </row>
    <row r="20" spans="1:34" x14ac:dyDescent="0.35">
      <c r="B20" s="189"/>
      <c r="C20" s="56"/>
      <c r="D20" s="32"/>
      <c r="E20" s="32"/>
      <c r="F20" s="33"/>
      <c r="G20" s="32"/>
      <c r="H20" s="32"/>
      <c r="I20" s="32"/>
      <c r="J20" s="33"/>
      <c r="K20" s="32"/>
      <c r="L20" s="32"/>
      <c r="M20" s="32"/>
      <c r="N20" s="33"/>
      <c r="O20" s="32"/>
      <c r="P20" s="32"/>
      <c r="Q20" s="32"/>
      <c r="R20" s="33"/>
      <c r="S20" s="32"/>
      <c r="T20" s="190"/>
      <c r="U20" s="32"/>
      <c r="V20" s="33"/>
      <c r="W20" s="32"/>
      <c r="X20" s="32"/>
      <c r="Y20" s="32"/>
      <c r="Z20" s="344"/>
      <c r="AB20" s="32"/>
      <c r="AC20" s="32"/>
      <c r="AD20" s="32"/>
      <c r="AE20" s="32"/>
      <c r="AG20" s="32"/>
      <c r="AH20" s="32"/>
    </row>
    <row r="21" spans="1:34" s="178" customFormat="1" ht="17.5" x14ac:dyDescent="0.35">
      <c r="B21" s="63" t="s">
        <v>164</v>
      </c>
      <c r="C21" s="179">
        <f>63</f>
        <v>63</v>
      </c>
      <c r="D21" s="179">
        <f>133-63</f>
        <v>70</v>
      </c>
      <c r="E21" s="179">
        <f>205-133</f>
        <v>72</v>
      </c>
      <c r="F21" s="179">
        <f>298-205</f>
        <v>93</v>
      </c>
      <c r="G21" s="179">
        <v>71</v>
      </c>
      <c r="H21" s="179">
        <f>172-71</f>
        <v>101</v>
      </c>
      <c r="I21" s="179">
        <f>287-172</f>
        <v>115</v>
      </c>
      <c r="J21" s="179">
        <f>430-287</f>
        <v>143</v>
      </c>
      <c r="K21" s="179">
        <v>128</v>
      </c>
      <c r="L21" s="179">
        <f>260-128</f>
        <v>132</v>
      </c>
      <c r="M21" s="179">
        <f>413-260</f>
        <v>153</v>
      </c>
      <c r="N21" s="179">
        <f>595-413</f>
        <v>182</v>
      </c>
      <c r="O21" s="179">
        <v>106</v>
      </c>
      <c r="P21" s="179">
        <f>223-106</f>
        <v>117</v>
      </c>
      <c r="Q21" s="179">
        <f>399-223</f>
        <v>176</v>
      </c>
      <c r="R21" s="179">
        <f>606-399</f>
        <v>207</v>
      </c>
      <c r="S21" s="179">
        <v>110</v>
      </c>
      <c r="T21" s="179">
        <v>125</v>
      </c>
      <c r="U21" s="179">
        <v>139</v>
      </c>
      <c r="V21" s="179">
        <v>210</v>
      </c>
      <c r="W21" s="179">
        <v>115</v>
      </c>
      <c r="X21" s="179">
        <v>153</v>
      </c>
      <c r="Y21" s="179">
        <v>180</v>
      </c>
      <c r="Z21" s="179">
        <v>279</v>
      </c>
      <c r="AB21" s="179">
        <v>117</v>
      </c>
      <c r="AC21" s="179">
        <v>157</v>
      </c>
      <c r="AD21" s="179">
        <v>136</v>
      </c>
      <c r="AE21" s="179">
        <v>332</v>
      </c>
      <c r="AG21" s="179">
        <v>155</v>
      </c>
      <c r="AH21" s="551">
        <v>322</v>
      </c>
    </row>
    <row r="22" spans="1:34" s="22" customFormat="1" x14ac:dyDescent="0.35">
      <c r="A22" s="71"/>
      <c r="B22" s="189"/>
      <c r="C22" s="56"/>
      <c r="D22" s="32"/>
      <c r="E22" s="32"/>
      <c r="F22" s="33"/>
      <c r="G22" s="32"/>
      <c r="H22" s="32"/>
      <c r="I22" s="32"/>
      <c r="J22" s="33"/>
      <c r="K22" s="32"/>
      <c r="L22" s="32"/>
      <c r="M22" s="32"/>
      <c r="N22" s="33"/>
      <c r="O22" s="32"/>
      <c r="P22" s="32"/>
      <c r="Q22" s="32"/>
      <c r="R22" s="33"/>
      <c r="S22" s="32"/>
      <c r="T22" s="190"/>
      <c r="U22" s="32"/>
      <c r="V22" s="33"/>
      <c r="W22" s="32"/>
      <c r="X22" s="32"/>
      <c r="Y22" s="32"/>
      <c r="Z22" s="32"/>
      <c r="AB22" s="32"/>
      <c r="AC22" s="32"/>
      <c r="AD22" s="32"/>
      <c r="AE22" s="32"/>
      <c r="AG22" s="32"/>
      <c r="AH22" s="553"/>
    </row>
    <row r="23" spans="1:34" s="178" customFormat="1" ht="17.5" x14ac:dyDescent="0.35">
      <c r="B23" s="63" t="s">
        <v>165</v>
      </c>
      <c r="C23" s="179">
        <f>0</f>
        <v>0</v>
      </c>
      <c r="D23" s="179">
        <f>0-0</f>
        <v>0</v>
      </c>
      <c r="E23" s="179">
        <f>2-0</f>
        <v>2</v>
      </c>
      <c r="F23" s="179">
        <f>2-2</f>
        <v>0</v>
      </c>
      <c r="G23" s="179">
        <v>0</v>
      </c>
      <c r="H23" s="179">
        <f>0-0</f>
        <v>0</v>
      </c>
      <c r="I23" s="179">
        <f>0-0</f>
        <v>0</v>
      </c>
      <c r="J23" s="179">
        <f>1-0</f>
        <v>1</v>
      </c>
      <c r="K23" s="179">
        <v>2</v>
      </c>
      <c r="L23" s="179">
        <f>2-2</f>
        <v>0</v>
      </c>
      <c r="M23" s="179">
        <f>2-2</f>
        <v>0</v>
      </c>
      <c r="N23" s="179">
        <f>36-2</f>
        <v>34</v>
      </c>
      <c r="O23" s="179">
        <v>0</v>
      </c>
      <c r="P23" s="179">
        <f>1-0</f>
        <v>1</v>
      </c>
      <c r="Q23" s="179">
        <f>3-1</f>
        <v>2</v>
      </c>
      <c r="R23" s="179">
        <f>13-3</f>
        <v>10</v>
      </c>
      <c r="S23" s="179">
        <v>31</v>
      </c>
      <c r="T23" s="179">
        <v>21</v>
      </c>
      <c r="U23" s="179">
        <v>0</v>
      </c>
      <c r="V23" s="179">
        <v>0</v>
      </c>
      <c r="W23" s="179">
        <v>27</v>
      </c>
      <c r="X23" s="179">
        <v>1211</v>
      </c>
      <c r="Y23" s="179">
        <v>398</v>
      </c>
      <c r="Z23" s="179">
        <v>57</v>
      </c>
      <c r="AB23" s="179">
        <v>0</v>
      </c>
      <c r="AC23" s="179">
        <v>17</v>
      </c>
      <c r="AD23" s="179">
        <v>0</v>
      </c>
      <c r="AE23" s="179">
        <v>173</v>
      </c>
      <c r="AG23" s="179">
        <v>5</v>
      </c>
      <c r="AH23" s="551">
        <v>14</v>
      </c>
    </row>
    <row r="24" spans="1:34" s="22" customFormat="1" x14ac:dyDescent="0.35">
      <c r="A24" s="71"/>
      <c r="B24" s="56"/>
      <c r="C24" s="99"/>
      <c r="D24" s="38"/>
      <c r="E24" s="38"/>
      <c r="F24" s="39"/>
      <c r="G24" s="38"/>
      <c r="H24" s="38"/>
      <c r="I24" s="38"/>
      <c r="J24" s="39"/>
      <c r="K24" s="38"/>
      <c r="L24" s="38"/>
      <c r="M24" s="38"/>
      <c r="N24" s="39"/>
      <c r="O24" s="38"/>
      <c r="P24" s="38"/>
      <c r="Q24" s="38"/>
      <c r="R24" s="39"/>
      <c r="S24" s="38"/>
      <c r="T24" s="386"/>
      <c r="U24" s="38"/>
      <c r="V24" s="39"/>
      <c r="W24" s="38"/>
      <c r="X24" s="38"/>
      <c r="Y24" s="38"/>
      <c r="AB24" s="38"/>
      <c r="AC24" s="38"/>
      <c r="AD24" s="38"/>
      <c r="AE24" s="38"/>
      <c r="AG24" s="38"/>
      <c r="AH24" s="38"/>
    </row>
    <row r="25" spans="1:34" s="22" customFormat="1" ht="18" x14ac:dyDescent="0.4">
      <c r="A25" s="71"/>
      <c r="B25" s="187"/>
      <c r="C25" s="99"/>
      <c r="D25" s="38"/>
      <c r="E25" s="38"/>
      <c r="F25" s="39"/>
      <c r="G25" s="38"/>
      <c r="H25" s="38"/>
      <c r="I25" s="38"/>
      <c r="J25" s="39"/>
      <c r="K25" s="38"/>
      <c r="L25" s="38"/>
      <c r="M25" s="38"/>
      <c r="N25" s="39"/>
      <c r="O25" s="38"/>
      <c r="P25" s="38"/>
      <c r="Q25" s="38"/>
      <c r="R25" s="39"/>
      <c r="S25" s="38"/>
      <c r="T25" s="386"/>
      <c r="U25" s="38"/>
      <c r="V25" s="39"/>
      <c r="W25" s="38"/>
      <c r="X25" s="38"/>
      <c r="Y25" s="38"/>
      <c r="AB25" s="38"/>
      <c r="AC25" s="38"/>
      <c r="AD25" s="38"/>
      <c r="AE25" s="38"/>
      <c r="AG25" s="38"/>
      <c r="AH25" s="38"/>
    </row>
    <row r="26" spans="1:34" s="22" customFormat="1" x14ac:dyDescent="0.35">
      <c r="A26" s="71"/>
      <c r="B26" s="56"/>
      <c r="C26" s="99"/>
      <c r="D26" s="38"/>
      <c r="E26" s="38"/>
      <c r="F26" s="39"/>
      <c r="G26" s="38"/>
      <c r="H26" s="38"/>
      <c r="I26" s="38"/>
      <c r="J26" s="39"/>
      <c r="K26" s="38"/>
      <c r="L26" s="38"/>
      <c r="M26" s="38"/>
      <c r="N26" s="39"/>
      <c r="O26" s="38"/>
      <c r="P26" s="38"/>
      <c r="Q26" s="38"/>
      <c r="R26" s="39"/>
      <c r="S26" s="38"/>
      <c r="T26" s="386"/>
      <c r="U26" s="38"/>
      <c r="V26" s="39"/>
      <c r="W26" s="38"/>
      <c r="X26" s="38"/>
      <c r="Y26" s="38"/>
      <c r="AB26" s="38"/>
      <c r="AC26" s="38"/>
      <c r="AD26" s="38"/>
      <c r="AE26" s="38"/>
      <c r="AG26" s="38"/>
      <c r="AH26" s="38"/>
    </row>
    <row r="27" spans="1:34" s="22" customFormat="1" ht="18" x14ac:dyDescent="0.4">
      <c r="A27" s="71"/>
      <c r="B27" s="187"/>
      <c r="C27" s="99"/>
      <c r="D27" s="38"/>
      <c r="E27" s="38"/>
      <c r="F27" s="39"/>
      <c r="G27" s="38"/>
      <c r="H27" s="38"/>
      <c r="I27" s="38"/>
      <c r="J27" s="99"/>
      <c r="K27" s="38"/>
      <c r="L27" s="38"/>
      <c r="M27" s="38"/>
      <c r="N27" s="39"/>
      <c r="O27" s="38"/>
      <c r="P27" s="38"/>
      <c r="Q27" s="38"/>
      <c r="R27" s="39"/>
      <c r="S27" s="38"/>
      <c r="T27" s="386"/>
      <c r="U27" s="38"/>
      <c r="V27" s="39"/>
      <c r="W27" s="38"/>
      <c r="X27" s="38"/>
      <c r="Y27" s="38"/>
      <c r="AB27" s="38"/>
      <c r="AC27" s="38"/>
      <c r="AD27" s="38"/>
      <c r="AE27" s="38"/>
      <c r="AG27" s="38"/>
      <c r="AH27" s="38"/>
    </row>
    <row r="28" spans="1:34" s="22" customFormat="1" x14ac:dyDescent="0.35">
      <c r="A28" s="71"/>
      <c r="B28" s="56"/>
      <c r="C28" s="99"/>
      <c r="D28" s="38"/>
      <c r="E28" s="38"/>
      <c r="F28" s="39"/>
      <c r="G28" s="38"/>
      <c r="H28" s="38"/>
      <c r="I28" s="38"/>
      <c r="J28" s="39"/>
      <c r="K28" s="38"/>
      <c r="L28" s="38"/>
      <c r="M28" s="38"/>
      <c r="N28" s="39"/>
      <c r="O28" s="38"/>
      <c r="P28" s="38"/>
      <c r="Q28" s="38"/>
      <c r="R28" s="39"/>
      <c r="S28" s="38"/>
      <c r="T28" s="386"/>
      <c r="U28" s="38"/>
      <c r="V28" s="39"/>
      <c r="W28" s="38"/>
      <c r="X28" s="38"/>
      <c r="Y28" s="38"/>
      <c r="AB28" s="38"/>
      <c r="AC28" s="38"/>
      <c r="AD28" s="38"/>
      <c r="AE28" s="38"/>
      <c r="AG28" s="38"/>
      <c r="AH28" s="38"/>
    </row>
  </sheetData>
  <phoneticPr fontId="96"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33105E34D9F6344988DD8F2AC210D4D" ma:contentTypeVersion="13" ma:contentTypeDescription="Crie um novo documento." ma:contentTypeScope="" ma:versionID="5a8dc5f8f91bab31cb6331428c6571fa">
  <xsd:schema xmlns:xsd="http://www.w3.org/2001/XMLSchema" xmlns:xs="http://www.w3.org/2001/XMLSchema" xmlns:p="http://schemas.microsoft.com/office/2006/metadata/properties" xmlns:ns3="87f7c4e3-65fe-4ae2-859f-2ab27c1cc9b7" xmlns:ns4="1ed7f566-b73a-4d9d-a2a9-298344578dc3" targetNamespace="http://schemas.microsoft.com/office/2006/metadata/properties" ma:root="true" ma:fieldsID="5d0e96d04323e89b4de89092f91886fa" ns3:_="" ns4:_="">
    <xsd:import namespace="87f7c4e3-65fe-4ae2-859f-2ab27c1cc9b7"/>
    <xsd:import namespace="1ed7f566-b73a-4d9d-a2a9-298344578dc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f7c4e3-65fe-4ae2-859f-2ab27c1cc9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d7f566-b73a-4d9d-a2a9-298344578dc3"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SharingHintHash" ma:index="12"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5AD8B06-5CBD-4CAD-865E-CF74FA3975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f7c4e3-65fe-4ae2-859f-2ab27c1cc9b7"/>
    <ds:schemaRef ds:uri="1ed7f566-b73a-4d9d-a2a9-298344578d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69EA07-9637-4B71-A294-B34EFBD5CBBA}">
  <ds:schemaRefs>
    <ds:schemaRef ds:uri="http://schemas.microsoft.com/sharepoint/v3/contenttype/forms"/>
  </ds:schemaRefs>
</ds:datastoreItem>
</file>

<file path=customXml/itemProps3.xml><?xml version="1.0" encoding="utf-8"?>
<ds:datastoreItem xmlns:ds="http://schemas.openxmlformats.org/officeDocument/2006/customXml" ds:itemID="{37AFD72B-F871-48A8-B6BE-ADE1DFDFC10F}">
  <ds:schemaRefs>
    <ds:schemaRef ds:uri="http://purl.org/dc/elements/1.1/"/>
    <ds:schemaRef ds:uri="http://schemas.microsoft.com/office/infopath/2007/PartnerControls"/>
    <ds:schemaRef ds:uri="http://purl.org/dc/terms/"/>
    <ds:schemaRef ds:uri="http://schemas.microsoft.com/office/2006/documentManagement/types"/>
    <ds:schemaRef ds:uri="http://purl.org/dc/dcmitype/"/>
    <ds:schemaRef ds:uri="http://www.w3.org/XML/1998/namespace"/>
    <ds:schemaRef ds:uri="http://schemas.openxmlformats.org/package/2006/metadata/core-properties"/>
    <ds:schemaRef ds:uri="1ed7f566-b73a-4d9d-a2a9-298344578dc3"/>
    <ds:schemaRef ds:uri="87f7c4e3-65fe-4ae2-859f-2ab27c1cc9b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17</vt:i4>
      </vt:variant>
    </vt:vector>
  </HeadingPairs>
  <TitlesOfParts>
    <vt:vector size="17" baseType="lpstr">
      <vt:lpstr>Index</vt:lpstr>
      <vt:lpstr>1. Volume</vt:lpstr>
      <vt:lpstr>2. Income Statement</vt:lpstr>
      <vt:lpstr>3. Balance Sheet</vt:lpstr>
      <vt:lpstr>4. CFR</vt:lpstr>
      <vt:lpstr>5. Segment Reporting</vt:lpstr>
      <vt:lpstr>6. Reconciliation</vt:lpstr>
      <vt:lpstr>7. EBITDA Reconciliation</vt:lpstr>
      <vt:lpstr>8. Investments (CAPEX)</vt:lpstr>
      <vt:lpstr>9. Expenses by nature</vt:lpstr>
      <vt:lpstr>10. Hedge</vt:lpstr>
      <vt:lpstr>11. Debt</vt:lpstr>
      <vt:lpstr>12. Macroeconomics</vt:lpstr>
      <vt:lpstr>12. ESG</vt:lpstr>
      <vt:lpstr>13.Dividends</vt:lpstr>
      <vt:lpstr>14. Consensus</vt:lpstr>
      <vt:lpstr>15. 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Sheila Tamanini Kessel</cp:lastModifiedBy>
  <cp:revision/>
  <dcterms:created xsi:type="dcterms:W3CDTF">2020-10-20T14:40:25Z</dcterms:created>
  <dcterms:modified xsi:type="dcterms:W3CDTF">2024-07-31T18:16:56Z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0x010100733105E34D9F6344988DD8F2AC210D4D</vt:lpwstr>
  </property>
  <property fmtid="{D5CDD505-2E9C-101B-9397-08002B2CF9AE}" pid="3" name="MSIP_Label_22deaceb-9851-4663-bccf-596767454be3_Enabled">
    <vt:lpwstr>true</vt:lpwstr>
  </property>
  <property fmtid="{D5CDD505-2E9C-101B-9397-08002B2CF9AE}" pid="4" name="MSIP_Label_22deaceb-9851-4663-bccf-596767454be3_SetDate">
    <vt:lpwstr>2024-03-04T21:56:55Z</vt:lpwstr>
  </property>
  <property fmtid="{D5CDD505-2E9C-101B-9397-08002B2CF9AE}" pid="5" name="MSIP_Label_22deaceb-9851-4663-bccf-596767454be3_Method">
    <vt:lpwstr>Privileged</vt:lpwstr>
  </property>
  <property fmtid="{D5CDD505-2E9C-101B-9397-08002B2CF9AE}" pid="6" name="MSIP_Label_22deaceb-9851-4663-bccf-596767454be3_Name">
    <vt:lpwstr>22deaceb-9851-4663-bccf-596767454be3</vt:lpwstr>
  </property>
  <property fmtid="{D5CDD505-2E9C-101B-9397-08002B2CF9AE}" pid="7" name="MSIP_Label_22deaceb-9851-4663-bccf-596767454be3_SiteId">
    <vt:lpwstr>809f94a6-0477-4390-b86e-eab14c5493a7</vt:lpwstr>
  </property>
  <property fmtid="{D5CDD505-2E9C-101B-9397-08002B2CF9AE}" pid="8" name="MSIP_Label_22deaceb-9851-4663-bccf-596767454be3_ActionId">
    <vt:lpwstr>c1b22efb-7fce-460f-9186-9af0641bfa69</vt:lpwstr>
  </property>
  <property fmtid="{D5CDD505-2E9C-101B-9397-08002B2CF9AE}" pid="9" name="MSIP_Label_22deaceb-9851-4663-bccf-596767454be3_ContentBits">
    <vt:lpwstr>2</vt:lpwstr>
  </property>
</Properties>
</file>