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properties.sharepoint.com/sites/RelacaocomInvestidores/Documentos Compartilhados/DFs e Planilhas/Fundamentos e Planilhas/"/>
    </mc:Choice>
  </mc:AlternateContent>
  <xr:revisionPtr revIDLastSave="165" documentId="8_{BCFAC196-2050-493D-A7BB-47269BB36C77}" xr6:coauthVersionLast="47" xr6:coauthVersionMax="47" xr10:uidLastSave="{E922ED3E-97D0-4CBA-B8F0-71E9B52E62FF}"/>
  <bookViews>
    <workbookView xWindow="-110" yWindow="-110" windowWidth="19420" windowHeight="10420" tabRatio="902" xr2:uid="{00000000-000D-0000-FFFF-FFFF00000000}"/>
  </bookViews>
  <sheets>
    <sheet name="DRE ITR" sheetId="6" r:id="rId1"/>
    <sheet name="DRE Release" sheetId="28" r:id="rId2"/>
    <sheet name="Balanço ITR" sheetId="4" r:id="rId3"/>
    <sheet name="Balanço Release" sheetId="29" r:id="rId4"/>
    <sheet name="Fluxo de Caixa ITR" sheetId="3" r:id="rId5"/>
    <sheet name="Fluxo de Caixa Release" sheetId="30" r:id="rId6"/>
    <sheet name="Portfolio 1T22" sheetId="31" r:id="rId7"/>
    <sheet name="Evolução Portfólio" sheetId="32" r:id="rId8"/>
    <sheet name="Indicadores" sheetId="12" r:id="rId9"/>
    <sheet name="Endividamento" sheetId="15" r:id="rId10"/>
    <sheet name="Aluguel Mesmas Propriedades" sheetId="27" r:id="rId11"/>
  </sheets>
  <externalReferences>
    <externalReference r:id="rId12"/>
  </externalReferences>
  <definedNames>
    <definedName name="_xlnm._FilterDatabase" localSheetId="7" hidden="1">'Evolução Portfólio'!$A$5:$T$73</definedName>
    <definedName name="_xlnm._FilterDatabase" localSheetId="6" hidden="1">'Portfolio 1T22'!$B$7:$H$7</definedName>
    <definedName name="_xlnm.Print_Area" localSheetId="2">'Balanço ITR'!$A$1:$R$68</definedName>
    <definedName name="_xlnm.Print_Area" localSheetId="0">'DRE ITR'!$A$1:$U$36</definedName>
    <definedName name="_xlnm.Print_Area" localSheetId="4">'Fluxo de Caixa ITR'!$A$1:$I$68</definedName>
    <definedName name="_xlnm.Database">'[1]planej '!$A$1:$D$71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K15" i="12" l="1"/>
  <c r="AG68" i="3"/>
  <c r="AG37" i="3" l="1"/>
  <c r="BW28" i="4"/>
  <c r="CK31" i="6" l="1"/>
  <c r="BT18" i="4"/>
  <c r="BU18" i="4"/>
  <c r="BW18" i="4"/>
  <c r="AF68" i="3"/>
  <c r="AG61" i="3"/>
  <c r="AG48" i="3"/>
  <c r="AF37" i="3"/>
  <c r="AF63" i="3" s="1"/>
  <c r="AG63" i="3" l="1"/>
  <c r="AJ91" i="15" l="1"/>
  <c r="CK26" i="12"/>
  <c r="CK22" i="12"/>
  <c r="CK13" i="12"/>
  <c r="CK9" i="12"/>
  <c r="CK8" i="12"/>
  <c r="BK118" i="32"/>
  <c r="BK117" i="32"/>
  <c r="BK116" i="32"/>
  <c r="BK114" i="32"/>
  <c r="Q37" i="30"/>
  <c r="Q29" i="30"/>
  <c r="Q19" i="30"/>
  <c r="Q3" i="30"/>
  <c r="Q38" i="29"/>
  <c r="Q47" i="29" s="1"/>
  <c r="Q32" i="29"/>
  <c r="Q21" i="29"/>
  <c r="Q20" i="29"/>
  <c r="Q10" i="29"/>
  <c r="Q2" i="29"/>
  <c r="BW66" i="4"/>
  <c r="BW54" i="4"/>
  <c r="BW46" i="4"/>
  <c r="BW31" i="4"/>
  <c r="BW26" i="4"/>
  <c r="BW13" i="4"/>
  <c r="AB71" i="28"/>
  <c r="AB70" i="28"/>
  <c r="AB69" i="28"/>
  <c r="AB68" i="28"/>
  <c r="AB57" i="28"/>
  <c r="AB56" i="28"/>
  <c r="AB55" i="28"/>
  <c r="AB51" i="28"/>
  <c r="AB41" i="28"/>
  <c r="AB65" i="28" s="1"/>
  <c r="AB39" i="28"/>
  <c r="AB38" i="28"/>
  <c r="AB37" i="28"/>
  <c r="AB36" i="28"/>
  <c r="AB35" i="28"/>
  <c r="AB53" i="28" s="1"/>
  <c r="AB33" i="28"/>
  <c r="AB20" i="28"/>
  <c r="AB40" i="28" s="1"/>
  <c r="AB13" i="28"/>
  <c r="AB7" i="28"/>
  <c r="AB3" i="28"/>
  <c r="AB2" i="28" s="1"/>
  <c r="AB10" i="28" s="1"/>
  <c r="AB12" i="28" s="1"/>
  <c r="CK5" i="6"/>
  <c r="CK15" i="6" s="1"/>
  <c r="CK19" i="6" s="1"/>
  <c r="CK36" i="6" s="1"/>
  <c r="CK40" i="6" s="1"/>
  <c r="CK17" i="12" s="1"/>
  <c r="CI32" i="12"/>
  <c r="CI31" i="12"/>
  <c r="CI28" i="12"/>
  <c r="CI27" i="12"/>
  <c r="CI26" i="12"/>
  <c r="CI24" i="12"/>
  <c r="CI23" i="12"/>
  <c r="CI22" i="12"/>
  <c r="CH12" i="12"/>
  <c r="CI12" i="12"/>
  <c r="CH13" i="12"/>
  <c r="CI13" i="12"/>
  <c r="CH16" i="12"/>
  <c r="CI16" i="12"/>
  <c r="CH17" i="12"/>
  <c r="CI17" i="12"/>
  <c r="CI7" i="12"/>
  <c r="CI8" i="12"/>
  <c r="CI9" i="12"/>
  <c r="CH7" i="12"/>
  <c r="CH8" i="12"/>
  <c r="CH9" i="12"/>
  <c r="AE37" i="3"/>
  <c r="AE63" i="3" s="1"/>
  <c r="AC37" i="3"/>
  <c r="AE61" i="3"/>
  <c r="AE68" i="3"/>
  <c r="CH5" i="6"/>
  <c r="CH15" i="6" s="1"/>
  <c r="CH19" i="6" s="1"/>
  <c r="CI5" i="6"/>
  <c r="CI15" i="6" s="1"/>
  <c r="CI19" i="6" s="1"/>
  <c r="CI31" i="6" s="1"/>
  <c r="CI36" i="6" s="1"/>
  <c r="CI40" i="6" s="1"/>
  <c r="BU66" i="4"/>
  <c r="BU68" i="4" s="1"/>
  <c r="BU54" i="4"/>
  <c r="BU46" i="4"/>
  <c r="BU31" i="4"/>
  <c r="BU26" i="4"/>
  <c r="BU28" i="4" s="1"/>
  <c r="BU13" i="4"/>
  <c r="P18" i="29"/>
  <c r="Z7" i="28"/>
  <c r="AA7" i="28"/>
  <c r="AA10" i="28" s="1"/>
  <c r="AA12" i="28" s="1"/>
  <c r="AA53" i="28"/>
  <c r="AA51" i="28"/>
  <c r="AA33" i="28"/>
  <c r="Q19" i="28"/>
  <c r="Q18" i="28"/>
  <c r="Q17" i="28"/>
  <c r="Q16" i="28"/>
  <c r="Q15" i="28"/>
  <c r="Q14" i="28"/>
  <c r="AA14" i="28"/>
  <c r="AA13" i="28" s="1"/>
  <c r="AA8" i="28"/>
  <c r="AA9" i="28"/>
  <c r="Q9" i="28"/>
  <c r="Q8" i="28"/>
  <c r="AA6" i="28"/>
  <c r="AA5" i="28"/>
  <c r="AA3" i="28" s="1"/>
  <c r="AA2" i="28" s="1"/>
  <c r="AA4" i="28"/>
  <c r="AA71" i="28"/>
  <c r="AA70" i="28"/>
  <c r="AA69" i="28"/>
  <c r="AA68" i="28"/>
  <c r="AA67" i="28"/>
  <c r="AA66" i="28"/>
  <c r="AA65" i="28"/>
  <c r="AA64" i="28"/>
  <c r="AA63" i="28"/>
  <c r="AA62" i="28"/>
  <c r="AA61" i="28"/>
  <c r="AA60" i="28"/>
  <c r="AA59" i="28"/>
  <c r="AA58" i="28"/>
  <c r="AA57" i="28"/>
  <c r="AA56" i="28"/>
  <c r="AA55" i="28"/>
  <c r="AA54" i="28"/>
  <c r="AA47" i="28"/>
  <c r="AA46" i="28"/>
  <c r="AA45" i="28"/>
  <c r="AA44" i="28"/>
  <c r="AA43" i="28"/>
  <c r="AA42" i="28"/>
  <c r="AA41" i="28"/>
  <c r="AA40" i="28"/>
  <c r="AA39" i="28"/>
  <c r="AA38" i="28"/>
  <c r="AA37" i="28"/>
  <c r="AA36" i="28"/>
  <c r="AA35" i="28"/>
  <c r="AA28" i="28"/>
  <c r="AA27" i="28"/>
  <c r="AA25" i="28"/>
  <c r="AA24" i="28"/>
  <c r="AA23" i="28"/>
  <c r="AA22" i="28"/>
  <c r="AA21" i="28"/>
  <c r="AA20" i="28" s="1"/>
  <c r="AA19" i="28"/>
  <c r="AA18" i="28"/>
  <c r="AA17" i="28"/>
  <c r="AA16" i="28"/>
  <c r="AA15" i="28"/>
  <c r="Q6" i="28"/>
  <c r="Q5" i="28"/>
  <c r="Q4" i="28"/>
  <c r="V4" i="28"/>
  <c r="Z3" i="28"/>
  <c r="D3" i="28"/>
  <c r="E3" i="28"/>
  <c r="F3" i="28"/>
  <c r="G3" i="28"/>
  <c r="H3" i="28"/>
  <c r="I3" i="28"/>
  <c r="J3" i="28"/>
  <c r="K3" i="28"/>
  <c r="M3" i="28"/>
  <c r="N3" i="28"/>
  <c r="O3" i="28"/>
  <c r="P3" i="28"/>
  <c r="R3" i="28"/>
  <c r="S3" i="28"/>
  <c r="T3" i="28"/>
  <c r="U3" i="28"/>
  <c r="W3" i="28"/>
  <c r="X3" i="28"/>
  <c r="Y3" i="28"/>
  <c r="C3" i="28"/>
  <c r="Z51" i="28"/>
  <c r="Z33" i="28"/>
  <c r="Z20" i="28"/>
  <c r="Z13" i="28"/>
  <c r="Z2" i="28"/>
  <c r="Z10" i="28" s="1"/>
  <c r="Z12" i="28" s="1"/>
  <c r="Z26" i="28" s="1"/>
  <c r="Z29" i="28" s="1"/>
  <c r="P2" i="29"/>
  <c r="P38" i="29"/>
  <c r="P32" i="29"/>
  <c r="P21" i="29"/>
  <c r="P20" i="29"/>
  <c r="P10" i="29"/>
  <c r="BW68" i="4" l="1"/>
  <c r="CK7" i="12"/>
  <c r="CK12" i="12"/>
  <c r="CK16" i="12" s="1"/>
  <c r="Q2" i="30"/>
  <c r="Q49" i="30" s="1"/>
  <c r="Q18" i="29"/>
  <c r="AB26" i="28"/>
  <c r="AB29" i="28" s="1"/>
  <c r="AB31" i="28" s="1"/>
  <c r="AB52" i="28" s="1"/>
  <c r="AB72" i="28" s="1"/>
  <c r="AB73" i="28" s="1"/>
  <c r="CH31" i="6"/>
  <c r="CH36" i="6" s="1"/>
  <c r="CH40" i="6" s="1"/>
  <c r="P47" i="29"/>
  <c r="AA26" i="28"/>
  <c r="AA29" i="28" s="1"/>
  <c r="AA31" i="28" s="1"/>
  <c r="AA52" i="28" s="1"/>
  <c r="AA72" i="28" s="1"/>
  <c r="AA73" i="28" s="1"/>
  <c r="Z31" i="28"/>
  <c r="Z52" i="28" s="1"/>
  <c r="Z72" i="28" s="1"/>
  <c r="Z73" i="28" s="1"/>
  <c r="Z34" i="28"/>
  <c r="Z48" i="28" s="1"/>
  <c r="Z49" i="28"/>
  <c r="AB34" i="28" l="1"/>
  <c r="AB48" i="28" s="1"/>
  <c r="AB49" i="28" s="1"/>
  <c r="AA34" i="28"/>
  <c r="AA48" i="28" s="1"/>
  <c r="AA49" i="28" s="1"/>
  <c r="AE48" i="3" l="1"/>
  <c r="P37" i="30"/>
  <c r="P29" i="30"/>
  <c r="P19" i="30"/>
  <c r="P3" i="30"/>
  <c r="P2" i="30" s="1"/>
  <c r="P49" i="30" s="1"/>
  <c r="D116" i="32"/>
  <c r="E116" i="32"/>
  <c r="F116" i="32"/>
  <c r="G116" i="32"/>
  <c r="H116" i="32"/>
  <c r="I116" i="32"/>
  <c r="J116" i="32"/>
  <c r="K116" i="32"/>
  <c r="L116" i="32"/>
  <c r="M116" i="32"/>
  <c r="N116" i="32"/>
  <c r="O116" i="32"/>
  <c r="P116" i="32"/>
  <c r="Q116" i="32"/>
  <c r="R116" i="32"/>
  <c r="S116" i="32"/>
  <c r="T116" i="32"/>
  <c r="U116" i="32"/>
  <c r="V116" i="32"/>
  <c r="W116" i="32"/>
  <c r="X116" i="32"/>
  <c r="Y116" i="32"/>
  <c r="Z116" i="32"/>
  <c r="AA116" i="32"/>
  <c r="AB116" i="32"/>
  <c r="AC116" i="32"/>
  <c r="AD116" i="32"/>
  <c r="AE116" i="32"/>
  <c r="AF116" i="32"/>
  <c r="AG116" i="32"/>
  <c r="AH116" i="32"/>
  <c r="AI116" i="32"/>
  <c r="AJ116" i="32"/>
  <c r="AK116" i="32"/>
  <c r="AL116" i="32"/>
  <c r="AM116" i="32"/>
  <c r="AN116" i="32"/>
  <c r="AO116" i="32"/>
  <c r="AP116" i="32"/>
  <c r="AQ116" i="32"/>
  <c r="AR116" i="32"/>
  <c r="AS116" i="32"/>
  <c r="AT116" i="32"/>
  <c r="AU116" i="32"/>
  <c r="AV116" i="32"/>
  <c r="AW116" i="32"/>
  <c r="AX116" i="32"/>
  <c r="AY116" i="32"/>
  <c r="AZ116" i="32"/>
  <c r="BA116" i="32"/>
  <c r="BB116" i="32"/>
  <c r="BC116" i="32"/>
  <c r="BD116" i="32"/>
  <c r="BE116" i="32"/>
  <c r="BF116" i="32"/>
  <c r="BG116" i="32"/>
  <c r="BH116" i="32"/>
  <c r="BI116" i="32"/>
  <c r="BJ116" i="32"/>
  <c r="BJ117" i="32"/>
  <c r="D117" i="32"/>
  <c r="E117" i="32"/>
  <c r="F117" i="32"/>
  <c r="G117" i="32"/>
  <c r="H117" i="32"/>
  <c r="I117" i="32"/>
  <c r="J117" i="32"/>
  <c r="K117" i="32"/>
  <c r="L117" i="32"/>
  <c r="M117" i="32"/>
  <c r="N117" i="32"/>
  <c r="O117" i="32"/>
  <c r="P117" i="32"/>
  <c r="Q117" i="32"/>
  <c r="R117" i="32"/>
  <c r="S117" i="32"/>
  <c r="T117" i="32"/>
  <c r="U117" i="32"/>
  <c r="V117" i="32"/>
  <c r="W117" i="32"/>
  <c r="X117" i="32"/>
  <c r="Y117" i="32"/>
  <c r="Z117" i="32"/>
  <c r="AA117" i="32"/>
  <c r="AB117" i="32"/>
  <c r="AC117" i="32"/>
  <c r="AD117" i="32"/>
  <c r="AE117" i="32"/>
  <c r="AF117" i="32"/>
  <c r="AG117" i="32"/>
  <c r="AH117" i="32"/>
  <c r="AI117" i="32"/>
  <c r="AJ117" i="32"/>
  <c r="AK117" i="32"/>
  <c r="AL117" i="32"/>
  <c r="AM117" i="32"/>
  <c r="AN117" i="32"/>
  <c r="AO117" i="32"/>
  <c r="AP117" i="32"/>
  <c r="AQ117" i="32"/>
  <c r="AR117" i="32"/>
  <c r="AS117" i="32"/>
  <c r="AT117" i="32"/>
  <c r="AU117" i="32"/>
  <c r="AV117" i="32"/>
  <c r="AW117" i="32"/>
  <c r="AX117" i="32"/>
  <c r="AY117" i="32"/>
  <c r="AZ117" i="32"/>
  <c r="BA117" i="32"/>
  <c r="BB117" i="32"/>
  <c r="BC117" i="32"/>
  <c r="BD117" i="32"/>
  <c r="BE117" i="32"/>
  <c r="BF117" i="32"/>
  <c r="BG117" i="32"/>
  <c r="BH117" i="32"/>
  <c r="BI117" i="32"/>
  <c r="E114" i="32"/>
  <c r="F114" i="32"/>
  <c r="G114" i="32"/>
  <c r="H114" i="32"/>
  <c r="I114" i="32"/>
  <c r="J114" i="32"/>
  <c r="K114" i="32"/>
  <c r="L114" i="32"/>
  <c r="M114" i="32"/>
  <c r="N114" i="32"/>
  <c r="O114" i="32"/>
  <c r="P114" i="32"/>
  <c r="Q114" i="32"/>
  <c r="R114" i="32"/>
  <c r="S114" i="32"/>
  <c r="T114" i="32"/>
  <c r="U114" i="32"/>
  <c r="V114" i="32"/>
  <c r="W114" i="32"/>
  <c r="X114" i="32"/>
  <c r="Y114" i="32"/>
  <c r="Z114" i="32"/>
  <c r="AA114" i="32"/>
  <c r="AB114" i="32"/>
  <c r="AC114" i="32"/>
  <c r="AD114" i="32"/>
  <c r="AE114" i="32"/>
  <c r="AF114" i="32"/>
  <c r="AG114" i="32"/>
  <c r="AH114" i="32"/>
  <c r="AI114" i="32"/>
  <c r="AJ114" i="32"/>
  <c r="AK114" i="32"/>
  <c r="AL114" i="32"/>
  <c r="AM114" i="32"/>
  <c r="AN114" i="32"/>
  <c r="AO114" i="32"/>
  <c r="AP114" i="32"/>
  <c r="AQ114" i="32"/>
  <c r="AR114" i="32"/>
  <c r="AS114" i="32"/>
  <c r="AT114" i="32"/>
  <c r="AU114" i="32"/>
  <c r="AV114" i="32"/>
  <c r="AW114" i="32"/>
  <c r="AX114" i="32"/>
  <c r="AY114" i="32"/>
  <c r="AZ114" i="32"/>
  <c r="BA114" i="32"/>
  <c r="BB114" i="32"/>
  <c r="BC114" i="32"/>
  <c r="BD114" i="32"/>
  <c r="BE114" i="32"/>
  <c r="BF114" i="32"/>
  <c r="BG114" i="32"/>
  <c r="BH114" i="32"/>
  <c r="BI114" i="32"/>
  <c r="BJ114" i="32"/>
  <c r="D114" i="32"/>
  <c r="BJ118" i="32"/>
  <c r="CH26" i="12"/>
  <c r="CH22" i="12"/>
  <c r="H27" i="31"/>
  <c r="H36" i="31" s="1"/>
  <c r="G36" i="31"/>
  <c r="G27" i="31"/>
  <c r="H17" i="31"/>
  <c r="G22" i="31"/>
  <c r="H22" i="31"/>
  <c r="H25" i="31"/>
  <c r="G34" i="31"/>
  <c r="H34" i="31"/>
  <c r="AI91" i="15"/>
  <c r="H91" i="15"/>
  <c r="I91" i="15"/>
  <c r="J91" i="15"/>
  <c r="K91" i="15"/>
  <c r="L91" i="15"/>
  <c r="M91" i="15"/>
  <c r="N91" i="15"/>
  <c r="O91" i="15"/>
  <c r="R91" i="15"/>
  <c r="S91" i="15"/>
  <c r="T91" i="15"/>
  <c r="U91" i="15"/>
  <c r="V91" i="15"/>
  <c r="W91" i="15"/>
  <c r="X91" i="15"/>
  <c r="Y91" i="15"/>
  <c r="Z91" i="15"/>
  <c r="AA91" i="15"/>
  <c r="AB91" i="15"/>
  <c r="AC91" i="15"/>
  <c r="AD91" i="15"/>
  <c r="AE91" i="15"/>
  <c r="AF91" i="15"/>
  <c r="AG91" i="15"/>
  <c r="AH91" i="15"/>
  <c r="CG22" i="12"/>
  <c r="CG8" i="12"/>
  <c r="CG9" i="12"/>
  <c r="CG13" i="12"/>
  <c r="CG26" i="12"/>
  <c r="CG37" i="12"/>
  <c r="BI118" i="32"/>
  <c r="B37" i="30" l="1"/>
  <c r="C37" i="30"/>
  <c r="D37" i="30"/>
  <c r="E37" i="30"/>
  <c r="F37" i="30"/>
  <c r="G37" i="30"/>
  <c r="H37" i="30"/>
  <c r="I37" i="30"/>
  <c r="J37" i="30"/>
  <c r="K37" i="30"/>
  <c r="L37" i="30"/>
  <c r="M37" i="30"/>
  <c r="N37" i="30"/>
  <c r="O37" i="30"/>
  <c r="O49" i="30" s="1"/>
  <c r="O29" i="30"/>
  <c r="O19" i="30"/>
  <c r="O3" i="30"/>
  <c r="AC61" i="3"/>
  <c r="AA61" i="3"/>
  <c r="Y61" i="3"/>
  <c r="W61" i="3"/>
  <c r="U61" i="3"/>
  <c r="S61" i="3"/>
  <c r="Q61" i="3"/>
  <c r="O61" i="3"/>
  <c r="M61" i="3"/>
  <c r="K61" i="3"/>
  <c r="I61" i="3"/>
  <c r="G61" i="3"/>
  <c r="E61" i="3"/>
  <c r="C61" i="3"/>
  <c r="O10" i="29"/>
  <c r="O38" i="29"/>
  <c r="O32" i="29"/>
  <c r="O21" i="29"/>
  <c r="O20" i="29"/>
  <c r="O2" i="29"/>
  <c r="BT46" i="4"/>
  <c r="BT68" i="4" s="1"/>
  <c r="BT66" i="4"/>
  <c r="BT54" i="4"/>
  <c r="BS46" i="4"/>
  <c r="BT26" i="4"/>
  <c r="BT28" i="4" s="1"/>
  <c r="BT13" i="4"/>
  <c r="Y2" i="28"/>
  <c r="Y7" i="28"/>
  <c r="Y13" i="28"/>
  <c r="Y20" i="28"/>
  <c r="CG5" i="6"/>
  <c r="CF5" i="6"/>
  <c r="CG7" i="12" l="1"/>
  <c r="CG15" i="6"/>
  <c r="CG12" i="12" s="1"/>
  <c r="CG16" i="12" s="1"/>
  <c r="O2" i="30"/>
  <c r="O47" i="29"/>
  <c r="O18" i="29"/>
  <c r="Y10" i="28"/>
  <c r="CF8" i="12"/>
  <c r="CF37" i="12"/>
  <c r="CF26" i="12"/>
  <c r="CF22" i="12"/>
  <c r="CF13" i="12"/>
  <c r="CF9" i="12"/>
  <c r="BH118" i="32"/>
  <c r="CG19" i="6" l="1"/>
  <c r="CG31" i="6" s="1"/>
  <c r="CG36" i="6" s="1"/>
  <c r="CG40" i="6" s="1"/>
  <c r="CG17" i="12" s="1"/>
  <c r="Y12" i="28"/>
  <c r="Y26" i="28" s="1"/>
  <c r="Y29" i="28" s="1"/>
  <c r="N29" i="30"/>
  <c r="N19" i="30"/>
  <c r="N3" i="30"/>
  <c r="Y31" i="28" l="1"/>
  <c r="Y52" i="28" s="1"/>
  <c r="Y72" i="28" s="1"/>
  <c r="Y73" i="28" s="1"/>
  <c r="Y34" i="28"/>
  <c r="Y48" i="28" s="1"/>
  <c r="Y49" i="28" s="1"/>
  <c r="N2" i="30"/>
  <c r="N49" i="30" s="1"/>
  <c r="N38" i="29" l="1"/>
  <c r="N32" i="29"/>
  <c r="N21" i="29"/>
  <c r="N20" i="29"/>
  <c r="N10" i="29"/>
  <c r="N2" i="29"/>
  <c r="BS66" i="4"/>
  <c r="BS54" i="4"/>
  <c r="BS31" i="4"/>
  <c r="BS26" i="4"/>
  <c r="BS18" i="4"/>
  <c r="BS13" i="4"/>
  <c r="X71" i="28"/>
  <c r="X70" i="28"/>
  <c r="X69" i="28"/>
  <c r="X68" i="28"/>
  <c r="X57" i="28"/>
  <c r="X56" i="28"/>
  <c r="X55" i="28"/>
  <c r="X51" i="28"/>
  <c r="X41" i="28"/>
  <c r="X65" i="28" s="1"/>
  <c r="X39" i="28"/>
  <c r="X38" i="28"/>
  <c r="X37" i="28"/>
  <c r="X36" i="28"/>
  <c r="X35" i="28"/>
  <c r="X53" i="28" s="1"/>
  <c r="X33" i="28"/>
  <c r="X20" i="28"/>
  <c r="X40" i="28" s="1"/>
  <c r="X13" i="28"/>
  <c r="X7" i="28"/>
  <c r="X2" i="28"/>
  <c r="X10" i="28" s="1"/>
  <c r="L62" i="28"/>
  <c r="CE37" i="12"/>
  <c r="CE26" i="12"/>
  <c r="CE22" i="12"/>
  <c r="CE13" i="12"/>
  <c r="CE9" i="12"/>
  <c r="CE8" i="12"/>
  <c r="D118" i="32"/>
  <c r="E118" i="32"/>
  <c r="F118" i="32"/>
  <c r="G118" i="32"/>
  <c r="H118" i="32"/>
  <c r="I118" i="32"/>
  <c r="J118" i="32"/>
  <c r="K118" i="32"/>
  <c r="L118" i="32"/>
  <c r="M118" i="32"/>
  <c r="N118" i="32"/>
  <c r="O118" i="32"/>
  <c r="P118" i="32"/>
  <c r="Q118" i="32"/>
  <c r="R118" i="32"/>
  <c r="S118" i="32"/>
  <c r="T118" i="32"/>
  <c r="U118" i="32"/>
  <c r="V118" i="32"/>
  <c r="W118" i="32"/>
  <c r="X118" i="32"/>
  <c r="Y118" i="32"/>
  <c r="Z118" i="32"/>
  <c r="AA118" i="32"/>
  <c r="AB118" i="32"/>
  <c r="AC118" i="32"/>
  <c r="AD118" i="32"/>
  <c r="AE118" i="32"/>
  <c r="AF118" i="32"/>
  <c r="AG118" i="32"/>
  <c r="AH118" i="32"/>
  <c r="AI118" i="32"/>
  <c r="AJ118" i="32"/>
  <c r="AK118" i="32"/>
  <c r="AL118" i="32"/>
  <c r="AM118" i="32"/>
  <c r="AN118" i="32"/>
  <c r="AO118" i="32"/>
  <c r="AP118" i="32"/>
  <c r="AQ118" i="32"/>
  <c r="AR118" i="32"/>
  <c r="AS118" i="32"/>
  <c r="AT118" i="32"/>
  <c r="AU118" i="32"/>
  <c r="AV118" i="32"/>
  <c r="AW118" i="32"/>
  <c r="AX118" i="32"/>
  <c r="AY118" i="32"/>
  <c r="AZ118" i="32"/>
  <c r="BA118" i="32"/>
  <c r="BB118" i="32"/>
  <c r="BC118" i="32"/>
  <c r="BD118" i="32"/>
  <c r="BE118" i="32"/>
  <c r="BF118" i="32"/>
  <c r="BG118" i="32"/>
  <c r="M29" i="30"/>
  <c r="M19" i="30"/>
  <c r="M3" i="30"/>
  <c r="AC68" i="3"/>
  <c r="AB68" i="3"/>
  <c r="AC48" i="3"/>
  <c r="AB37" i="3"/>
  <c r="AB63" i="3" s="1"/>
  <c r="AC63" i="3" l="1"/>
  <c r="X12" i="28"/>
  <c r="M2" i="30"/>
  <c r="M49" i="30" s="1"/>
  <c r="CF15" i="6"/>
  <c r="CF7" i="12"/>
  <c r="N47" i="29"/>
  <c r="N18" i="29"/>
  <c r="BS68" i="4"/>
  <c r="BS28" i="4"/>
  <c r="M38" i="29"/>
  <c r="M32" i="29"/>
  <c r="M21" i="29"/>
  <c r="M20" i="29"/>
  <c r="M10" i="29"/>
  <c r="M2" i="29"/>
  <c r="X26" i="28" l="1"/>
  <c r="X29" i="28" s="1"/>
  <c r="CF19" i="6"/>
  <c r="CF31" i="6" s="1"/>
  <c r="CF36" i="6" s="1"/>
  <c r="CF40" i="6" s="1"/>
  <c r="CF17" i="12" s="1"/>
  <c r="CF12" i="12"/>
  <c r="M47" i="29"/>
  <c r="M18" i="29"/>
  <c r="X34" i="28" l="1"/>
  <c r="X48" i="28" s="1"/>
  <c r="X49" i="28" s="1"/>
  <c r="X31" i="28"/>
  <c r="X52" i="28" s="1"/>
  <c r="X72" i="28" s="1"/>
  <c r="X73" i="28" s="1"/>
  <c r="CF15" i="12"/>
  <c r="CF16" i="12" s="1"/>
  <c r="BR26" i="4"/>
  <c r="BR18" i="4"/>
  <c r="BR13" i="4"/>
  <c r="BR66" i="4"/>
  <c r="BR54" i="4"/>
  <c r="BR46" i="4"/>
  <c r="BR31" i="4"/>
  <c r="W71" i="28"/>
  <c r="W70" i="28"/>
  <c r="W69" i="28"/>
  <c r="W68" i="28"/>
  <c r="W57" i="28"/>
  <c r="W56" i="28"/>
  <c r="W55" i="28"/>
  <c r="W51" i="28"/>
  <c r="W41" i="28"/>
  <c r="W65" i="28" s="1"/>
  <c r="W39" i="28"/>
  <c r="W38" i="28"/>
  <c r="W37" i="28"/>
  <c r="W36" i="28"/>
  <c r="W35" i="28"/>
  <c r="W53" i="28" s="1"/>
  <c r="W33" i="28"/>
  <c r="W20" i="28"/>
  <c r="W40" i="28" s="1"/>
  <c r="W13" i="28"/>
  <c r="W7" i="28"/>
  <c r="W2" i="28"/>
  <c r="BR68" i="4" l="1"/>
  <c r="BR28" i="4"/>
  <c r="W10" i="28"/>
  <c r="W12" i="28" s="1"/>
  <c r="W26" i="28" l="1"/>
  <c r="W29" i="28" s="1"/>
  <c r="W31" i="28" l="1"/>
  <c r="W52" i="28" s="1"/>
  <c r="W72" i="28" s="1"/>
  <c r="W73" i="28" s="1"/>
  <c r="W34" i="28"/>
  <c r="W48" i="28" s="1"/>
  <c r="W49" i="28"/>
  <c r="CE15" i="12"/>
  <c r="CE5" i="6"/>
  <c r="CE15" i="6" l="1"/>
  <c r="CE7" i="12"/>
  <c r="CC37" i="12"/>
  <c r="CC26" i="12"/>
  <c r="CC22" i="12"/>
  <c r="CB37" i="12"/>
  <c r="CB26" i="12"/>
  <c r="CB22" i="12"/>
  <c r="CB13" i="12"/>
  <c r="CB9" i="12"/>
  <c r="CB8" i="12"/>
  <c r="CE19" i="6" l="1"/>
  <c r="CE31" i="6" s="1"/>
  <c r="CE36" i="6" s="1"/>
  <c r="CE40" i="6" s="1"/>
  <c r="CE17" i="12" s="1"/>
  <c r="CE12" i="12"/>
  <c r="CE16" i="12" s="1"/>
  <c r="L29" i="30"/>
  <c r="L19" i="30"/>
  <c r="L3" i="30"/>
  <c r="L2" i="30" s="1"/>
  <c r="K29" i="30"/>
  <c r="J29" i="30"/>
  <c r="I29" i="30"/>
  <c r="H29" i="30"/>
  <c r="G29" i="30"/>
  <c r="F29" i="30"/>
  <c r="E29" i="30"/>
  <c r="D29" i="30"/>
  <c r="C29" i="30"/>
  <c r="B29" i="30"/>
  <c r="AA48" i="3"/>
  <c r="Y48" i="3"/>
  <c r="W48" i="3"/>
  <c r="U48" i="3"/>
  <c r="S48" i="3"/>
  <c r="Q48" i="3"/>
  <c r="O48" i="3"/>
  <c r="M48" i="3"/>
  <c r="I48" i="3"/>
  <c r="G48" i="3"/>
  <c r="E48" i="3"/>
  <c r="C48" i="3"/>
  <c r="L49" i="30" l="1"/>
  <c r="L38" i="29"/>
  <c r="L32" i="29"/>
  <c r="L21" i="29"/>
  <c r="L47" i="29" s="1"/>
  <c r="L20" i="29"/>
  <c r="L10" i="29"/>
  <c r="L2" i="29"/>
  <c r="BP54" i="4"/>
  <c r="BP26" i="4"/>
  <c r="BP13" i="4"/>
  <c r="BP66" i="4"/>
  <c r="BP46" i="4"/>
  <c r="BP31" i="4"/>
  <c r="BP18" i="4"/>
  <c r="V51" i="28"/>
  <c r="V33" i="28"/>
  <c r="V67" i="28"/>
  <c r="V66" i="28"/>
  <c r="V64" i="28"/>
  <c r="V63" i="28"/>
  <c r="V62" i="28"/>
  <c r="V61" i="28"/>
  <c r="V60" i="28"/>
  <c r="V59" i="28"/>
  <c r="V58" i="28"/>
  <c r="V54" i="28"/>
  <c r="V47" i="28"/>
  <c r="V46" i="28"/>
  <c r="V45" i="28"/>
  <c r="V44" i="28"/>
  <c r="V43" i="28"/>
  <c r="V42" i="28"/>
  <c r="V28" i="28"/>
  <c r="V27" i="28"/>
  <c r="V25" i="28"/>
  <c r="V24" i="28"/>
  <c r="V23" i="28"/>
  <c r="V22" i="28"/>
  <c r="V21" i="28"/>
  <c r="V20" i="28" s="1"/>
  <c r="V19" i="28"/>
  <c r="V18" i="28"/>
  <c r="V17" i="28"/>
  <c r="V16" i="28"/>
  <c r="V15" i="28"/>
  <c r="V14" i="28"/>
  <c r="V9" i="28"/>
  <c r="V8" i="28"/>
  <c r="V7" i="28" s="1"/>
  <c r="V6" i="28"/>
  <c r="V5" i="28"/>
  <c r="V3" i="28"/>
  <c r="V2" i="28" s="1"/>
  <c r="U68" i="28"/>
  <c r="T68" i="28"/>
  <c r="U71" i="28"/>
  <c r="U70" i="28"/>
  <c r="U69" i="28"/>
  <c r="U57" i="28"/>
  <c r="U56" i="28"/>
  <c r="U55" i="28"/>
  <c r="U51" i="28"/>
  <c r="U41" i="28"/>
  <c r="U65" i="28" s="1"/>
  <c r="U39" i="28"/>
  <c r="U38" i="28"/>
  <c r="U37" i="28"/>
  <c r="U36" i="28"/>
  <c r="U35" i="28"/>
  <c r="U53" i="28" s="1"/>
  <c r="U33" i="28"/>
  <c r="U20" i="28"/>
  <c r="U40" i="28" s="1"/>
  <c r="U13" i="28"/>
  <c r="U7" i="28"/>
  <c r="U2" i="28"/>
  <c r="CC34" i="6"/>
  <c r="CC33" i="6"/>
  <c r="CC30" i="6"/>
  <c r="CC29" i="6"/>
  <c r="CC28" i="6"/>
  <c r="CC27" i="6"/>
  <c r="CC26" i="6"/>
  <c r="CC25" i="6"/>
  <c r="CC24" i="6"/>
  <c r="CC23" i="6"/>
  <c r="CC22" i="6"/>
  <c r="CC13" i="6"/>
  <c r="CC12" i="6"/>
  <c r="CC8" i="6"/>
  <c r="CC9" i="12" s="1"/>
  <c r="CC6" i="6"/>
  <c r="CC8" i="12" l="1"/>
  <c r="CC5" i="6"/>
  <c r="L18" i="29"/>
  <c r="V10" i="28"/>
  <c r="V12" i="28" s="1"/>
  <c r="V13" i="28"/>
  <c r="CC13" i="12"/>
  <c r="BP68" i="4"/>
  <c r="BP28" i="4"/>
  <c r="U10" i="28"/>
  <c r="U12" i="28" s="1"/>
  <c r="U26" i="28" s="1"/>
  <c r="U29" i="28" s="1"/>
  <c r="V26" i="28" l="1"/>
  <c r="V29" i="28" s="1"/>
  <c r="U31" i="28"/>
  <c r="U52" i="28" s="1"/>
  <c r="U72" i="28" s="1"/>
  <c r="U73" i="28" s="1"/>
  <c r="U34" i="28"/>
  <c r="U48" i="28" s="1"/>
  <c r="V31" i="28" l="1"/>
  <c r="V52" i="28" s="1"/>
  <c r="V34" i="28"/>
  <c r="U49" i="28"/>
  <c r="CB15" i="12"/>
  <c r="CB5" i="6"/>
  <c r="CB15" i="6" s="1"/>
  <c r="CB7" i="12" l="1"/>
  <c r="CC15" i="6"/>
  <c r="CC7" i="12"/>
  <c r="CC19" i="6" l="1"/>
  <c r="CC31" i="6" s="1"/>
  <c r="CC36" i="6" s="1"/>
  <c r="CC40" i="6" s="1"/>
  <c r="CC17" i="12" s="1"/>
  <c r="CC12" i="12"/>
  <c r="CB19" i="6"/>
  <c r="CB31" i="6" s="1"/>
  <c r="CB36" i="6" s="1"/>
  <c r="CB40" i="6" s="1"/>
  <c r="CB17" i="12" s="1"/>
  <c r="CB12" i="12"/>
  <c r="CB16" i="12" s="1"/>
  <c r="CA37" i="12"/>
  <c r="CA26" i="12"/>
  <c r="CA22" i="12"/>
  <c r="CA13" i="12"/>
  <c r="CA9" i="12"/>
  <c r="CA8" i="12"/>
  <c r="K19" i="30" l="1"/>
  <c r="K3" i="30"/>
  <c r="K2" i="30" l="1"/>
  <c r="K49" i="30" s="1"/>
  <c r="K38" i="29" l="1"/>
  <c r="K32" i="29"/>
  <c r="K21" i="29"/>
  <c r="K20" i="29"/>
  <c r="K10" i="29"/>
  <c r="K2" i="29"/>
  <c r="K47" i="29" l="1"/>
  <c r="K18" i="29"/>
  <c r="BO54" i="4" l="1"/>
  <c r="BO26" i="4"/>
  <c r="BO13" i="4"/>
  <c r="BO66" i="4"/>
  <c r="BO46" i="4"/>
  <c r="BO31" i="4"/>
  <c r="BO18" i="4"/>
  <c r="T71" i="28"/>
  <c r="T70" i="28"/>
  <c r="T69" i="28"/>
  <c r="T57" i="28"/>
  <c r="T56" i="28"/>
  <c r="T55" i="28"/>
  <c r="T51" i="28"/>
  <c r="T41" i="28"/>
  <c r="T65" i="28" s="1"/>
  <c r="T39" i="28"/>
  <c r="T38" i="28"/>
  <c r="T37" i="28"/>
  <c r="T36" i="28"/>
  <c r="T35" i="28"/>
  <c r="T53" i="28" s="1"/>
  <c r="T33" i="28"/>
  <c r="T20" i="28"/>
  <c r="T40" i="28" s="1"/>
  <c r="T13" i="28"/>
  <c r="T7" i="28"/>
  <c r="T2" i="28"/>
  <c r="CA5" i="6"/>
  <c r="CA15" i="6" l="1"/>
  <c r="CA7" i="12"/>
  <c r="T10" i="28"/>
  <c r="T12" i="28" s="1"/>
  <c r="T26" i="28" s="1"/>
  <c r="T29" i="28" s="1"/>
  <c r="T34" i="28" s="1"/>
  <c r="T48" i="28" s="1"/>
  <c r="BO68" i="4"/>
  <c r="BO28" i="4"/>
  <c r="CA19" i="6" l="1"/>
  <c r="CA31" i="6" s="1"/>
  <c r="CA36" i="6" s="1"/>
  <c r="CA40" i="6" s="1"/>
  <c r="CA17" i="12" s="1"/>
  <c r="CA12" i="12"/>
  <c r="T49" i="28"/>
  <c r="CA15" i="12"/>
  <c r="T31" i="28"/>
  <c r="T52" i="28" s="1"/>
  <c r="T72" i="28" s="1"/>
  <c r="T73" i="28" s="1"/>
  <c r="BZ37" i="12"/>
  <c r="BZ26" i="12"/>
  <c r="BZ22" i="12"/>
  <c r="BZ13" i="12"/>
  <c r="BZ9" i="12"/>
  <c r="BZ8" i="12"/>
  <c r="J19" i="30"/>
  <c r="J3" i="30"/>
  <c r="J2" i="30" s="1"/>
  <c r="CA16" i="12" l="1"/>
  <c r="J49" i="30"/>
  <c r="J38" i="29" l="1"/>
  <c r="J32" i="29"/>
  <c r="J21" i="29"/>
  <c r="J20" i="29"/>
  <c r="J10" i="29"/>
  <c r="J2" i="29"/>
  <c r="BN66" i="4"/>
  <c r="BN54" i="4"/>
  <c r="BN26" i="4"/>
  <c r="BN13" i="4"/>
  <c r="BN46" i="4"/>
  <c r="BN31" i="4"/>
  <c r="BN18" i="4"/>
  <c r="S71" i="28"/>
  <c r="S70" i="28"/>
  <c r="S69" i="28"/>
  <c r="S68" i="28"/>
  <c r="S57" i="28"/>
  <c r="S56" i="28"/>
  <c r="S55" i="28"/>
  <c r="S51" i="28"/>
  <c r="S41" i="28"/>
  <c r="S39" i="28"/>
  <c r="S38" i="28"/>
  <c r="S37" i="28"/>
  <c r="S36" i="28"/>
  <c r="S35" i="28"/>
  <c r="S33" i="28"/>
  <c r="S20" i="28"/>
  <c r="S40" i="28" s="1"/>
  <c r="S13" i="28"/>
  <c r="S7" i="28"/>
  <c r="S2" i="28"/>
  <c r="D41" i="28"/>
  <c r="D39" i="28"/>
  <c r="D38" i="28"/>
  <c r="D37" i="28"/>
  <c r="D36" i="28"/>
  <c r="C35" i="28"/>
  <c r="D35" i="28"/>
  <c r="S65" i="28" l="1"/>
  <c r="S53" i="28"/>
  <c r="J47" i="29"/>
  <c r="J18" i="29"/>
  <c r="BN68" i="4"/>
  <c r="BN28" i="4"/>
  <c r="S10" i="28"/>
  <c r="S12" i="28" s="1"/>
  <c r="S26" i="28" s="1"/>
  <c r="S29" i="28" s="1"/>
  <c r="S34" i="28" s="1"/>
  <c r="S48" i="28" s="1"/>
  <c r="S49" i="28" l="1"/>
  <c r="BZ15" i="12"/>
  <c r="S31" i="28"/>
  <c r="S52" i="28" s="1"/>
  <c r="S72" i="28" s="1"/>
  <c r="S73" i="28" s="1"/>
  <c r="C71" i="28"/>
  <c r="C70" i="28"/>
  <c r="C69" i="28"/>
  <c r="C68" i="28"/>
  <c r="C65" i="28"/>
  <c r="C57" i="28"/>
  <c r="C56" i="28"/>
  <c r="C55" i="28"/>
  <c r="D71" i="28"/>
  <c r="D70" i="28"/>
  <c r="D69" i="28"/>
  <c r="D68" i="28"/>
  <c r="D65" i="28"/>
  <c r="D57" i="28"/>
  <c r="D56" i="28"/>
  <c r="D55" i="28"/>
  <c r="C53" i="28"/>
  <c r="D53" i="28"/>
  <c r="D51" i="28"/>
  <c r="C51" i="28"/>
  <c r="D33" i="28"/>
  <c r="C33" i="28"/>
  <c r="C20" i="28"/>
  <c r="D20" i="28"/>
  <c r="D40" i="28" s="1"/>
  <c r="C13" i="28"/>
  <c r="D13" i="28"/>
  <c r="C7" i="28"/>
  <c r="D7" i="28"/>
  <c r="C2" i="28"/>
  <c r="C10" i="28" s="1"/>
  <c r="C12" i="28" s="1"/>
  <c r="C26" i="28" s="1"/>
  <c r="C29" i="28" s="1"/>
  <c r="D2" i="28"/>
  <c r="C31" i="28" l="1"/>
  <c r="C52" i="28" s="1"/>
  <c r="C34" i="28"/>
  <c r="C48" i="28" s="1"/>
  <c r="C49" i="28" s="1"/>
  <c r="C72" i="28"/>
  <c r="C73" i="28" s="1"/>
  <c r="D10" i="28"/>
  <c r="D12" i="28" s="1"/>
  <c r="D26" i="28" s="1"/>
  <c r="D29" i="28" s="1"/>
  <c r="D34" i="28" s="1"/>
  <c r="D48" i="28" s="1"/>
  <c r="D49" i="28" s="1"/>
  <c r="BZ5" i="6"/>
  <c r="BZ15" i="6" l="1"/>
  <c r="BZ7" i="12"/>
  <c r="D31" i="28"/>
  <c r="D52" i="28" s="1"/>
  <c r="BZ19" i="6" l="1"/>
  <c r="BZ31" i="6" s="1"/>
  <c r="BZ36" i="6" s="1"/>
  <c r="BZ40" i="6" s="1"/>
  <c r="BZ17" i="12" s="1"/>
  <c r="BZ12" i="12"/>
  <c r="BZ16" i="12" s="1"/>
  <c r="D72" i="28"/>
  <c r="D73" i="28" s="1"/>
  <c r="BY37" i="12"/>
  <c r="BY26" i="12"/>
  <c r="BY22" i="12"/>
  <c r="BY13" i="12"/>
  <c r="BY9" i="12"/>
  <c r="BY8" i="12"/>
  <c r="I19" i="30"/>
  <c r="I3" i="30"/>
  <c r="I2" i="30" s="1"/>
  <c r="AD68" i="3"/>
  <c r="AD37" i="3"/>
  <c r="I20" i="29"/>
  <c r="I38" i="29"/>
  <c r="I32" i="29"/>
  <c r="I21" i="29"/>
  <c r="I10" i="29"/>
  <c r="I18" i="29" s="1"/>
  <c r="I2" i="29"/>
  <c r="BM66" i="4"/>
  <c r="BM54" i="4"/>
  <c r="BM46" i="4"/>
  <c r="BM31" i="4"/>
  <c r="BM26" i="4"/>
  <c r="BM18" i="4"/>
  <c r="BM13" i="4"/>
  <c r="R51" i="28"/>
  <c r="R33" i="28"/>
  <c r="R71" i="28"/>
  <c r="V71" i="28" s="1"/>
  <c r="R70" i="28"/>
  <c r="V70" i="28" s="1"/>
  <c r="R69" i="28"/>
  <c r="V69" i="28" s="1"/>
  <c r="R68" i="28"/>
  <c r="V68" i="28" s="1"/>
  <c r="R57" i="28"/>
  <c r="V57" i="28" s="1"/>
  <c r="R56" i="28"/>
  <c r="V56" i="28" s="1"/>
  <c r="R55" i="28"/>
  <c r="V55" i="28" s="1"/>
  <c r="R41" i="28"/>
  <c r="R39" i="28"/>
  <c r="V39" i="28" s="1"/>
  <c r="R38" i="28"/>
  <c r="V38" i="28" s="1"/>
  <c r="R37" i="28"/>
  <c r="V37" i="28" s="1"/>
  <c r="R36" i="28"/>
  <c r="V36" i="28" s="1"/>
  <c r="R35" i="28"/>
  <c r="R20" i="28"/>
  <c r="R40" i="28" s="1"/>
  <c r="V40" i="28" s="1"/>
  <c r="R13" i="28"/>
  <c r="R7" i="28"/>
  <c r="R2" i="28"/>
  <c r="BY5" i="6"/>
  <c r="BY15" i="6" s="1"/>
  <c r="BY19" i="6" s="1"/>
  <c r="BY31" i="6" s="1"/>
  <c r="BY36" i="6" s="1"/>
  <c r="BY40" i="6" s="1"/>
  <c r="BY17" i="12" s="1"/>
  <c r="I47" i="29" l="1"/>
  <c r="R10" i="28"/>
  <c r="R12" i="28" s="1"/>
  <c r="R65" i="28"/>
  <c r="V65" i="28" s="1"/>
  <c r="V41" i="28"/>
  <c r="R53" i="28"/>
  <c r="V53" i="28" s="1"/>
  <c r="V35" i="28"/>
  <c r="BY7" i="12"/>
  <c r="BY12" i="12"/>
  <c r="I49" i="30"/>
  <c r="BM68" i="4"/>
  <c r="BM28" i="4"/>
  <c r="R26" i="28"/>
  <c r="R29" i="28" s="1"/>
  <c r="R34" i="28" s="1"/>
  <c r="R48" i="28" s="1"/>
  <c r="V72" i="28" l="1"/>
  <c r="V73" i="28" s="1"/>
  <c r="V48" i="28"/>
  <c r="V49" i="28" s="1"/>
  <c r="CC15" i="12"/>
  <c r="CC16" i="12" s="1"/>
  <c r="R49" i="28"/>
  <c r="BY15" i="12"/>
  <c r="BY16" i="12" s="1"/>
  <c r="R31" i="28"/>
  <c r="R52" i="28" s="1"/>
  <c r="R72" i="28" s="1"/>
  <c r="R73" i="28" s="1"/>
  <c r="BW26" i="12" l="1"/>
  <c r="BW22" i="12"/>
  <c r="BV22" i="12"/>
  <c r="BV8" i="12"/>
  <c r="BV9" i="12"/>
  <c r="BV13" i="12"/>
  <c r="BV26" i="12" l="1"/>
  <c r="H19" i="30" l="1"/>
  <c r="H3" i="30"/>
  <c r="H38" i="29"/>
  <c r="H32" i="29"/>
  <c r="H21" i="29"/>
  <c r="H10" i="29"/>
  <c r="H2" i="29"/>
  <c r="H18" i="29" s="1"/>
  <c r="BK66" i="4"/>
  <c r="BK54" i="4"/>
  <c r="BK46" i="4"/>
  <c r="BK18" i="4"/>
  <c r="BK13" i="4"/>
  <c r="Q67" i="28"/>
  <c r="Q66" i="28"/>
  <c r="Q64" i="28"/>
  <c r="Q63" i="28"/>
  <c r="Q62" i="28"/>
  <c r="Q61" i="28"/>
  <c r="Q60" i="28"/>
  <c r="Q59" i="28"/>
  <c r="Q58" i="28"/>
  <c r="Q54" i="28"/>
  <c r="P69" i="28"/>
  <c r="Q47" i="28"/>
  <c r="Q46" i="28"/>
  <c r="Q45" i="28"/>
  <c r="Q44" i="28"/>
  <c r="Q43" i="28"/>
  <c r="Q42" i="28"/>
  <c r="P41" i="28"/>
  <c r="P65" i="28" s="1"/>
  <c r="P39" i="28"/>
  <c r="P57" i="28" s="1"/>
  <c r="O39" i="28"/>
  <c r="P38" i="28"/>
  <c r="P56" i="28" s="1"/>
  <c r="P37" i="28"/>
  <c r="P55" i="28" s="1"/>
  <c r="P36" i="28"/>
  <c r="P35" i="28"/>
  <c r="P53" i="28" s="1"/>
  <c r="Q28" i="28"/>
  <c r="Q27" i="28"/>
  <c r="Q24" i="28"/>
  <c r="Q23" i="28"/>
  <c r="Q22" i="28"/>
  <c r="Q21" i="28"/>
  <c r="Q25" i="28"/>
  <c r="Q3" i="28"/>
  <c r="P20" i="28"/>
  <c r="P40" i="28" s="1"/>
  <c r="P13" i="28"/>
  <c r="P7" i="28"/>
  <c r="P2" i="28"/>
  <c r="BW34" i="6"/>
  <c r="BW33" i="6"/>
  <c r="BW30" i="6"/>
  <c r="BW29" i="6"/>
  <c r="BW28" i="6"/>
  <c r="BW27" i="6"/>
  <c r="BW26" i="6"/>
  <c r="BW25" i="6"/>
  <c r="BW24" i="6"/>
  <c r="BW23" i="6"/>
  <c r="BW22" i="6"/>
  <c r="BW13" i="6"/>
  <c r="BW12" i="6"/>
  <c r="BW10" i="6"/>
  <c r="BW9" i="6"/>
  <c r="BW8" i="6"/>
  <c r="BW9" i="12" s="1"/>
  <c r="BW7" i="6"/>
  <c r="BW6" i="6"/>
  <c r="BV5" i="6"/>
  <c r="H47" i="29" l="1"/>
  <c r="BW13" i="12"/>
  <c r="BK68" i="4"/>
  <c r="BV15" i="6"/>
  <c r="BV7" i="12"/>
  <c r="BW5" i="6"/>
  <c r="BW8" i="12"/>
  <c r="H2" i="30"/>
  <c r="H49" i="30" s="1"/>
  <c r="P10" i="28"/>
  <c r="P12" i="28" s="1"/>
  <c r="P26" i="28" s="1"/>
  <c r="P29" i="28" s="1"/>
  <c r="P31" i="28" s="1"/>
  <c r="P52" i="28" s="1"/>
  <c r="P72" i="28" s="1"/>
  <c r="P73" i="28" s="1"/>
  <c r="Q20" i="28"/>
  <c r="Q7" i="28"/>
  <c r="Q13" i="28"/>
  <c r="Q2" i="28"/>
  <c r="BW7" i="12" l="1"/>
  <c r="BW15" i="6"/>
  <c r="BV19" i="6"/>
  <c r="BV31" i="6" s="1"/>
  <c r="BV36" i="6" s="1"/>
  <c r="BV40" i="6" s="1"/>
  <c r="BV17" i="12" s="1"/>
  <c r="BV12" i="12"/>
  <c r="Q10" i="28"/>
  <c r="Q12" i="28" s="1"/>
  <c r="Q26" i="28" s="1"/>
  <c r="Q29" i="28" s="1"/>
  <c r="Q34" i="28" s="1"/>
  <c r="P34" i="28"/>
  <c r="P48" i="28" s="1"/>
  <c r="P49" i="28" s="1"/>
  <c r="BW12" i="12" l="1"/>
  <c r="BW19" i="6"/>
  <c r="BW31" i="6" s="1"/>
  <c r="BW36" i="6" s="1"/>
  <c r="BW40" i="6" s="1"/>
  <c r="BW17" i="12" s="1"/>
  <c r="Q31" i="28"/>
  <c r="Q52" i="28" s="1"/>
  <c r="BV15" i="12"/>
  <c r="BV16" i="12" s="1"/>
  <c r="BK26" i="4"/>
  <c r="BK28" i="4" s="1"/>
  <c r="BU26" i="12" l="1"/>
  <c r="BU22" i="12"/>
  <c r="BU13" i="12"/>
  <c r="BU9" i="12"/>
  <c r="BU8" i="12"/>
  <c r="G38" i="29" l="1"/>
  <c r="G32" i="29"/>
  <c r="G21" i="29"/>
  <c r="G20" i="29"/>
  <c r="G10" i="29"/>
  <c r="G2" i="29"/>
  <c r="BJ26" i="4"/>
  <c r="BJ13" i="4"/>
  <c r="BJ66" i="4"/>
  <c r="BJ54" i="4"/>
  <c r="BJ46" i="4"/>
  <c r="BJ31" i="4"/>
  <c r="BJ18" i="4"/>
  <c r="O51" i="28"/>
  <c r="O41" i="28"/>
  <c r="O38" i="28"/>
  <c r="O37" i="28"/>
  <c r="O36" i="28"/>
  <c r="O35" i="28"/>
  <c r="O33" i="28"/>
  <c r="O20" i="28"/>
  <c r="O40" i="28" s="1"/>
  <c r="O13" i="28"/>
  <c r="O7" i="28"/>
  <c r="O2" i="28"/>
  <c r="O10" i="28" l="1"/>
  <c r="O12" i="28" s="1"/>
  <c r="O26" i="28" s="1"/>
  <c r="O29" i="28" s="1"/>
  <c r="O31" i="28" s="1"/>
  <c r="O52" i="28" s="1"/>
  <c r="O72" i="28" s="1"/>
  <c r="O73" i="28" s="1"/>
  <c r="G47" i="29"/>
  <c r="G18" i="29"/>
  <c r="BJ68" i="4"/>
  <c r="BJ28" i="4"/>
  <c r="O34" i="28" l="1"/>
  <c r="O48" i="28" s="1"/>
  <c r="O49" i="28" s="1"/>
  <c r="BU5" i="6"/>
  <c r="BU15" i="12" l="1"/>
  <c r="BU15" i="6"/>
  <c r="BU7" i="12"/>
  <c r="BU19" i="6" l="1"/>
  <c r="BU31" i="6" s="1"/>
  <c r="BU36" i="6" s="1"/>
  <c r="BU40" i="6" s="1"/>
  <c r="BU17" i="12" s="1"/>
  <c r="BU12" i="12"/>
  <c r="BU16" i="12" s="1"/>
  <c r="BT26" i="12"/>
  <c r="BT22" i="12"/>
  <c r="BT13" i="12"/>
  <c r="BT9" i="12"/>
  <c r="BT8" i="12"/>
  <c r="G19" i="30" l="1"/>
  <c r="G3" i="30"/>
  <c r="G2" i="30" l="1"/>
  <c r="G49" i="30" s="1"/>
  <c r="F38" i="29" l="1"/>
  <c r="F32" i="29"/>
  <c r="F21" i="29"/>
  <c r="F47" i="29" s="1"/>
  <c r="F20" i="29"/>
  <c r="F10" i="29"/>
  <c r="F2" i="29"/>
  <c r="BI66" i="4"/>
  <c r="BI54" i="4"/>
  <c r="BI46" i="4"/>
  <c r="BI31" i="4"/>
  <c r="BI26" i="4"/>
  <c r="BI18" i="4"/>
  <c r="BI13" i="4"/>
  <c r="N71" i="28"/>
  <c r="N70" i="28"/>
  <c r="N69" i="28"/>
  <c r="N68" i="28"/>
  <c r="N57" i="28"/>
  <c r="N56" i="28"/>
  <c r="N55" i="28"/>
  <c r="N51" i="28"/>
  <c r="N41" i="28"/>
  <c r="N65" i="28" s="1"/>
  <c r="N39" i="28"/>
  <c r="N38" i="28"/>
  <c r="N37" i="28"/>
  <c r="N36" i="28"/>
  <c r="N35" i="28"/>
  <c r="N53" i="28" s="1"/>
  <c r="N33" i="28"/>
  <c r="N20" i="28"/>
  <c r="N40" i="28" s="1"/>
  <c r="N13" i="28"/>
  <c r="N7" i="28"/>
  <c r="N2" i="28"/>
  <c r="BT5" i="6"/>
  <c r="N10" i="28" l="1"/>
  <c r="N12" i="28" s="1"/>
  <c r="N26" i="28" s="1"/>
  <c r="N29" i="28" s="1"/>
  <c r="N34" i="28" s="1"/>
  <c r="N48" i="28" s="1"/>
  <c r="BI28" i="4"/>
  <c r="BI68" i="4"/>
  <c r="F18" i="29"/>
  <c r="BT15" i="6"/>
  <c r="BT7" i="12"/>
  <c r="N31" i="28" l="1"/>
  <c r="N52" i="28" s="1"/>
  <c r="N72" i="28" s="1"/>
  <c r="N73" i="28" s="1"/>
  <c r="BT19" i="6"/>
  <c r="BT31" i="6" s="1"/>
  <c r="BT36" i="6" s="1"/>
  <c r="BT40" i="6" s="1"/>
  <c r="BT17" i="12" s="1"/>
  <c r="BT12" i="12"/>
  <c r="N49" i="28"/>
  <c r="BT15" i="12"/>
  <c r="BT16" i="12" l="1"/>
  <c r="BS26" i="12"/>
  <c r="BS22" i="12"/>
  <c r="BS13" i="12"/>
  <c r="BS9" i="12"/>
  <c r="BS8" i="12"/>
  <c r="F19" i="30" l="1"/>
  <c r="F3" i="30" l="1"/>
  <c r="F2" i="30" s="1"/>
  <c r="F49" i="30" s="1"/>
  <c r="AA68" i="3"/>
  <c r="Z68" i="3"/>
  <c r="AA37" i="3"/>
  <c r="Z37" i="3"/>
  <c r="E38" i="29"/>
  <c r="E32" i="29"/>
  <c r="E21" i="29"/>
  <c r="E20" i="29"/>
  <c r="E10" i="29"/>
  <c r="E2" i="29"/>
  <c r="BH31" i="4"/>
  <c r="BH66" i="4"/>
  <c r="BH54" i="4"/>
  <c r="BH46" i="4"/>
  <c r="BH26" i="4"/>
  <c r="BH18" i="4"/>
  <c r="BH13" i="4"/>
  <c r="M57" i="28"/>
  <c r="Q57" i="28" s="1"/>
  <c r="M56" i="28"/>
  <c r="Q56" i="28" s="1"/>
  <c r="M55" i="28"/>
  <c r="Q55" i="28" s="1"/>
  <c r="M41" i="28"/>
  <c r="M39" i="28"/>
  <c r="Q39" i="28" s="1"/>
  <c r="M38" i="28"/>
  <c r="Q38" i="28" s="1"/>
  <c r="M37" i="28"/>
  <c r="Q37" i="28" s="1"/>
  <c r="M36" i="28"/>
  <c r="Q36" i="28" s="1"/>
  <c r="M35" i="28"/>
  <c r="M71" i="28"/>
  <c r="Q71" i="28" s="1"/>
  <c r="M70" i="28"/>
  <c r="Q70" i="28" s="1"/>
  <c r="M69" i="28"/>
  <c r="Q69" i="28" s="1"/>
  <c r="M68" i="28"/>
  <c r="Q68" i="28" s="1"/>
  <c r="M20" i="28"/>
  <c r="M13" i="28"/>
  <c r="M7" i="28"/>
  <c r="M2" i="28"/>
  <c r="BS5" i="6"/>
  <c r="E18" i="29" l="1"/>
  <c r="M40" i="28"/>
  <c r="Q40" i="28" s="1"/>
  <c r="M65" i="28"/>
  <c r="Q65" i="28" s="1"/>
  <c r="Q41" i="28"/>
  <c r="M53" i="28"/>
  <c r="Q53" i="28" s="1"/>
  <c r="Q35" i="28"/>
  <c r="E47" i="29"/>
  <c r="BS15" i="6"/>
  <c r="BS7" i="12"/>
  <c r="BH68" i="4"/>
  <c r="BH28" i="4"/>
  <c r="M10" i="28"/>
  <c r="M12" i="28" s="1"/>
  <c r="M26" i="28" s="1"/>
  <c r="M29" i="28" s="1"/>
  <c r="M34" i="28" s="1"/>
  <c r="M48" i="28" s="1"/>
  <c r="BP26" i="12"/>
  <c r="BQ26" i="12"/>
  <c r="BQ22" i="12"/>
  <c r="BP22" i="12"/>
  <c r="BP13" i="12"/>
  <c r="BP9" i="12"/>
  <c r="BP8" i="12"/>
  <c r="Q48" i="28" l="1"/>
  <c r="Q72" i="28"/>
  <c r="Q73" i="28" s="1"/>
  <c r="M49" i="28"/>
  <c r="BS15" i="12"/>
  <c r="BS19" i="6"/>
  <c r="BS31" i="6" s="1"/>
  <c r="BS36" i="6" s="1"/>
  <c r="BS40" i="6" s="1"/>
  <c r="BS17" i="12" s="1"/>
  <c r="BS12" i="12"/>
  <c r="M31" i="28"/>
  <c r="M52" i="28" s="1"/>
  <c r="M72" i="28" s="1"/>
  <c r="M73" i="28" s="1"/>
  <c r="BF66" i="4"/>
  <c r="BF54" i="4"/>
  <c r="BF46" i="4"/>
  <c r="BF26" i="4"/>
  <c r="BF18" i="4"/>
  <c r="BF13" i="4"/>
  <c r="L58" i="28"/>
  <c r="BQ34" i="6"/>
  <c r="BQ33" i="6"/>
  <c r="BQ30" i="6"/>
  <c r="BQ29" i="6"/>
  <c r="BQ28" i="6"/>
  <c r="BQ27" i="6"/>
  <c r="BQ26" i="6"/>
  <c r="BQ25" i="6"/>
  <c r="BQ24" i="6"/>
  <c r="BQ23" i="6"/>
  <c r="BQ22" i="6"/>
  <c r="BP5" i="6"/>
  <c r="BP15" i="6" s="1"/>
  <c r="BQ13" i="6"/>
  <c r="BQ12" i="6"/>
  <c r="BQ9" i="6"/>
  <c r="BQ8" i="6"/>
  <c r="BQ9" i="12" s="1"/>
  <c r="BQ7" i="6"/>
  <c r="BQ6" i="6"/>
  <c r="BQ8" i="12" s="1"/>
  <c r="Q49" i="28" l="1"/>
  <c r="BW15" i="12"/>
  <c r="BW16" i="12" s="1"/>
  <c r="BP19" i="6"/>
  <c r="BP31" i="6" s="1"/>
  <c r="BP36" i="6" s="1"/>
  <c r="BP40" i="6" s="1"/>
  <c r="BP17" i="12" s="1"/>
  <c r="BP12" i="12"/>
  <c r="BP15" i="12" s="1"/>
  <c r="BP16" i="12" s="1"/>
  <c r="BP7" i="12"/>
  <c r="BF28" i="4"/>
  <c r="BS16" i="12"/>
  <c r="BQ13" i="12"/>
  <c r="BF68" i="4"/>
  <c r="BQ5" i="6"/>
  <c r="BQ15" i="6" l="1"/>
  <c r="BQ7" i="12"/>
  <c r="E19" i="30"/>
  <c r="E3" i="30"/>
  <c r="D38" i="29"/>
  <c r="D32" i="29"/>
  <c r="D21" i="29"/>
  <c r="D18" i="29"/>
  <c r="D10" i="29"/>
  <c r="D2" i="29"/>
  <c r="K71" i="28"/>
  <c r="J71" i="28"/>
  <c r="I71" i="28"/>
  <c r="H71" i="28"/>
  <c r="G71" i="28"/>
  <c r="F71" i="28"/>
  <c r="E71" i="28"/>
  <c r="A71" i="28"/>
  <c r="K70" i="28"/>
  <c r="J70" i="28"/>
  <c r="I70" i="28"/>
  <c r="H70" i="28"/>
  <c r="G70" i="28"/>
  <c r="F70" i="28"/>
  <c r="E70" i="28"/>
  <c r="A70" i="28"/>
  <c r="K69" i="28"/>
  <c r="J69" i="28"/>
  <c r="I69" i="28"/>
  <c r="H69" i="28"/>
  <c r="G69" i="28"/>
  <c r="F69" i="28"/>
  <c r="E69" i="28"/>
  <c r="K68" i="28"/>
  <c r="J68" i="28"/>
  <c r="I68" i="28"/>
  <c r="H68" i="28"/>
  <c r="G68" i="28"/>
  <c r="F68" i="28"/>
  <c r="E68" i="28"/>
  <c r="A68" i="28"/>
  <c r="F65" i="28"/>
  <c r="E65" i="28"/>
  <c r="K65" i="28"/>
  <c r="J65" i="28"/>
  <c r="I65" i="28"/>
  <c r="H65" i="28"/>
  <c r="A65" i="28"/>
  <c r="G65" i="28"/>
  <c r="L63" i="28"/>
  <c r="L61" i="28"/>
  <c r="L60" i="28"/>
  <c r="L59" i="28"/>
  <c r="K57" i="28"/>
  <c r="J57" i="28"/>
  <c r="I57" i="28"/>
  <c r="H57" i="28"/>
  <c r="G57" i="28"/>
  <c r="F57" i="28"/>
  <c r="E57" i="28"/>
  <c r="K56" i="28"/>
  <c r="J56" i="28"/>
  <c r="I56" i="28"/>
  <c r="H56" i="28"/>
  <c r="G56" i="28"/>
  <c r="F56" i="28"/>
  <c r="E56" i="28"/>
  <c r="K55" i="28"/>
  <c r="J55" i="28"/>
  <c r="I55" i="28"/>
  <c r="H55" i="28"/>
  <c r="G55" i="28"/>
  <c r="F55" i="28"/>
  <c r="E55" i="28"/>
  <c r="L54" i="28"/>
  <c r="K53" i="28"/>
  <c r="J53" i="28"/>
  <c r="I53" i="28"/>
  <c r="H53" i="28"/>
  <c r="G53" i="28"/>
  <c r="F53" i="28"/>
  <c r="E53" i="28"/>
  <c r="L47" i="28"/>
  <c r="L71" i="28" s="1"/>
  <c r="L46" i="28"/>
  <c r="L70" i="28" s="1"/>
  <c r="L45" i="28"/>
  <c r="L69" i="28" s="1"/>
  <c r="L44" i="28"/>
  <c r="L68" i="28" s="1"/>
  <c r="L43" i="28"/>
  <c r="L42" i="28"/>
  <c r="L41" i="28"/>
  <c r="L65" i="28" s="1"/>
  <c r="L40" i="28"/>
  <c r="L39" i="28"/>
  <c r="L57" i="28" s="1"/>
  <c r="L38" i="28"/>
  <c r="L56" i="28" s="1"/>
  <c r="L37" i="28"/>
  <c r="L55" i="28" s="1"/>
  <c r="L36" i="28"/>
  <c r="L35" i="28"/>
  <c r="L53" i="28" s="1"/>
  <c r="D47" i="29" l="1"/>
  <c r="BQ12" i="12"/>
  <c r="BQ19" i="6"/>
  <c r="BQ31" i="6" s="1"/>
  <c r="BQ36" i="6" s="1"/>
  <c r="BQ40" i="6" s="1"/>
  <c r="BQ17" i="12" s="1"/>
  <c r="E2" i="30"/>
  <c r="E49" i="30" s="1"/>
  <c r="L28" i="28" l="1"/>
  <c r="L27" i="28"/>
  <c r="L25" i="28"/>
  <c r="L24" i="28"/>
  <c r="L23" i="28"/>
  <c r="L22" i="28"/>
  <c r="L21" i="28"/>
  <c r="L19" i="28"/>
  <c r="L18" i="28"/>
  <c r="L17" i="28"/>
  <c r="L16" i="28"/>
  <c r="L15" i="28"/>
  <c r="L14" i="28"/>
  <c r="L9" i="28"/>
  <c r="L8" i="28"/>
  <c r="L6" i="28"/>
  <c r="L5" i="28"/>
  <c r="L4" i="28"/>
  <c r="L3" i="28" s="1"/>
  <c r="K20" i="28"/>
  <c r="K13" i="28"/>
  <c r="K7" i="28"/>
  <c r="K2" i="28"/>
  <c r="K10" i="28" s="1"/>
  <c r="K12" i="28" s="1"/>
  <c r="L2" i="28" l="1"/>
  <c r="L7" i="28"/>
  <c r="L20" i="28"/>
  <c r="K26" i="28"/>
  <c r="K29" i="28" s="1"/>
  <c r="K31" i="28" s="1"/>
  <c r="K52" i="28" s="1"/>
  <c r="K72" i="28" s="1"/>
  <c r="K73" i="28" s="1"/>
  <c r="L13" i="28"/>
  <c r="L10" i="28" l="1"/>
  <c r="L12" i="28" s="1"/>
  <c r="L26" i="28"/>
  <c r="L29" i="28" s="1"/>
  <c r="L34" i="28" s="1"/>
  <c r="L48" i="28" s="1"/>
  <c r="L49" i="28" s="1"/>
  <c r="K34" i="28"/>
  <c r="K48" i="28" s="1"/>
  <c r="K49" i="28" s="1"/>
  <c r="BO26" i="12"/>
  <c r="BO22" i="12"/>
  <c r="BO13" i="12"/>
  <c r="BO9" i="12"/>
  <c r="BO8" i="12"/>
  <c r="L31" i="28" l="1"/>
  <c r="L52" i="28" s="1"/>
  <c r="D19" i="30"/>
  <c r="D3" i="30"/>
  <c r="BE66" i="4"/>
  <c r="BE54" i="4"/>
  <c r="BE46" i="4"/>
  <c r="BE26" i="4"/>
  <c r="BE18" i="4"/>
  <c r="BE13" i="4"/>
  <c r="C38" i="29"/>
  <c r="C32" i="29"/>
  <c r="C21" i="29"/>
  <c r="C10" i="29"/>
  <c r="C2" i="29"/>
  <c r="BO5" i="6"/>
  <c r="BO7" i="12" s="1"/>
  <c r="J20" i="28"/>
  <c r="J13" i="28"/>
  <c r="J7" i="28"/>
  <c r="J2" i="28"/>
  <c r="L72" i="28" l="1"/>
  <c r="L73" i="28" s="1"/>
  <c r="BE28" i="4"/>
  <c r="C47" i="29"/>
  <c r="BE68" i="4"/>
  <c r="D2" i="30"/>
  <c r="D49" i="30" s="1"/>
  <c r="J10" i="28"/>
  <c r="J12" i="28" s="1"/>
  <c r="J26" i="28" s="1"/>
  <c r="J29" i="28" s="1"/>
  <c r="J31" i="28" s="1"/>
  <c r="J52" i="28" s="1"/>
  <c r="J72" i="28" s="1"/>
  <c r="J73" i="28" s="1"/>
  <c r="BO15" i="6"/>
  <c r="C18" i="29"/>
  <c r="I20" i="28"/>
  <c r="I13" i="28"/>
  <c r="I7" i="28"/>
  <c r="J34" i="28" l="1"/>
  <c r="J48" i="28" s="1"/>
  <c r="J49" i="28" s="1"/>
  <c r="BO12" i="12"/>
  <c r="BO15" i="12" s="1"/>
  <c r="BO16" i="12" s="1"/>
  <c r="BO19" i="6"/>
  <c r="BO31" i="6" s="1"/>
  <c r="BO36" i="6" s="1"/>
  <c r="BO40" i="6" s="1"/>
  <c r="BO17" i="12" s="1"/>
  <c r="BN9" i="12"/>
  <c r="BN8" i="12"/>
  <c r="BN13" i="12" l="1"/>
  <c r="BD13" i="4" l="1"/>
  <c r="BN26" i="12" l="1"/>
  <c r="BN22" i="12"/>
  <c r="C19" i="30"/>
  <c r="C3" i="30"/>
  <c r="BD66" i="4"/>
  <c r="BD54" i="4"/>
  <c r="BD46" i="4"/>
  <c r="BD18" i="4"/>
  <c r="BD26" i="4"/>
  <c r="I2" i="28"/>
  <c r="BN5" i="6"/>
  <c r="BN7" i="12" s="1"/>
  <c r="BD68" i="4" l="1"/>
  <c r="BN15" i="6"/>
  <c r="C2" i="30"/>
  <c r="C49" i="30" s="1"/>
  <c r="BD28" i="4"/>
  <c r="I10" i="28"/>
  <c r="I12" i="28" s="1"/>
  <c r="I26" i="28" s="1"/>
  <c r="I29" i="28" s="1"/>
  <c r="I34" i="28" s="1"/>
  <c r="Y68" i="3"/>
  <c r="W68" i="3"/>
  <c r="U68" i="3"/>
  <c r="Q68" i="3"/>
  <c r="O68" i="3"/>
  <c r="K68" i="3"/>
  <c r="I37" i="3"/>
  <c r="I48" i="28" l="1"/>
  <c r="I49" i="28" s="1"/>
  <c r="BN12" i="12"/>
  <c r="BN15" i="12" s="1"/>
  <c r="BN16" i="12" s="1"/>
  <c r="BN19" i="6"/>
  <c r="I31" i="28"/>
  <c r="I52" i="28" s="1"/>
  <c r="I72" i="28" s="1"/>
  <c r="I73" i="28" s="1"/>
  <c r="Y37" i="3"/>
  <c r="BN31" i="6" l="1"/>
  <c r="BN36" i="6" s="1"/>
  <c r="BN40" i="6" s="1"/>
  <c r="BN17" i="12" s="1"/>
  <c r="B10" i="29" l="1"/>
  <c r="BC66" i="4" l="1"/>
  <c r="BC54" i="4"/>
  <c r="AZ18" i="4"/>
  <c r="BC18" i="4"/>
  <c r="BM13" i="12"/>
  <c r="BM9" i="12"/>
  <c r="BM8" i="12"/>
  <c r="AA10" i="27" l="1"/>
  <c r="X68" i="3" l="1"/>
  <c r="X37" i="3"/>
  <c r="BC46" i="4"/>
  <c r="BC68" i="4" s="1"/>
  <c r="BC26" i="4"/>
  <c r="BA13" i="4"/>
  <c r="BA18" i="4"/>
  <c r="BC13" i="4"/>
  <c r="H20" i="28"/>
  <c r="H13" i="28"/>
  <c r="H2" i="28"/>
  <c r="H7" i="28"/>
  <c r="BM5" i="6"/>
  <c r="BM15" i="6" s="1"/>
  <c r="BM26" i="12"/>
  <c r="BM22" i="12"/>
  <c r="BC28" i="4" l="1"/>
  <c r="BM7" i="12"/>
  <c r="H10" i="28"/>
  <c r="H12" i="28" s="1"/>
  <c r="H26" i="28" s="1"/>
  <c r="H29" i="28" s="1"/>
  <c r="F20" i="28"/>
  <c r="F13" i="28"/>
  <c r="F7" i="28"/>
  <c r="F2" i="28"/>
  <c r="F10" i="28" s="1"/>
  <c r="F12" i="28" s="1"/>
  <c r="F26" i="28" l="1"/>
  <c r="F29" i="28" s="1"/>
  <c r="F34" i="28" s="1"/>
  <c r="F48" i="28" s="1"/>
  <c r="F49" i="28" s="1"/>
  <c r="BM19" i="6"/>
  <c r="BM12" i="12"/>
  <c r="H34" i="28"/>
  <c r="H48" i="28" s="1"/>
  <c r="H49" i="28" s="1"/>
  <c r="H31" i="28"/>
  <c r="H52" i="28" s="1"/>
  <c r="H72" i="28" s="1"/>
  <c r="H73" i="28" s="1"/>
  <c r="BJ8" i="12"/>
  <c r="G20" i="28"/>
  <c r="G13" i="28"/>
  <c r="BJ9" i="12"/>
  <c r="F31" i="28" l="1"/>
  <c r="F52" i="28" s="1"/>
  <c r="F72" i="28" s="1"/>
  <c r="F73" i="28" s="1"/>
  <c r="BM15" i="12"/>
  <c r="BM31" i="6"/>
  <c r="BM36" i="6" s="1"/>
  <c r="BM40" i="6" s="1"/>
  <c r="BM17" i="12" s="1"/>
  <c r="U37" i="3"/>
  <c r="BJ13" i="12"/>
  <c r="W37" i="3"/>
  <c r="BM16" i="12" l="1"/>
  <c r="BQ15" i="12"/>
  <c r="BQ16" i="12" s="1"/>
  <c r="BK17" i="6"/>
  <c r="BK38" i="6"/>
  <c r="BK34" i="6"/>
  <c r="BK33" i="6"/>
  <c r="BK30" i="6"/>
  <c r="BK29" i="6"/>
  <c r="BK28" i="6"/>
  <c r="BK27" i="6"/>
  <c r="BK26" i="6"/>
  <c r="BK25" i="6"/>
  <c r="BK24" i="6"/>
  <c r="BK23" i="6"/>
  <c r="BK22" i="6"/>
  <c r="BK13" i="6"/>
  <c r="BK12" i="6"/>
  <c r="BK9" i="6"/>
  <c r="BK8" i="6"/>
  <c r="BK9" i="12" s="1"/>
  <c r="BK7" i="6"/>
  <c r="BK6" i="6"/>
  <c r="BK26" i="12"/>
  <c r="BJ26" i="12"/>
  <c r="BK22" i="12"/>
  <c r="BJ22" i="12"/>
  <c r="B38" i="29"/>
  <c r="BA66" i="4"/>
  <c r="BA54" i="4"/>
  <c r="BA46" i="4"/>
  <c r="BA26" i="4"/>
  <c r="BA28" i="4" s="1"/>
  <c r="G7" i="28"/>
  <c r="G2" i="28"/>
  <c r="BJ5" i="6"/>
  <c r="AQ13" i="4"/>
  <c r="AZ13" i="4"/>
  <c r="AV13" i="4"/>
  <c r="BK8" i="12" l="1"/>
  <c r="BK5" i="6"/>
  <c r="BK13" i="12"/>
  <c r="BJ15" i="6"/>
  <c r="BJ19" i="6" s="1"/>
  <c r="BJ7" i="12"/>
  <c r="BA68" i="4"/>
  <c r="G10" i="28"/>
  <c r="BK15" i="6"/>
  <c r="B19" i="30"/>
  <c r="B3" i="30"/>
  <c r="B32" i="29"/>
  <c r="B21" i="29"/>
  <c r="B2" i="29"/>
  <c r="B18" i="29" s="1"/>
  <c r="AX66" i="4"/>
  <c r="AY66" i="4"/>
  <c r="AT66" i="4"/>
  <c r="M66" i="4"/>
  <c r="C66" i="4"/>
  <c r="W66" i="4"/>
  <c r="AG66" i="4"/>
  <c r="AL66" i="4"/>
  <c r="AQ66" i="4"/>
  <c r="AS66" i="4"/>
  <c r="AU66" i="4"/>
  <c r="AV66" i="4"/>
  <c r="E20" i="28"/>
  <c r="E13" i="28"/>
  <c r="E7" i="28"/>
  <c r="E2" i="28"/>
  <c r="B2" i="30" l="1"/>
  <c r="B49" i="30" s="1"/>
  <c r="BK7" i="12"/>
  <c r="E10" i="28"/>
  <c r="E12" i="28" s="1"/>
  <c r="E26" i="28" s="1"/>
  <c r="E29" i="28" s="1"/>
  <c r="E34" i="28" s="1"/>
  <c r="E48" i="28" s="1"/>
  <c r="BJ12" i="12"/>
  <c r="BJ15" i="12" s="1"/>
  <c r="BJ31" i="6"/>
  <c r="BJ36" i="6" s="1"/>
  <c r="BJ40" i="6" s="1"/>
  <c r="BJ17" i="12" s="1"/>
  <c r="B47" i="29"/>
  <c r="G12" i="28"/>
  <c r="G26" i="28" s="1"/>
  <c r="G29" i="28" s="1"/>
  <c r="BK12" i="12"/>
  <c r="BK19" i="6"/>
  <c r="BK31" i="6" s="1"/>
  <c r="BK36" i="6" s="1"/>
  <c r="BK40" i="6" s="1"/>
  <c r="BK17" i="12" s="1"/>
  <c r="A69" i="28"/>
  <c r="A67" i="28"/>
  <c r="A66" i="28"/>
  <c r="A57" i="28"/>
  <c r="A56" i="28"/>
  <c r="A55" i="28"/>
  <c r="A54" i="28"/>
  <c r="A53" i="28"/>
  <c r="A52" i="28"/>
  <c r="BI8" i="12"/>
  <c r="BI9" i="12"/>
  <c r="E49" i="28" l="1"/>
  <c r="E31" i="28"/>
  <c r="E52" i="28" s="1"/>
  <c r="BK15" i="12"/>
  <c r="BK16" i="12" s="1"/>
  <c r="BJ16" i="12"/>
  <c r="G34" i="28"/>
  <c r="G48" i="28" s="1"/>
  <c r="G49" i="28" s="1"/>
  <c r="G31" i="28"/>
  <c r="G52" i="28" s="1"/>
  <c r="G72" i="28" s="1"/>
  <c r="G73" i="28" s="1"/>
  <c r="AZ66" i="4"/>
  <c r="BI13" i="12"/>
  <c r="AZ26" i="4"/>
  <c r="AZ28" i="4" s="1"/>
  <c r="E72" i="28" l="1"/>
  <c r="E73" i="28" s="1"/>
  <c r="BI26" i="12"/>
  <c r="BI22" i="12"/>
  <c r="AZ54" i="4"/>
  <c r="AZ46" i="4"/>
  <c r="BI5" i="6"/>
  <c r="BI15" i="6" s="1"/>
  <c r="AZ68" i="4" l="1"/>
  <c r="BI12" i="12"/>
  <c r="BI15" i="12" s="1"/>
  <c r="BI16" i="12" s="1"/>
  <c r="BI19" i="6"/>
  <c r="BI31" i="6" s="1"/>
  <c r="BI36" i="6" s="1"/>
  <c r="BI40" i="6" s="1"/>
  <c r="BI17" i="12" s="1"/>
  <c r="BI7" i="12"/>
  <c r="BH8" i="12" l="1"/>
  <c r="BD13" i="12" l="1"/>
  <c r="P76" i="15" l="1"/>
  <c r="P91" i="15" s="1"/>
  <c r="Q76" i="15"/>
  <c r="Q91" i="15" s="1"/>
  <c r="BH9" i="12" l="1"/>
  <c r="BH26" i="12" l="1"/>
  <c r="BH22" i="12"/>
  <c r="BH5" i="6"/>
  <c r="BH15" i="6" l="1"/>
  <c r="BH7" i="12"/>
  <c r="BG22" i="12"/>
  <c r="BG26" i="12"/>
  <c r="BH19" i="6" l="1"/>
  <c r="BH12" i="12"/>
  <c r="AX46" i="4"/>
  <c r="AX54" i="4"/>
  <c r="AX13" i="4"/>
  <c r="AX26" i="4"/>
  <c r="BG5" i="6"/>
  <c r="BG15" i="6" l="1"/>
  <c r="BG19" i="6" l="1"/>
  <c r="BG31" i="6" s="1"/>
  <c r="BG36" i="6" s="1"/>
  <c r="BG40" i="6" s="1"/>
  <c r="AX68" i="4" l="1"/>
  <c r="AX28" i="4"/>
  <c r="T68" i="3" l="1"/>
  <c r="T63" i="3"/>
  <c r="AV54" i="4"/>
  <c r="AV46" i="4"/>
  <c r="AV26" i="4"/>
  <c r="AV28" i="4" s="1"/>
  <c r="BD5" i="6"/>
  <c r="BD7" i="12" s="1"/>
  <c r="AV68" i="4" l="1"/>
  <c r="BD15" i="6"/>
  <c r="BD19" i="6" s="1"/>
  <c r="BD31" i="6" s="1"/>
  <c r="BD36" i="6" s="1"/>
  <c r="BD40" i="6" s="1"/>
  <c r="BE29" i="6"/>
  <c r="BE33" i="6"/>
  <c r="BE34" i="6"/>
  <c r="BE38" i="6"/>
  <c r="BE30" i="6" l="1"/>
  <c r="BE28" i="6"/>
  <c r="BE27" i="6"/>
  <c r="BE17" i="6"/>
  <c r="BE9" i="6"/>
  <c r="BE7" i="6"/>
  <c r="AY38" i="6"/>
  <c r="AY27" i="6"/>
  <c r="AY30" i="6"/>
  <c r="BE26" i="12" l="1"/>
  <c r="BD26" i="12"/>
  <c r="BE22" i="12"/>
  <c r="BD22" i="12"/>
  <c r="BE26" i="6"/>
  <c r="BE25" i="6"/>
  <c r="BE24" i="6"/>
  <c r="BE23" i="6"/>
  <c r="BE13" i="6"/>
  <c r="BE12" i="6"/>
  <c r="BE8" i="6" l="1"/>
  <c r="BE9" i="12" s="1"/>
  <c r="BD9" i="12"/>
  <c r="BE6" i="6"/>
  <c r="BE8" i="12" s="1"/>
  <c r="BD8" i="12"/>
  <c r="BE22" i="6"/>
  <c r="BE13" i="12" s="1"/>
  <c r="BC5" i="6"/>
  <c r="BD12" i="12" l="1"/>
  <c r="BC26" i="12"/>
  <c r="BD15" i="12" l="1"/>
  <c r="BD16" i="12" s="1"/>
  <c r="BC22" i="12"/>
  <c r="BB22" i="12"/>
  <c r="BC10" i="12"/>
  <c r="BB8" i="12"/>
  <c r="BC8" i="12"/>
  <c r="BC9" i="12"/>
  <c r="BD17" i="12" l="1"/>
  <c r="AU54" i="4"/>
  <c r="AU46" i="4"/>
  <c r="AU26" i="4"/>
  <c r="AU13" i="4"/>
  <c r="AT13" i="4"/>
  <c r="AU28" i="4" l="1"/>
  <c r="AU68" i="4"/>
  <c r="BC15" i="6" l="1"/>
  <c r="BC7" i="12"/>
  <c r="BC19" i="6" l="1"/>
  <c r="BC31" i="6" s="1"/>
  <c r="BC36" i="6" s="1"/>
  <c r="BC12" i="12"/>
  <c r="BC15" i="12" s="1"/>
  <c r="BC40" i="6" l="1"/>
  <c r="BC16" i="12"/>
  <c r="BB5" i="6"/>
  <c r="BC17" i="12" l="1"/>
  <c r="BB26" i="12"/>
  <c r="AT54" i="4" l="1"/>
  <c r="AT46" i="4"/>
  <c r="AT26" i="4"/>
  <c r="AT28" i="4" s="1"/>
  <c r="AT68" i="4" l="1"/>
  <c r="BB10" i="12"/>
  <c r="BB9" i="12"/>
  <c r="BB7" i="12" l="1"/>
  <c r="BA8" i="12"/>
  <c r="BB15" i="6" l="1"/>
  <c r="BB12" i="12" s="1"/>
  <c r="BB15" i="12" s="1"/>
  <c r="BB19" i="6" l="1"/>
  <c r="BB31" i="6" s="1"/>
  <c r="BB36" i="6" s="1"/>
  <c r="BB40" i="6" s="1"/>
  <c r="BA26" i="12"/>
  <c r="BA22" i="12"/>
  <c r="BA13" i="12"/>
  <c r="BA10" i="12"/>
  <c r="BA9" i="12"/>
  <c r="AS41" i="4" l="1"/>
  <c r="AS46" i="4" s="1"/>
  <c r="AS54" i="4"/>
  <c r="AS68" i="4" l="1"/>
  <c r="AS26" i="4"/>
  <c r="AS13" i="4"/>
  <c r="AS28" i="4" l="1"/>
  <c r="BA5" i="6"/>
  <c r="BE5" i="6" s="1"/>
  <c r="BE7" i="12" s="1"/>
  <c r="BA7" i="12" l="1"/>
  <c r="BA15" i="6"/>
  <c r="BE15" i="6" s="1"/>
  <c r="BE12" i="12" s="1"/>
  <c r="AY26" i="12"/>
  <c r="AY22" i="12"/>
  <c r="AX26" i="12"/>
  <c r="AX22" i="12"/>
  <c r="BE15" i="12" l="1"/>
  <c r="BE16" i="12" s="1"/>
  <c r="BA12" i="12"/>
  <c r="BA19" i="6"/>
  <c r="BE19" i="6" s="1"/>
  <c r="BA15" i="12" l="1"/>
  <c r="BA16" i="12" s="1"/>
  <c r="BA31" i="6"/>
  <c r="AX13" i="12"/>
  <c r="AX8" i="12"/>
  <c r="AX9" i="12"/>
  <c r="AX10" i="12"/>
  <c r="BA36" i="6" l="1"/>
  <c r="BE31" i="6"/>
  <c r="BA40" i="6" l="1"/>
  <c r="BE36" i="6"/>
  <c r="AQ54" i="4"/>
  <c r="AQ46" i="4"/>
  <c r="AQ68" i="4" s="1"/>
  <c r="AQ26" i="4"/>
  <c r="AY34" i="6"/>
  <c r="AY33" i="6"/>
  <c r="AY29" i="6"/>
  <c r="AY28" i="6"/>
  <c r="AY26" i="6"/>
  <c r="AY25" i="6"/>
  <c r="AY24" i="6"/>
  <c r="AY23" i="6"/>
  <c r="AY17" i="6"/>
  <c r="AY13" i="6"/>
  <c r="AY12" i="6"/>
  <c r="AY9" i="6"/>
  <c r="AY10" i="12" s="1"/>
  <c r="AY8" i="6"/>
  <c r="AY9" i="12" s="1"/>
  <c r="AY7" i="6"/>
  <c r="AY6" i="6"/>
  <c r="AY8" i="12" s="1"/>
  <c r="AQ28" i="4" l="1"/>
  <c r="BE40" i="6"/>
  <c r="BE17" i="12" s="1"/>
  <c r="BA17" i="12"/>
  <c r="AX5" i="6"/>
  <c r="AW26" i="12"/>
  <c r="AW22" i="12"/>
  <c r="AX7" i="12" l="1"/>
  <c r="AX15" i="6"/>
  <c r="AW13" i="12"/>
  <c r="AW8" i="12"/>
  <c r="AW9" i="12"/>
  <c r="AW10" i="12"/>
  <c r="AX12" i="12" l="1"/>
  <c r="AX15" i="12" s="1"/>
  <c r="AX16" i="12" s="1"/>
  <c r="AX19" i="6"/>
  <c r="AX31" i="6" s="1"/>
  <c r="AX36" i="6" s="1"/>
  <c r="AX40" i="6" s="1"/>
  <c r="AX17" i="12" s="1"/>
  <c r="AP66" i="4"/>
  <c r="AP54" i="4"/>
  <c r="AP46" i="4"/>
  <c r="AP26" i="4"/>
  <c r="AP13" i="4"/>
  <c r="AW5" i="6"/>
  <c r="AW7" i="12" s="1"/>
  <c r="AP68" i="4" l="1"/>
  <c r="AP28" i="4"/>
  <c r="AW15" i="6"/>
  <c r="AW12" i="12" s="1"/>
  <c r="AW15" i="12" s="1"/>
  <c r="AW16" i="12" s="1"/>
  <c r="AW19" i="6" l="1"/>
  <c r="AW31" i="6" s="1"/>
  <c r="AW36" i="6" s="1"/>
  <c r="AW40" i="6" s="1"/>
  <c r="AW17" i="12" s="1"/>
  <c r="AV26" i="12" l="1"/>
  <c r="AV22" i="12" l="1"/>
  <c r="AV13" i="12"/>
  <c r="AV10" i="12"/>
  <c r="AV9" i="12"/>
  <c r="AV8" i="12"/>
  <c r="AO66" i="4" l="1"/>
  <c r="AO54" i="4"/>
  <c r="AO46" i="4"/>
  <c r="AO26" i="4"/>
  <c r="AO13" i="4"/>
  <c r="AO28" i="4" l="1"/>
  <c r="AO68" i="4"/>
  <c r="AV5" i="6"/>
  <c r="AV7" i="12" l="1"/>
  <c r="AV15" i="6"/>
  <c r="AU26" i="12"/>
  <c r="AU22" i="12"/>
  <c r="AV12" i="12" l="1"/>
  <c r="AV15" i="12" s="1"/>
  <c r="AV16" i="12" s="1"/>
  <c r="AV19" i="6"/>
  <c r="AV31" i="6" s="1"/>
  <c r="AV36" i="6" s="1"/>
  <c r="AV40" i="6" s="1"/>
  <c r="AV17" i="12" s="1"/>
  <c r="AU10" i="12"/>
  <c r="AU9" i="12"/>
  <c r="AU8" i="12"/>
  <c r="S68" i="3" l="1"/>
  <c r="S37" i="3"/>
  <c r="AN66" i="4"/>
  <c r="AN54" i="4"/>
  <c r="AN46" i="4"/>
  <c r="AN26" i="4"/>
  <c r="AN18" i="4"/>
  <c r="AN13" i="4"/>
  <c r="AU22" i="6"/>
  <c r="AU5" i="6"/>
  <c r="AU15" i="6" s="1"/>
  <c r="AU19" i="6" s="1"/>
  <c r="AN28" i="4" l="1"/>
  <c r="AN68" i="4"/>
  <c r="AU31" i="6"/>
  <c r="AY19" i="6"/>
  <c r="AY5" i="6"/>
  <c r="AY7" i="12" s="1"/>
  <c r="AU7" i="12"/>
  <c r="AY22" i="6"/>
  <c r="AY13" i="12" s="1"/>
  <c r="AU13" i="12"/>
  <c r="AY15" i="6"/>
  <c r="AY12" i="12" s="1"/>
  <c r="AU12" i="12"/>
  <c r="AU15" i="12" l="1"/>
  <c r="AU16" i="12" s="1"/>
  <c r="AU36" i="6"/>
  <c r="AY36" i="6" s="1"/>
  <c r="AY31" i="6"/>
  <c r="AY15" i="12"/>
  <c r="AY16" i="12" s="1"/>
  <c r="AS26" i="12"/>
  <c r="AS22" i="12"/>
  <c r="AS17" i="6"/>
  <c r="AS22" i="6"/>
  <c r="AS23" i="6"/>
  <c r="AS24" i="6"/>
  <c r="AS25" i="6"/>
  <c r="AS26" i="6"/>
  <c r="AS27" i="6"/>
  <c r="AS28" i="6"/>
  <c r="AS29" i="6"/>
  <c r="AS33" i="6"/>
  <c r="AS34" i="6"/>
  <c r="AS38" i="6"/>
  <c r="AS39" i="6"/>
  <c r="AS13" i="6"/>
  <c r="AS12" i="6"/>
  <c r="AS9" i="6"/>
  <c r="AS10" i="12" s="1"/>
  <c r="AS8" i="6"/>
  <c r="AS9" i="12" s="1"/>
  <c r="AS7" i="6"/>
  <c r="AS6" i="6"/>
  <c r="AS8" i="12" s="1"/>
  <c r="Q37" i="3"/>
  <c r="AS13" i="12" l="1"/>
  <c r="AU40" i="6"/>
  <c r="AY40" i="6" s="1"/>
  <c r="AS30" i="6"/>
  <c r="AU17" i="12" l="1"/>
  <c r="AY17" i="12"/>
  <c r="AR5" i="6"/>
  <c r="AR15" i="6" s="1"/>
  <c r="AR19" i="6" s="1"/>
  <c r="AR31" i="6" l="1"/>
  <c r="AR36" i="6" s="1"/>
  <c r="AR40" i="6" s="1"/>
  <c r="AL54" i="4" l="1"/>
  <c r="AL46" i="4"/>
  <c r="AL26" i="4"/>
  <c r="AL18" i="4"/>
  <c r="AL13" i="4"/>
  <c r="AL68" i="4" l="1"/>
  <c r="AL28" i="4"/>
  <c r="AR26" i="12"/>
  <c r="AR22" i="12"/>
  <c r="AR17" i="12"/>
  <c r="AR13" i="12"/>
  <c r="AR12" i="12"/>
  <c r="AR10" i="12"/>
  <c r="AR9" i="12"/>
  <c r="AR8" i="12"/>
  <c r="AR7" i="12"/>
  <c r="AR15" i="12" l="1"/>
  <c r="AR16" i="12" s="1"/>
  <c r="AQ26" i="12"/>
  <c r="AQ22" i="12"/>
  <c r="AQ13" i="12"/>
  <c r="AQ8" i="12"/>
  <c r="AQ9" i="12"/>
  <c r="AQ10" i="12"/>
  <c r="AK66" i="4" l="1"/>
  <c r="AK54" i="4"/>
  <c r="AK46" i="4"/>
  <c r="AK26" i="4"/>
  <c r="AK18" i="4"/>
  <c r="AK13" i="4"/>
  <c r="AK28" i="4" l="1"/>
  <c r="AK68" i="4"/>
  <c r="AQ5" i="6"/>
  <c r="AP26" i="12"/>
  <c r="AQ7" i="12" l="1"/>
  <c r="AQ15" i="6"/>
  <c r="AP22" i="12"/>
  <c r="AQ12" i="12" l="1"/>
  <c r="AQ15" i="12" s="1"/>
  <c r="AQ16" i="12" s="1"/>
  <c r="AQ19" i="6"/>
  <c r="AQ31" i="6" s="1"/>
  <c r="AP13" i="12"/>
  <c r="AP8" i="12"/>
  <c r="AP9" i="12"/>
  <c r="AP10" i="12"/>
  <c r="AQ36" i="6" l="1"/>
  <c r="AQ40" i="6" s="1"/>
  <c r="AQ17" i="12" s="1"/>
  <c r="AJ66" i="4" l="1"/>
  <c r="AJ54" i="4"/>
  <c r="AJ46" i="4"/>
  <c r="AJ26" i="4"/>
  <c r="AJ18" i="4"/>
  <c r="AJ13" i="4"/>
  <c r="AJ28" i="4" l="1"/>
  <c r="AJ68" i="4"/>
  <c r="AP5" i="6"/>
  <c r="AP7" i="12" l="1"/>
  <c r="AP15" i="6"/>
  <c r="AP12" i="12" l="1"/>
  <c r="AP15" i="12" s="1"/>
  <c r="AP16" i="12" s="1"/>
  <c r="AP19" i="6"/>
  <c r="AP31" i="6" s="1"/>
  <c r="AP36" i="6" s="1"/>
  <c r="AP40" i="6" s="1"/>
  <c r="AP17" i="12" s="1"/>
  <c r="AO26" i="12"/>
  <c r="AO22" i="12" l="1"/>
  <c r="AO13" i="12" l="1"/>
  <c r="AN12" i="12"/>
  <c r="AN15" i="12" s="1"/>
  <c r="AO8" i="12"/>
  <c r="AO9" i="12"/>
  <c r="AO10" i="12"/>
  <c r="AI66" i="4" l="1"/>
  <c r="AI54" i="4"/>
  <c r="AI46" i="4"/>
  <c r="AI68" i="4" l="1"/>
  <c r="AI26" i="4"/>
  <c r="AI18" i="4"/>
  <c r="AI13" i="4"/>
  <c r="AI28" i="4" l="1"/>
  <c r="AO5" i="6"/>
  <c r="AS5" i="6" s="1"/>
  <c r="AS7" i="12" l="1"/>
  <c r="AT5" i="6"/>
  <c r="AO15" i="6"/>
  <c r="AS15" i="6" s="1"/>
  <c r="AS12" i="12" s="1"/>
  <c r="AO7" i="12"/>
  <c r="AS15" i="12" l="1"/>
  <c r="AS16" i="12" s="1"/>
  <c r="AO12" i="12"/>
  <c r="AO15" i="12" s="1"/>
  <c r="AO16" i="12" s="1"/>
  <c r="AO19" i="6"/>
  <c r="W28" i="12"/>
  <c r="W27" i="12"/>
  <c r="AM26" i="12"/>
  <c r="AL26" i="12"/>
  <c r="AK26" i="12"/>
  <c r="AJ26" i="12"/>
  <c r="AI26" i="12"/>
  <c r="AC26" i="12"/>
  <c r="AA26" i="12"/>
  <c r="Z26" i="12"/>
  <c r="Y26" i="12"/>
  <c r="X26" i="12"/>
  <c r="U26" i="12"/>
  <c r="T26" i="12"/>
  <c r="S26" i="12"/>
  <c r="R26" i="12"/>
  <c r="Q26" i="12"/>
  <c r="O26" i="12"/>
  <c r="N26" i="12"/>
  <c r="M26" i="12"/>
  <c r="L26" i="12"/>
  <c r="K26" i="12"/>
  <c r="I26" i="12"/>
  <c r="H26" i="12"/>
  <c r="G26" i="12"/>
  <c r="F26" i="12"/>
  <c r="E26" i="12"/>
  <c r="C26" i="12"/>
  <c r="AM22" i="12"/>
  <c r="AL22" i="12"/>
  <c r="AK22" i="12"/>
  <c r="AJ22" i="12"/>
  <c r="AI22" i="12"/>
  <c r="AC22" i="12"/>
  <c r="AA22" i="12"/>
  <c r="Z22" i="12"/>
  <c r="Y22" i="12"/>
  <c r="X22" i="12"/>
  <c r="W22" i="12"/>
  <c r="U22" i="12"/>
  <c r="T22" i="12"/>
  <c r="S22" i="12"/>
  <c r="R22" i="12"/>
  <c r="Q22" i="12"/>
  <c r="O22" i="12"/>
  <c r="N22" i="12"/>
  <c r="M22" i="12"/>
  <c r="L22" i="12"/>
  <c r="K22" i="12"/>
  <c r="I22" i="12"/>
  <c r="H22" i="12"/>
  <c r="G22" i="12"/>
  <c r="F22" i="12"/>
  <c r="E22" i="12"/>
  <c r="C22" i="12"/>
  <c r="W26" i="12" l="1"/>
  <c r="AO31" i="6"/>
  <c r="AS19" i="6"/>
  <c r="AH17" i="12"/>
  <c r="AO36" i="6" l="1"/>
  <c r="AS31" i="6"/>
  <c r="AH15" i="12"/>
  <c r="AO40" i="6" l="1"/>
  <c r="AS36" i="6"/>
  <c r="AM13" i="12"/>
  <c r="AO17" i="12" l="1"/>
  <c r="AS40" i="6"/>
  <c r="AS17" i="12" s="1"/>
  <c r="AL13" i="12"/>
  <c r="AK13" i="12"/>
  <c r="AJ13" i="12"/>
  <c r="AI13" i="12"/>
  <c r="AG13" i="12"/>
  <c r="AF13" i="12"/>
  <c r="AE13" i="12"/>
  <c r="AC13" i="12"/>
  <c r="AA13" i="12"/>
  <c r="Z13" i="12"/>
  <c r="X13" i="12"/>
  <c r="W13" i="12"/>
  <c r="T13" i="12"/>
  <c r="S13" i="12"/>
  <c r="R13" i="12"/>
  <c r="Q13" i="12"/>
  <c r="O13" i="12"/>
  <c r="N13" i="12"/>
  <c r="M13" i="12"/>
  <c r="L13" i="12"/>
  <c r="K13" i="12"/>
  <c r="I13" i="12"/>
  <c r="H13" i="12"/>
  <c r="G13" i="12"/>
  <c r="F13" i="12"/>
  <c r="E13" i="12"/>
  <c r="C13" i="12"/>
  <c r="AM10" i="12"/>
  <c r="AL10" i="12"/>
  <c r="AK10" i="12"/>
  <c r="AJ10" i="12"/>
  <c r="AI10" i="12"/>
  <c r="AG10" i="12"/>
  <c r="AF10" i="12"/>
  <c r="AE10" i="12"/>
  <c r="AD10" i="12"/>
  <c r="AC10" i="12"/>
  <c r="AA10" i="12"/>
  <c r="Z10" i="12"/>
  <c r="Y10" i="12"/>
  <c r="X10" i="12"/>
  <c r="W10" i="12"/>
  <c r="U10" i="12"/>
  <c r="T10" i="12"/>
  <c r="H10" i="12"/>
  <c r="I10" i="12" s="1"/>
  <c r="AM9" i="12"/>
  <c r="AL9" i="12"/>
  <c r="AK9" i="12"/>
  <c r="AJ9" i="12"/>
  <c r="AI9" i="12"/>
  <c r="AG9" i="12"/>
  <c r="AF9" i="12"/>
  <c r="AE9" i="12"/>
  <c r="AD9" i="12"/>
  <c r="AC9" i="12"/>
  <c r="AA9" i="12"/>
  <c r="Z9" i="12"/>
  <c r="Y9" i="12"/>
  <c r="X9" i="12"/>
  <c r="W9" i="12"/>
  <c r="U9" i="12"/>
  <c r="T9" i="12"/>
  <c r="S9" i="12"/>
  <c r="R9" i="12"/>
  <c r="Q9" i="12"/>
  <c r="O9" i="12"/>
  <c r="N9" i="12"/>
  <c r="M9" i="12"/>
  <c r="K9" i="12"/>
  <c r="I9" i="12"/>
  <c r="H9" i="12"/>
  <c r="G9" i="12"/>
  <c r="F9" i="12"/>
  <c r="E9" i="12"/>
  <c r="C9" i="12"/>
  <c r="AM8" i="12"/>
  <c r="AL8" i="12"/>
  <c r="AK8" i="12"/>
  <c r="AJ8" i="12"/>
  <c r="AI8" i="12"/>
  <c r="AG8" i="12"/>
  <c r="AF8" i="12"/>
  <c r="AE8" i="12"/>
  <c r="AD8" i="12"/>
  <c r="AC8" i="12"/>
  <c r="AA8" i="12"/>
  <c r="Z8" i="12"/>
  <c r="Y8" i="12"/>
  <c r="X8" i="12"/>
  <c r="U8" i="12"/>
  <c r="T8" i="12"/>
  <c r="S8" i="12"/>
  <c r="R8" i="12"/>
  <c r="Q8" i="12"/>
  <c r="O8" i="12"/>
  <c r="N8" i="12"/>
  <c r="M8" i="12"/>
  <c r="K8" i="12"/>
  <c r="I8" i="12"/>
  <c r="H8" i="12"/>
  <c r="G8" i="12"/>
  <c r="F8" i="12"/>
  <c r="E8" i="12"/>
  <c r="C8" i="12"/>
  <c r="M68" i="3"/>
  <c r="I68" i="3"/>
  <c r="G68" i="3"/>
  <c r="K42" i="3" l="1"/>
  <c r="K48" i="3" s="1"/>
  <c r="O37" i="3"/>
  <c r="M37" i="3"/>
  <c r="G37" i="3"/>
  <c r="E37" i="3"/>
  <c r="C37" i="3"/>
  <c r="K35" i="3"/>
  <c r="K34" i="3"/>
  <c r="K37" i="3" l="1"/>
  <c r="AF66" i="4"/>
  <c r="AE66" i="4"/>
  <c r="AD66" i="4"/>
  <c r="AA66" i="4"/>
  <c r="Z66" i="4"/>
  <c r="Y66" i="4"/>
  <c r="V66" i="4"/>
  <c r="T66" i="4"/>
  <c r="Q66" i="4"/>
  <c r="P66" i="4"/>
  <c r="O66" i="4"/>
  <c r="L66" i="4"/>
  <c r="K66" i="4"/>
  <c r="J66" i="4"/>
  <c r="H66" i="4"/>
  <c r="G66" i="4"/>
  <c r="F66" i="4"/>
  <c r="E66" i="4"/>
  <c r="AB62" i="4"/>
  <c r="AB66" i="4" s="1"/>
  <c r="U58" i="4"/>
  <c r="U66" i="4" s="1"/>
  <c r="R58" i="4"/>
  <c r="R66" i="4" s="1"/>
  <c r="AG54" i="4"/>
  <c r="AF54" i="4"/>
  <c r="AE54" i="4"/>
  <c r="AD54" i="4"/>
  <c r="AB54" i="4"/>
  <c r="AA54" i="4"/>
  <c r="Z54" i="4"/>
  <c r="W54" i="4"/>
  <c r="U54" i="4"/>
  <c r="T54" i="4"/>
  <c r="R54" i="4"/>
  <c r="Q54" i="4"/>
  <c r="P54" i="4"/>
  <c r="O54" i="4"/>
  <c r="M54" i="4"/>
  <c r="L54" i="4"/>
  <c r="K54" i="4"/>
  <c r="J54" i="4"/>
  <c r="H54" i="4"/>
  <c r="G54" i="4"/>
  <c r="F54" i="4"/>
  <c r="E54" i="4"/>
  <c r="C54" i="4"/>
  <c r="Y52" i="4"/>
  <c r="Y54" i="4" s="1"/>
  <c r="V50" i="4"/>
  <c r="V54" i="4" s="1"/>
  <c r="AG46" i="4"/>
  <c r="AF46" i="4"/>
  <c r="AB46" i="4"/>
  <c r="AA46" i="4"/>
  <c r="Z46" i="4"/>
  <c r="W46" i="4"/>
  <c r="V46" i="4"/>
  <c r="U46" i="4"/>
  <c r="T46" i="4"/>
  <c r="R46" i="4"/>
  <c r="Q46" i="4"/>
  <c r="P46" i="4"/>
  <c r="P68" i="4" s="1"/>
  <c r="O46" i="4"/>
  <c r="O68" i="4" s="1"/>
  <c r="M46" i="4"/>
  <c r="L46" i="4"/>
  <c r="K46" i="4"/>
  <c r="J46" i="4"/>
  <c r="H46" i="4"/>
  <c r="C46" i="4"/>
  <c r="G39" i="4"/>
  <c r="F39" i="4"/>
  <c r="E39" i="4"/>
  <c r="AE38" i="4"/>
  <c r="AD38" i="4"/>
  <c r="AD46" i="4" s="1"/>
  <c r="G38" i="4"/>
  <c r="F38" i="4"/>
  <c r="E38" i="4"/>
  <c r="AE37" i="4"/>
  <c r="Y37" i="4"/>
  <c r="Y46" i="4" s="1"/>
  <c r="J68" i="4" l="1"/>
  <c r="Y68" i="4"/>
  <c r="K68" i="4"/>
  <c r="U68" i="4"/>
  <c r="L68" i="4"/>
  <c r="E46" i="4"/>
  <c r="E68" i="4" s="1"/>
  <c r="Q68" i="4"/>
  <c r="C68" i="4"/>
  <c r="H68" i="4"/>
  <c r="M68" i="4"/>
  <c r="G46" i="4"/>
  <c r="G68" i="4" s="1"/>
  <c r="T68" i="4"/>
  <c r="Z68" i="4"/>
  <c r="AG68" i="4"/>
  <c r="AB68" i="4"/>
  <c r="F46" i="4"/>
  <c r="F68" i="4" s="1"/>
  <c r="R68" i="4"/>
  <c r="W68" i="4"/>
  <c r="AF68" i="4"/>
  <c r="AE46" i="4"/>
  <c r="AE68" i="4" s="1"/>
  <c r="AD68" i="4"/>
  <c r="AA68" i="4"/>
  <c r="V68" i="4"/>
  <c r="AG26" i="4"/>
  <c r="AF26" i="4"/>
  <c r="AE26" i="4"/>
  <c r="AD26" i="4"/>
  <c r="AB26" i="4"/>
  <c r="AA26" i="4"/>
  <c r="Z26" i="4"/>
  <c r="Y26" i="4"/>
  <c r="W26" i="4"/>
  <c r="V26" i="4"/>
  <c r="U26" i="4"/>
  <c r="T26" i="4"/>
  <c r="R26" i="4"/>
  <c r="Q26" i="4"/>
  <c r="P26" i="4"/>
  <c r="O26" i="4"/>
  <c r="M26" i="4"/>
  <c r="L26" i="4"/>
  <c r="K26" i="4"/>
  <c r="J26" i="4"/>
  <c r="H26" i="4"/>
  <c r="G26" i="4"/>
  <c r="F26" i="4"/>
  <c r="E26" i="4"/>
  <c r="C26" i="4"/>
  <c r="AG18" i="4"/>
  <c r="AF18" i="4"/>
  <c r="AE18" i="4"/>
  <c r="AD18" i="4"/>
  <c r="AB18" i="4"/>
  <c r="AA18" i="4"/>
  <c r="Z18" i="4"/>
  <c r="Y18" i="4"/>
  <c r="W18" i="4"/>
  <c r="V18" i="4"/>
  <c r="U18" i="4"/>
  <c r="T18" i="4"/>
  <c r="R18" i="4"/>
  <c r="Q18" i="4"/>
  <c r="P18" i="4"/>
  <c r="O18" i="4"/>
  <c r="M18" i="4"/>
  <c r="L18" i="4"/>
  <c r="K18" i="4"/>
  <c r="J18" i="4"/>
  <c r="H18" i="4"/>
  <c r="G18" i="4"/>
  <c r="F18" i="4"/>
  <c r="E18" i="4"/>
  <c r="C18" i="4"/>
  <c r="AG13" i="4"/>
  <c r="AF13" i="4"/>
  <c r="AE13" i="4"/>
  <c r="AD13" i="4"/>
  <c r="AB13" i="4"/>
  <c r="AA13" i="4"/>
  <c r="Z13" i="4"/>
  <c r="V13" i="4"/>
  <c r="Q13" i="4"/>
  <c r="P13" i="4"/>
  <c r="O13" i="4"/>
  <c r="G13" i="4"/>
  <c r="E13" i="4"/>
  <c r="W11" i="4"/>
  <c r="Y9" i="4"/>
  <c r="Y13" i="4" s="1"/>
  <c r="W9" i="4"/>
  <c r="U9" i="4"/>
  <c r="U13" i="4" s="1"/>
  <c r="T9" i="4"/>
  <c r="T13" i="4" s="1"/>
  <c r="R9" i="4"/>
  <c r="R13" i="4" s="1"/>
  <c r="M9" i="4"/>
  <c r="M13" i="4" s="1"/>
  <c r="L9" i="4"/>
  <c r="L13" i="4" s="1"/>
  <c r="K9" i="4"/>
  <c r="K13" i="4" s="1"/>
  <c r="J9" i="4"/>
  <c r="J13" i="4" s="1"/>
  <c r="H9" i="4"/>
  <c r="H13" i="4" s="1"/>
  <c r="F9" i="4"/>
  <c r="F13" i="4" s="1"/>
  <c r="C9" i="4"/>
  <c r="C13" i="4" s="1"/>
  <c r="AD34" i="6"/>
  <c r="AD33" i="6"/>
  <c r="AH31" i="6"/>
  <c r="R27" i="6"/>
  <c r="Q27" i="6"/>
  <c r="AD23" i="6"/>
  <c r="AD22" i="6"/>
  <c r="Y22" i="6"/>
  <c r="Y13" i="12" s="1"/>
  <c r="U22" i="6"/>
  <c r="U13" i="12" s="1"/>
  <c r="AD13" i="6"/>
  <c r="AD12" i="6"/>
  <c r="L8" i="6"/>
  <c r="L9" i="12" s="1"/>
  <c r="W6" i="6"/>
  <c r="W8" i="12" s="1"/>
  <c r="L6" i="6"/>
  <c r="L8" i="12" s="1"/>
  <c r="K28" i="4" l="1"/>
  <c r="V28" i="4"/>
  <c r="L28" i="4"/>
  <c r="P28" i="4"/>
  <c r="AD13" i="12"/>
  <c r="F28" i="4"/>
  <c r="U28" i="4"/>
  <c r="E28" i="4"/>
  <c r="W13" i="4"/>
  <c r="W28" i="4" s="1"/>
  <c r="AD28" i="4"/>
  <c r="O28" i="4"/>
  <c r="Z28" i="4"/>
  <c r="AE28" i="4"/>
  <c r="H28" i="4"/>
  <c r="J28" i="4"/>
  <c r="Y28" i="4"/>
  <c r="G28" i="4"/>
  <c r="AA28" i="4"/>
  <c r="C28" i="4"/>
  <c r="T28" i="4"/>
  <c r="AB28" i="4"/>
  <c r="AG28" i="4"/>
  <c r="M28" i="4"/>
  <c r="R28" i="4"/>
  <c r="Q28" i="4"/>
  <c r="AF28" i="4"/>
  <c r="AM5" i="6"/>
  <c r="AM7" i="12" s="1"/>
  <c r="AL5" i="6" l="1"/>
  <c r="AL7" i="12" s="1"/>
  <c r="AK5" i="6"/>
  <c r="AJ5" i="6"/>
  <c r="AI5" i="6"/>
  <c r="AG5" i="6"/>
  <c r="AF5" i="6"/>
  <c r="AE5" i="6"/>
  <c r="AD5" i="6"/>
  <c r="AC5" i="6"/>
  <c r="AA5" i="6"/>
  <c r="Z5" i="6"/>
  <c r="Y5" i="6"/>
  <c r="X5" i="6"/>
  <c r="W5" i="6"/>
  <c r="U5" i="6"/>
  <c r="T5" i="6"/>
  <c r="S5" i="6"/>
  <c r="R5" i="6"/>
  <c r="Q5" i="6"/>
  <c r="O5" i="6"/>
  <c r="M5" i="6"/>
  <c r="L5" i="6"/>
  <c r="K5" i="6"/>
  <c r="I5" i="6"/>
  <c r="H5" i="6"/>
  <c r="G5" i="6"/>
  <c r="F5" i="6"/>
  <c r="E5" i="6"/>
  <c r="C5" i="6"/>
  <c r="O7" i="12" l="1"/>
  <c r="O15" i="6"/>
  <c r="Y7" i="12"/>
  <c r="Y15" i="6"/>
  <c r="AD7" i="12"/>
  <c r="AD15" i="6"/>
  <c r="AI7" i="12"/>
  <c r="AI15" i="6"/>
  <c r="K7" i="12"/>
  <c r="K15" i="6"/>
  <c r="L7" i="12"/>
  <c r="L15" i="6"/>
  <c r="Q7" i="12"/>
  <c r="Q15" i="6"/>
  <c r="U7" i="12"/>
  <c r="U15" i="6"/>
  <c r="Z7" i="12"/>
  <c r="Z15" i="6"/>
  <c r="AE7" i="12"/>
  <c r="AE15" i="6"/>
  <c r="AJ7" i="12"/>
  <c r="AJ15" i="6"/>
  <c r="G7" i="12"/>
  <c r="G15" i="6"/>
  <c r="M7" i="12"/>
  <c r="M15" i="6"/>
  <c r="W7" i="12"/>
  <c r="W15" i="6"/>
  <c r="AA7" i="12"/>
  <c r="AA15" i="6"/>
  <c r="AF7" i="12"/>
  <c r="AF15" i="6"/>
  <c r="AK7" i="12"/>
  <c r="AK15" i="6"/>
  <c r="F7" i="12"/>
  <c r="F15" i="6"/>
  <c r="T7" i="12"/>
  <c r="T15" i="6"/>
  <c r="C7" i="12"/>
  <c r="C15" i="6"/>
  <c r="H7" i="12"/>
  <c r="H15" i="6"/>
  <c r="R7" i="12"/>
  <c r="R15" i="6"/>
  <c r="E7" i="12"/>
  <c r="E15" i="6"/>
  <c r="I7" i="12"/>
  <c r="I15" i="6"/>
  <c r="N5" i="6"/>
  <c r="S7" i="12"/>
  <c r="S15" i="6"/>
  <c r="X7" i="12"/>
  <c r="X15" i="6"/>
  <c r="AC7" i="12"/>
  <c r="AC15" i="6"/>
  <c r="AG7" i="12"/>
  <c r="AG15" i="6"/>
  <c r="K10" i="12"/>
  <c r="L10" i="12" s="1"/>
  <c r="M10" i="12" s="1"/>
  <c r="N10" i="12" s="1"/>
  <c r="O10" i="12" s="1"/>
  <c r="Q10" i="12" s="1"/>
  <c r="R10" i="12" s="1"/>
  <c r="S10" i="12" s="1"/>
  <c r="I12" i="12" l="1"/>
  <c r="I15" i="12" s="1"/>
  <c r="I19" i="6"/>
  <c r="I31" i="6" s="1"/>
  <c r="I36" i="6" s="1"/>
  <c r="R12" i="12"/>
  <c r="R19" i="6"/>
  <c r="R31" i="6" s="1"/>
  <c r="R36" i="6" s="1"/>
  <c r="C12" i="12"/>
  <c r="C19" i="6"/>
  <c r="F12" i="12"/>
  <c r="F15" i="12" s="1"/>
  <c r="F19" i="6"/>
  <c r="F31" i="6" s="1"/>
  <c r="F36" i="6" s="1"/>
  <c r="AF12" i="12"/>
  <c r="AF15" i="12" s="1"/>
  <c r="AF19" i="6"/>
  <c r="AF31" i="6" s="1"/>
  <c r="AF36" i="6" s="1"/>
  <c r="W12" i="12"/>
  <c r="W19" i="6"/>
  <c r="W31" i="6" s="1"/>
  <c r="W36" i="6" s="1"/>
  <c r="G12" i="12"/>
  <c r="G19" i="6"/>
  <c r="G31" i="6" s="1"/>
  <c r="G36" i="6" s="1"/>
  <c r="AE12" i="12"/>
  <c r="AE15" i="12" s="1"/>
  <c r="AE19" i="6"/>
  <c r="AE31" i="6" s="1"/>
  <c r="AE36" i="6" s="1"/>
  <c r="U12" i="12"/>
  <c r="U15" i="12" s="1"/>
  <c r="U19" i="6"/>
  <c r="U31" i="6" s="1"/>
  <c r="U36" i="6" s="1"/>
  <c r="L12" i="12"/>
  <c r="L15" i="12" s="1"/>
  <c r="L19" i="6"/>
  <c r="L31" i="6" s="1"/>
  <c r="L36" i="6" s="1"/>
  <c r="AI12" i="12"/>
  <c r="AI15" i="12" s="1"/>
  <c r="AI16" i="12" s="1"/>
  <c r="AI19" i="6"/>
  <c r="AI31" i="6" s="1"/>
  <c r="AI36" i="6" s="1"/>
  <c r="AI40" i="6" s="1"/>
  <c r="AI17" i="12" s="1"/>
  <c r="Y12" i="12"/>
  <c r="Y19" i="6"/>
  <c r="Y31" i="6" s="1"/>
  <c r="Y36" i="6" s="1"/>
  <c r="AC12" i="12"/>
  <c r="AC15" i="12" s="1"/>
  <c r="AC19" i="6"/>
  <c r="AC31" i="6" s="1"/>
  <c r="AC36" i="6" s="1"/>
  <c r="S12" i="12"/>
  <c r="S19" i="6"/>
  <c r="S31" i="6" s="1"/>
  <c r="S36" i="6" s="1"/>
  <c r="E12" i="12"/>
  <c r="E15" i="12" s="1"/>
  <c r="C15" i="12" s="1"/>
  <c r="E19" i="6"/>
  <c r="E31" i="6" s="1"/>
  <c r="E36" i="6" s="1"/>
  <c r="H12" i="12"/>
  <c r="H19" i="6"/>
  <c r="H31" i="6" s="1"/>
  <c r="H36" i="6" s="1"/>
  <c r="T12" i="12"/>
  <c r="T15" i="12" s="1"/>
  <c r="T19" i="6"/>
  <c r="T31" i="6" s="1"/>
  <c r="T36" i="6" s="1"/>
  <c r="AK12" i="12"/>
  <c r="AK15" i="12" s="1"/>
  <c r="AK16" i="12" s="1"/>
  <c r="AK19" i="6"/>
  <c r="AK31" i="6" s="1"/>
  <c r="AK36" i="6" s="1"/>
  <c r="AK40" i="6" s="1"/>
  <c r="AK17" i="12" s="1"/>
  <c r="AA12" i="12"/>
  <c r="AA15" i="12" s="1"/>
  <c r="AA19" i="6"/>
  <c r="AA31" i="6" s="1"/>
  <c r="AA36" i="6" s="1"/>
  <c r="M12" i="12"/>
  <c r="M15" i="12" s="1"/>
  <c r="M19" i="6"/>
  <c r="M31" i="6" s="1"/>
  <c r="M36" i="6" s="1"/>
  <c r="AJ12" i="12"/>
  <c r="AJ15" i="12" s="1"/>
  <c r="AJ16" i="12" s="1"/>
  <c r="AJ19" i="6"/>
  <c r="AJ31" i="6" s="1"/>
  <c r="AJ36" i="6" s="1"/>
  <c r="AJ40" i="6" s="1"/>
  <c r="AJ17" i="12" s="1"/>
  <c r="Z12" i="12"/>
  <c r="Z19" i="6"/>
  <c r="Z31" i="6" s="1"/>
  <c r="Z36" i="6" s="1"/>
  <c r="Q12" i="12"/>
  <c r="Q15" i="12" s="1"/>
  <c r="Q19" i="6"/>
  <c r="Q31" i="6" s="1"/>
  <c r="Q36" i="6" s="1"/>
  <c r="K12" i="12"/>
  <c r="K15" i="12" s="1"/>
  <c r="K19" i="6"/>
  <c r="K31" i="6" s="1"/>
  <c r="K36" i="6" s="1"/>
  <c r="AD12" i="12"/>
  <c r="AD15" i="12" s="1"/>
  <c r="AD19" i="6"/>
  <c r="AD31" i="6" s="1"/>
  <c r="AD36" i="6" s="1"/>
  <c r="O12" i="12"/>
  <c r="O15" i="12" s="1"/>
  <c r="O19" i="6"/>
  <c r="O31" i="6" s="1"/>
  <c r="O36" i="6" s="1"/>
  <c r="AG12" i="12"/>
  <c r="AG15" i="12" s="1"/>
  <c r="AG16" i="12" s="1"/>
  <c r="AG19" i="6"/>
  <c r="AG31" i="6" s="1"/>
  <c r="AG36" i="6" s="1"/>
  <c r="X12" i="12"/>
  <c r="X15" i="12" s="1"/>
  <c r="X19" i="6"/>
  <c r="X31" i="6" s="1"/>
  <c r="X36" i="6" s="1"/>
  <c r="N7" i="12"/>
  <c r="N15" i="6"/>
  <c r="AF16" i="12" l="1"/>
  <c r="W15" i="12"/>
  <c r="AE16" i="12"/>
  <c r="AD16" i="12" s="1"/>
  <c r="AC16" i="12" s="1"/>
  <c r="AA16" i="12" s="1"/>
  <c r="S15" i="12"/>
  <c r="R15" i="12" s="1"/>
  <c r="O17" i="12"/>
  <c r="O40" i="6"/>
  <c r="Z17" i="12"/>
  <c r="Z40" i="6"/>
  <c r="S17" i="12"/>
  <c r="S40" i="6"/>
  <c r="Y17" i="12"/>
  <c r="Y40" i="6"/>
  <c r="L17" i="12"/>
  <c r="L40" i="6"/>
  <c r="AE17" i="12"/>
  <c r="AE40" i="6"/>
  <c r="W17" i="12"/>
  <c r="W40" i="6"/>
  <c r="F17" i="12"/>
  <c r="F40" i="6"/>
  <c r="R17" i="12"/>
  <c r="R40" i="6"/>
  <c r="X17" i="12"/>
  <c r="X40" i="6"/>
  <c r="K17" i="12"/>
  <c r="K40" i="6"/>
  <c r="M17" i="12"/>
  <c r="M40" i="6"/>
  <c r="H17" i="12"/>
  <c r="H40" i="6"/>
  <c r="N12" i="12"/>
  <c r="N15" i="12" s="1"/>
  <c r="N19" i="6"/>
  <c r="N31" i="6" s="1"/>
  <c r="N36" i="6" s="1"/>
  <c r="AG17" i="12"/>
  <c r="AG40" i="6"/>
  <c r="Q17" i="12"/>
  <c r="Q40" i="6"/>
  <c r="AA17" i="12"/>
  <c r="AA40" i="6"/>
  <c r="T17" i="12"/>
  <c r="T40" i="6"/>
  <c r="E17" i="12"/>
  <c r="E40" i="6"/>
  <c r="AC17" i="12"/>
  <c r="AC40" i="6"/>
  <c r="U17" i="12"/>
  <c r="U40" i="6"/>
  <c r="G17" i="12"/>
  <c r="G40" i="6"/>
  <c r="AF17" i="12"/>
  <c r="AF40" i="6"/>
  <c r="AM15" i="6"/>
  <c r="C31" i="6"/>
  <c r="C36" i="6" s="1"/>
  <c r="I17" i="12"/>
  <c r="I40" i="6"/>
  <c r="AD17" i="12"/>
  <c r="AD40" i="6"/>
  <c r="Z15" i="12"/>
  <c r="Y15" i="12" s="1"/>
  <c r="H15" i="12"/>
  <c r="G15" i="12" s="1"/>
  <c r="N17" i="12" l="1"/>
  <c r="N40" i="6"/>
  <c r="C17" i="12"/>
  <c r="C40" i="6"/>
  <c r="AL15" i="6"/>
  <c r="AM12" i="12"/>
  <c r="AM15" i="12" s="1"/>
  <c r="AM16" i="12" s="1"/>
  <c r="AM19" i="6"/>
  <c r="AM31" i="6" s="1"/>
  <c r="AM36" i="6" s="1"/>
  <c r="AM40" i="6" s="1"/>
  <c r="AM17" i="12" s="1"/>
  <c r="Z16" i="12"/>
  <c r="Y16" i="12" s="1"/>
  <c r="X16" i="12" s="1"/>
  <c r="W16" i="12" s="1"/>
  <c r="U16" i="12" s="1"/>
  <c r="T16" i="12" s="1"/>
  <c r="S16" i="12" s="1"/>
  <c r="R16" i="12" s="1"/>
  <c r="Q16" i="12" s="1"/>
  <c r="O16" i="12" s="1"/>
  <c r="N16" i="12" s="1"/>
  <c r="M16" i="12" s="1"/>
  <c r="L16" i="12" s="1"/>
  <c r="K16" i="12" s="1"/>
  <c r="I16" i="12" s="1"/>
  <c r="H16" i="12" s="1"/>
  <c r="G16" i="12" s="1"/>
  <c r="F16" i="12" s="1"/>
  <c r="E16" i="12" s="1"/>
  <c r="C16" i="12" s="1"/>
  <c r="AL12" i="12" l="1"/>
  <c r="AL15" i="12" s="1"/>
  <c r="AL16" i="12" s="1"/>
  <c r="AL19" i="6"/>
  <c r="AL31" i="6" s="1"/>
  <c r="AL36" i="6" s="1"/>
  <c r="AL40" i="6" s="1"/>
  <c r="AL17" i="12" s="1"/>
  <c r="AY54" i="4" l="1"/>
  <c r="AY26" i="4" l="1"/>
  <c r="AY13" i="4"/>
  <c r="AY46" i="4"/>
  <c r="AY68" i="4" l="1"/>
  <c r="AY28" i="4"/>
  <c r="BH13" i="12" l="1"/>
  <c r="BH15" i="12" l="1"/>
  <c r="BH16" i="12" s="1"/>
  <c r="BH31" i="6"/>
  <c r="BH36" i="6" s="1"/>
  <c r="BH40" i="6" s="1"/>
  <c r="BH17" i="12" s="1"/>
  <c r="AA63" i="3" l="1"/>
  <c r="Y63" i="3"/>
  <c r="W63" i="3"/>
  <c r="U63" i="3"/>
  <c r="S63" i="3"/>
  <c r="Q63" i="3"/>
  <c r="O63" i="3"/>
  <c r="M63" i="3"/>
  <c r="K63" i="3"/>
  <c r="I63" i="3"/>
  <c r="G63" i="3"/>
  <c r="E63" i="3"/>
  <c r="E66" i="3" s="1"/>
  <c r="E68" i="3" s="1"/>
  <c r="C63" i="3"/>
  <c r="C66" i="3" s="1"/>
  <c r="C68" i="3" s="1"/>
  <c r="AD63" i="3"/>
  <c r="Z63" i="3"/>
  <c r="X6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 Haertel</author>
    <author>gabriel</author>
  </authors>
  <commentList>
    <comment ref="AB6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Marcos Haertel:</t>
        </r>
        <r>
          <rPr>
            <sz val="9"/>
            <color indexed="81"/>
            <rFont val="Tahoma"/>
            <family val="2"/>
          </rPr>
          <t xml:space="preserve">
Dividendos de R$160 milhões foram incluídos nesta linha</t>
        </r>
      </text>
    </comment>
    <comment ref="AD6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Dividendos de R$160 milhões foram incluídos nesta linha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O6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Diferença de R$ 2.053 no caixa em função da implementação do IFRS Regra 10 e 11, adotada a partir de 1/1/2013</t>
        </r>
      </text>
    </comment>
  </commentList>
</comments>
</file>

<file path=xl/sharedStrings.xml><?xml version="1.0" encoding="utf-8"?>
<sst xmlns="http://schemas.openxmlformats.org/spreadsheetml/2006/main" count="1816" uniqueCount="687">
  <si>
    <t>ATIVO</t>
  </si>
  <si>
    <t>Circulante</t>
  </si>
  <si>
    <t>Contas a receber de clientes</t>
  </si>
  <si>
    <t>Impostos a recuperar</t>
  </si>
  <si>
    <t>Total do ativo circulante</t>
  </si>
  <si>
    <t>Investimentos em controladas</t>
  </si>
  <si>
    <t>Imobilizado</t>
  </si>
  <si>
    <t>Não Circulante</t>
  </si>
  <si>
    <t>Intangível</t>
  </si>
  <si>
    <t>Total do ativo não circulante</t>
  </si>
  <si>
    <t>PASSIVO</t>
  </si>
  <si>
    <t>Empréstimos e financiamentos</t>
  </si>
  <si>
    <t>Fornecedores</t>
  </si>
  <si>
    <t>Obrigações por aquisição de imóveis</t>
  </si>
  <si>
    <t>Impostos a recolher</t>
  </si>
  <si>
    <t>Provisão para IR e contribuição social</t>
  </si>
  <si>
    <t>Provisão para gratificação a empregados e adm.</t>
  </si>
  <si>
    <t>Salários e encargos sociais a pagar</t>
  </si>
  <si>
    <t>Total do passivo circulante</t>
  </si>
  <si>
    <t>Total do passivo não circulante</t>
  </si>
  <si>
    <t>PATRIMÔNIO LÍQUIDO</t>
  </si>
  <si>
    <t>Total do patrimônio líquido</t>
  </si>
  <si>
    <t>Total do passivo</t>
  </si>
  <si>
    <t>Dividendos a pagar</t>
  </si>
  <si>
    <t>Receitas de aluguel</t>
  </si>
  <si>
    <t>Receita de prestação de serviços</t>
  </si>
  <si>
    <t>Deduções da receita bruta:</t>
  </si>
  <si>
    <t>Impostos sobre as receitas</t>
  </si>
  <si>
    <t>Abatimentos</t>
  </si>
  <si>
    <t>Receita Operacional líquida</t>
  </si>
  <si>
    <t>Lucro bruto</t>
  </si>
  <si>
    <t>Despesas gerais e administrativas</t>
  </si>
  <si>
    <t>Honorários da administração</t>
  </si>
  <si>
    <t>Plano de opção de compras de ações</t>
  </si>
  <si>
    <t>Receitas financeiras</t>
  </si>
  <si>
    <t>Despesas financeiras</t>
  </si>
  <si>
    <t>Imposto de renda e contribuição social</t>
  </si>
  <si>
    <t>Receita de vendas de imóveis</t>
  </si>
  <si>
    <t>Outras receitas (despesas) operacionais</t>
  </si>
  <si>
    <t>IR Diferido</t>
  </si>
  <si>
    <t>Fluxo de caixa das atividades operacionais</t>
  </si>
  <si>
    <t>Ajuste para reconciliação do lucro líquido do ano</t>
  </si>
  <si>
    <t>com o caixa gerado pelas atividades operacionais</t>
  </si>
  <si>
    <t>Juros e variações monetárias</t>
  </si>
  <si>
    <t>Plano de opção de compra de ações</t>
  </si>
  <si>
    <t>Outros ativos</t>
  </si>
  <si>
    <t>Contas a pagar e outros</t>
  </si>
  <si>
    <t>Tomada de empréstimos e financiamentos</t>
  </si>
  <si>
    <t>Pagamento de empréstimos e financiamentos</t>
  </si>
  <si>
    <t>Aumento de capital</t>
  </si>
  <si>
    <t xml:space="preserve">Saldo de caixa e equivalentes no início do exercício </t>
  </si>
  <si>
    <t xml:space="preserve">Saldo de caixa e equivalentes no final do exercício </t>
  </si>
  <si>
    <t>Recebimento na venda de imobilizado</t>
  </si>
  <si>
    <t>Imóveis disponíveis a venda</t>
  </si>
  <si>
    <t>Gastos com emissão de ações</t>
  </si>
  <si>
    <t xml:space="preserve">Lucro (prejuízo) do exercício </t>
  </si>
  <si>
    <t>Receitas (despesas) operacionais:</t>
  </si>
  <si>
    <t>Outros</t>
  </si>
  <si>
    <t>Aquisição/Aplicação de imobilizado</t>
  </si>
  <si>
    <t>Resultado não operacional</t>
  </si>
  <si>
    <t>Caixa e equivalentes de caixa</t>
  </si>
  <si>
    <t>Clientes</t>
  </si>
  <si>
    <t>Créditos diversos</t>
  </si>
  <si>
    <t>Depósitos Judiciais</t>
  </si>
  <si>
    <t>Ativo Permanente</t>
  </si>
  <si>
    <t>Total do ativo permanente</t>
  </si>
  <si>
    <t xml:space="preserve">Total do ativo </t>
  </si>
  <si>
    <t>Obrigações por Aquisição de Imóvel</t>
  </si>
  <si>
    <t>Operações Com Derivativos</t>
  </si>
  <si>
    <t>Capital Social Realizado</t>
  </si>
  <si>
    <t>Reservas de Capital</t>
  </si>
  <si>
    <t>Reservas de Reavaliação - controladas/coligadas</t>
  </si>
  <si>
    <t>Provisão de IRPJ e CSLL Diferidos</t>
  </si>
  <si>
    <t>Provisão para gratificação a empregados e administradores</t>
  </si>
  <si>
    <t>Estado</t>
  </si>
  <si>
    <t>Plaza Centenário</t>
  </si>
  <si>
    <t>Escritório</t>
  </si>
  <si>
    <t>PR</t>
  </si>
  <si>
    <t>Panamérica Park</t>
  </si>
  <si>
    <t>SP</t>
  </si>
  <si>
    <t>Glória</t>
  </si>
  <si>
    <t>RJ</t>
  </si>
  <si>
    <t>Alphaville</t>
  </si>
  <si>
    <t>Bolsa RJ</t>
  </si>
  <si>
    <t>Athenas</t>
  </si>
  <si>
    <t>Joaquim Floriano</t>
  </si>
  <si>
    <t>Midas</t>
  </si>
  <si>
    <t>Number One</t>
  </si>
  <si>
    <t>Paulista Park</t>
  </si>
  <si>
    <t>Paulista Plaza</t>
  </si>
  <si>
    <t>Celebration</t>
  </si>
  <si>
    <t>Icomap</t>
  </si>
  <si>
    <t>São Pedro</t>
  </si>
  <si>
    <t>Vargas</t>
  </si>
  <si>
    <t>Henrique Schaumann</t>
  </si>
  <si>
    <t>Raja Hills</t>
  </si>
  <si>
    <t>MG</t>
  </si>
  <si>
    <t>MV9</t>
  </si>
  <si>
    <t>Ed. Comercial Indaiatuba</t>
  </si>
  <si>
    <t>Sylvio Fraga</t>
  </si>
  <si>
    <t>Sto Antônio</t>
  </si>
  <si>
    <t>São José</t>
  </si>
  <si>
    <t>Alexandre Dumas</t>
  </si>
  <si>
    <t>Ouvidor 107</t>
  </si>
  <si>
    <t>TNU</t>
  </si>
  <si>
    <t>CBOP - Ed. Jacarandá</t>
  </si>
  <si>
    <t>RB 115</t>
  </si>
  <si>
    <t>Manchete</t>
  </si>
  <si>
    <t>BP Jundiaí</t>
  </si>
  <si>
    <t>BP Itapeví</t>
  </si>
  <si>
    <t>Jandira I (Vetco)</t>
  </si>
  <si>
    <t>Jandira II (Interfile)</t>
  </si>
  <si>
    <t>Galpão Ind. Paraná (Coveright)</t>
  </si>
  <si>
    <t>Galpão Ind. Araucária (Interbox)</t>
  </si>
  <si>
    <t>Galpão Itapevi (Trisoft)</t>
  </si>
  <si>
    <t>Galpão Sorocaba (Tecsis)</t>
  </si>
  <si>
    <t>CD Castelo</t>
  </si>
  <si>
    <t>DP Araucária</t>
  </si>
  <si>
    <t>DP Louveira 8 e 9</t>
  </si>
  <si>
    <t>Piraporinha</t>
  </si>
  <si>
    <t>Souza Aranha (50%)</t>
  </si>
  <si>
    <t>ABL Próprio Total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</si>
  <si>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</si>
  <si>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</si>
  <si>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</si>
  <si>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</si>
  <si>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</si>
  <si>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</si>
  <si>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</si>
  <si>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</si>
  <si>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</si>
  <si>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</si>
  <si>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TOTAL</t>
  </si>
  <si>
    <t>1T08</t>
  </si>
  <si>
    <t>DP Louveira 3, 4,</t>
  </si>
  <si>
    <t>DP Louveira 5, 6</t>
  </si>
  <si>
    <t>KPMG Tower*</t>
  </si>
  <si>
    <t>Generali*</t>
  </si>
  <si>
    <t>George V*</t>
  </si>
  <si>
    <t>Isabela Plaza (cj. 41)*</t>
  </si>
  <si>
    <t>Twin Towers*</t>
  </si>
  <si>
    <t>* Propriedades vendidas</t>
  </si>
  <si>
    <t>Varejo</t>
  </si>
  <si>
    <t>Tipo</t>
  </si>
  <si>
    <t>Industrial</t>
  </si>
  <si>
    <t>BBP - CEA - Topázio</t>
  </si>
  <si>
    <t>BBP - CEA - Cristal</t>
  </si>
  <si>
    <t>BBP - Barão de Mauá - Beethoven</t>
  </si>
  <si>
    <t>BBP - Barão de Mauá - Brahms</t>
  </si>
  <si>
    <t>BBP - Barão de Mauá - Fernando Pessoa</t>
  </si>
  <si>
    <t>BBP - Barão de Mauá - Mozart</t>
  </si>
  <si>
    <t>Portfolio C&amp;A</t>
  </si>
  <si>
    <t>Alphaville Centro Ind. e Empr.</t>
  </si>
  <si>
    <t>Ed. Cetenco Plaza</t>
  </si>
  <si>
    <t>Ed. Santa Catarina</t>
  </si>
  <si>
    <t>Call Center Conexão</t>
  </si>
  <si>
    <t>n/a</t>
  </si>
  <si>
    <t>4T10</t>
  </si>
  <si>
    <t>1T11</t>
  </si>
  <si>
    <t>BR GAAP</t>
  </si>
  <si>
    <t>IFRS</t>
  </si>
  <si>
    <t>Linearização da Receita</t>
  </si>
  <si>
    <t>Ganho na venda de propriedade p/ investimento</t>
  </si>
  <si>
    <t>Ganho com valor justo de propriedade p/ investimento</t>
  </si>
  <si>
    <t>Valor justo das propriedades p/ investimentos</t>
  </si>
  <si>
    <t>Imposto de renda diferido</t>
  </si>
  <si>
    <t>Linearização das receitas de aluguel</t>
  </si>
  <si>
    <t>Aquisição de propriedades p/ investimentos</t>
  </si>
  <si>
    <t>Propriedades para Investimento</t>
  </si>
  <si>
    <t>Instrumentos Financeiros Derivativos</t>
  </si>
  <si>
    <t>Imóveis destinados a venda</t>
  </si>
  <si>
    <t>Redução (aumento) dos ativos</t>
  </si>
  <si>
    <t>Aumento (redução) dos passivos</t>
  </si>
  <si>
    <t>Perdas (Ganhos) com Instrumentos Financeiros Derivativos</t>
  </si>
  <si>
    <t>Caixa gerado (aplicado) nas atividades operacionais</t>
  </si>
  <si>
    <t xml:space="preserve">DP Louveira I </t>
  </si>
  <si>
    <t xml:space="preserve">DP Louveira II </t>
  </si>
  <si>
    <t>Isabela Plaza*</t>
  </si>
  <si>
    <t>Receita Bruta</t>
  </si>
  <si>
    <t>&gt; Locações</t>
  </si>
  <si>
    <t>&gt; Serviços</t>
  </si>
  <si>
    <t>&gt; Linearização</t>
  </si>
  <si>
    <t>Receita Líquida</t>
  </si>
  <si>
    <t xml:space="preserve">Despesas Gerais e Administrativas </t>
  </si>
  <si>
    <t>Operacionais</t>
  </si>
  <si>
    <t>ABL Total (m²)</t>
  </si>
  <si>
    <t>&gt; Escritório (m²)</t>
  </si>
  <si>
    <t>&gt; Varejo (m²)</t>
  </si>
  <si>
    <t>ABL Total - Desenvolvimentos (m²)</t>
  </si>
  <si>
    <t>Vacância Financeira</t>
  </si>
  <si>
    <t>Vacância Física</t>
  </si>
  <si>
    <t>Financeiros (R$ mil)</t>
  </si>
  <si>
    <t>EBITDA*</t>
  </si>
  <si>
    <t>&gt; Vendas</t>
  </si>
  <si>
    <t>Indicadores</t>
  </si>
  <si>
    <t>Portfólio</t>
  </si>
  <si>
    <t>Receita operacional bruta</t>
  </si>
  <si>
    <t>Custos dos imóveis alugados e serviços prestados</t>
  </si>
  <si>
    <t>Lucro (prejuízo) operacional antes de IR e CSLL</t>
  </si>
  <si>
    <t>Fluxo de caixa nas atividades de financiamento</t>
  </si>
  <si>
    <t>Caixa originado nas atividades de financiamento</t>
  </si>
  <si>
    <t>Adiantamentos para aquisição de imóveis</t>
  </si>
  <si>
    <t>Fluxo de caixa das atividades de investimento</t>
  </si>
  <si>
    <t>Caixa aplicado nas atividades de investimento</t>
  </si>
  <si>
    <t>Aumento (redução) de caixa e equivalentes de caixa</t>
  </si>
  <si>
    <t>Propriedade</t>
  </si>
  <si>
    <t>Cidade</t>
  </si>
  <si>
    <t>São Paulo</t>
  </si>
  <si>
    <t>Rio de Janeiro</t>
  </si>
  <si>
    <t>Barueri</t>
  </si>
  <si>
    <t>Souza Aranha</t>
  </si>
  <si>
    <t>Ed. Manchete</t>
  </si>
  <si>
    <t>Sub-total Escritório</t>
  </si>
  <si>
    <t>Jundiaí</t>
  </si>
  <si>
    <t>Total</t>
  </si>
  <si>
    <t>ABL Próprio
(m²)</t>
  </si>
  <si>
    <t>Cond. Ind. São José dos Campos</t>
  </si>
  <si>
    <t>Piraporinha*</t>
  </si>
  <si>
    <t>2T11</t>
  </si>
  <si>
    <t>Capital a Integralizar</t>
  </si>
  <si>
    <t>Instituição</t>
  </si>
  <si>
    <t>Índice</t>
  </si>
  <si>
    <t>Cupom</t>
  </si>
  <si>
    <t>Prazo</t>
  </si>
  <si>
    <t>Vencimento</t>
  </si>
  <si>
    <t>Itaú BBA/ Unibanco</t>
  </si>
  <si>
    <t>IGPM</t>
  </si>
  <si>
    <t>BP Itapevi</t>
  </si>
  <si>
    <t>TR</t>
  </si>
  <si>
    <t>Isabela</t>
  </si>
  <si>
    <t>Olympic</t>
  </si>
  <si>
    <t>Network</t>
  </si>
  <si>
    <t>Jandira I &amp; II</t>
  </si>
  <si>
    <t>CDI</t>
  </si>
  <si>
    <t>Ed. Vargas</t>
  </si>
  <si>
    <t>São José &amp; Santo Antônio</t>
  </si>
  <si>
    <t>Cond. Ind. Itapevi</t>
  </si>
  <si>
    <t>Santander</t>
  </si>
  <si>
    <t>Galpão Ind. Sorocaba</t>
  </si>
  <si>
    <t>Bradesco</t>
  </si>
  <si>
    <t>Perpétuo</t>
  </si>
  <si>
    <t>Athenas*</t>
  </si>
  <si>
    <t>Joaquim Floriano*</t>
  </si>
  <si>
    <t>4T07</t>
  </si>
  <si>
    <t>3T07</t>
  </si>
  <si>
    <t>2T07</t>
  </si>
  <si>
    <t>Berrini*</t>
  </si>
  <si>
    <t>Itaú BBA</t>
  </si>
  <si>
    <t>3T11</t>
  </si>
  <si>
    <t>Variação cambial líquida</t>
  </si>
  <si>
    <t>Performance da Ação (BRPR3)</t>
  </si>
  <si>
    <t>Preço da ação (média do período)</t>
  </si>
  <si>
    <t>Preço da ação (final do período)</t>
  </si>
  <si>
    <t>Volume financeiro médio diário (R$ milhões)</t>
  </si>
  <si>
    <t>Volume de ações médio diário</t>
  </si>
  <si>
    <t>Número de negociações médio diário</t>
  </si>
  <si>
    <t>Número total de ações (R$ mil)</t>
  </si>
  <si>
    <t>Ed. Jacarandá</t>
  </si>
  <si>
    <t>Outros Ajustes</t>
  </si>
  <si>
    <t>Dividendos Pagos</t>
  </si>
  <si>
    <t>Data
 Aquisição</t>
  </si>
  <si>
    <t>Nº de 
Imóveis</t>
  </si>
  <si>
    <t>4T11</t>
  </si>
  <si>
    <t>1T12</t>
  </si>
  <si>
    <t>Ed. Ventura - Torre Oeste</t>
  </si>
  <si>
    <t>Águas Claras</t>
  </si>
  <si>
    <t>Chucri Zaidan</t>
  </si>
  <si>
    <t>Barra Funda</t>
  </si>
  <si>
    <t>Barra da Tijuca</t>
  </si>
  <si>
    <t>Brasília</t>
  </si>
  <si>
    <t>Porto Alegre</t>
  </si>
  <si>
    <t>Ed. Ventura - Torre Leste</t>
  </si>
  <si>
    <t>DF</t>
  </si>
  <si>
    <t>RS</t>
  </si>
  <si>
    <t>Galpão Suape I</t>
  </si>
  <si>
    <t>Galpão Palmares</t>
  </si>
  <si>
    <t>Galpão Suape II</t>
  </si>
  <si>
    <t>Galpão Vinhedo</t>
  </si>
  <si>
    <t>Galpão SBC</t>
  </si>
  <si>
    <t>Galpão Pirituba</t>
  </si>
  <si>
    <t>Galpão DF</t>
  </si>
  <si>
    <t>Galpão Duque de Caxias</t>
  </si>
  <si>
    <t>Galpão Resende</t>
  </si>
  <si>
    <t>Galpão Queimados</t>
  </si>
  <si>
    <t>PE</t>
  </si>
  <si>
    <t>Varejo Barra da Tijuca</t>
  </si>
  <si>
    <t>Varejo Marginal Tietê</t>
  </si>
  <si>
    <t>Midas*</t>
  </si>
  <si>
    <t>Network Empresarial*</t>
  </si>
  <si>
    <t>Number One*</t>
  </si>
  <si>
    <t>Olympic Tower*</t>
  </si>
  <si>
    <t>Paulista Plaza*</t>
  </si>
  <si>
    <t>Paço do Ouvidor*</t>
  </si>
  <si>
    <t>Condominio Ind. São José dos Campos</t>
  </si>
  <si>
    <t>Modalidade</t>
  </si>
  <si>
    <t>Bônus Perpétuo</t>
  </si>
  <si>
    <t>Mercado de Capitais</t>
  </si>
  <si>
    <t>BR Properties (holding)</t>
  </si>
  <si>
    <t>Banco do Brasil</t>
  </si>
  <si>
    <t>CCB</t>
  </si>
  <si>
    <t>BRPR 62</t>
  </si>
  <si>
    <t>HSBC</t>
  </si>
  <si>
    <t>BRPR 45</t>
  </si>
  <si>
    <t>CRI</t>
  </si>
  <si>
    <t>BRPR 46</t>
  </si>
  <si>
    <t>BRPR 53</t>
  </si>
  <si>
    <t>BRPR 52</t>
  </si>
  <si>
    <t>BRPR 56</t>
  </si>
  <si>
    <t>BRPR 55</t>
  </si>
  <si>
    <t>CCI</t>
  </si>
  <si>
    <t>RB Capital</t>
  </si>
  <si>
    <t>IPCA</t>
  </si>
  <si>
    <t>BRPR 40</t>
  </si>
  <si>
    <t>BRPR 47</t>
  </si>
  <si>
    <t>BRPR 42</t>
  </si>
  <si>
    <t>Nova Lima</t>
  </si>
  <si>
    <t>Cidade Jardim</t>
  </si>
  <si>
    <t>DP Louveira 7</t>
  </si>
  <si>
    <t>Complexo JK - Bloco B</t>
  </si>
  <si>
    <t>WTNU - Torre III</t>
  </si>
  <si>
    <t>Ed. Paulista</t>
  </si>
  <si>
    <t>Ed. CES II</t>
  </si>
  <si>
    <t>Ed. Bayview</t>
  </si>
  <si>
    <t>Participação dos Acionistas Não Controladores</t>
  </si>
  <si>
    <t>Caixa Líquido Adquirido de Investida Incorporada</t>
  </si>
  <si>
    <t>Lucro Líquido</t>
  </si>
  <si>
    <t xml:space="preserve">         Margem EBITDA (%)</t>
  </si>
  <si>
    <t xml:space="preserve">Pateo Bandeirantes </t>
  </si>
  <si>
    <t>2T12</t>
  </si>
  <si>
    <t>Escritório AAA</t>
  </si>
  <si>
    <t>Centro Empresarial Senado</t>
  </si>
  <si>
    <t>Complexo JK - Bloco D&amp;E</t>
  </si>
  <si>
    <t>3T12</t>
  </si>
  <si>
    <t xml:space="preserve">BR Properties (holding)      </t>
  </si>
  <si>
    <t xml:space="preserve">BR Properties (holding)       </t>
  </si>
  <si>
    <t>Recebimento de Ganhos com Instrumentos Financeiros</t>
  </si>
  <si>
    <t>Pagamento de Perdas com Instrumentos Financeiros</t>
  </si>
  <si>
    <t>Recompra de Ações</t>
  </si>
  <si>
    <t>4T12</t>
  </si>
  <si>
    <t>CD Anhanguera</t>
  </si>
  <si>
    <t>1T13</t>
  </si>
  <si>
    <t>MTM Juros do Bônus Perpétuo</t>
  </si>
  <si>
    <t>MTM do Swap</t>
  </si>
  <si>
    <t>Participação de Não Controladores</t>
  </si>
  <si>
    <t>Outros Passivos</t>
  </si>
  <si>
    <t xml:space="preserve">Gaia Terra -  Andiroba - Fase 1 </t>
  </si>
  <si>
    <t>Sub-total Terrenos</t>
  </si>
  <si>
    <t>2T13</t>
  </si>
  <si>
    <t>Lucro/ Prejuízo do Período Antes de PNC</t>
  </si>
  <si>
    <t>3T13</t>
  </si>
  <si>
    <t>Lucro (prejuízo) do exercício antes de  IR e CSLL</t>
  </si>
  <si>
    <t>&gt; Industrial (m²)</t>
  </si>
  <si>
    <t>4T13</t>
  </si>
  <si>
    <t>Debêntures - 4ª Emissão</t>
  </si>
  <si>
    <t>1T14</t>
  </si>
  <si>
    <t>Panamérica Green Park I</t>
  </si>
  <si>
    <t>Gaia Ar - Tucano</t>
  </si>
  <si>
    <t>Panamérica Green Park II</t>
  </si>
  <si>
    <t>Panamérica Green Park III</t>
  </si>
  <si>
    <t>IGP-M</t>
  </si>
  <si>
    <t>* Comparação entre: o aluguel médio da mesma propriedade no período atual vs o aluguel médio da mesma propriedade em igual período do ano passado</t>
  </si>
  <si>
    <t>* Em termos nominais</t>
  </si>
  <si>
    <t>2T14</t>
  </si>
  <si>
    <t>Resultados apurados na venda de investimentos</t>
  </si>
  <si>
    <t>Alteração de Participações em Controladas</t>
  </si>
  <si>
    <t>3T14</t>
  </si>
  <si>
    <t>4T14</t>
  </si>
  <si>
    <t>Debêntures - 5ª Emissão</t>
  </si>
  <si>
    <t>60 Meses</t>
  </si>
  <si>
    <t>120 meses</t>
  </si>
  <si>
    <t>1T15</t>
  </si>
  <si>
    <t>¹ IPCA e Outros</t>
  </si>
  <si>
    <t>2T15</t>
  </si>
  <si>
    <t>Empréstimos</t>
  </si>
  <si>
    <t>Saldo 2T15</t>
  </si>
  <si>
    <t>CDC</t>
  </si>
  <si>
    <t>Galpão Ind. Araucária</t>
  </si>
  <si>
    <t>Brazilian Securities</t>
  </si>
  <si>
    <t>Brazilian Mortgages</t>
  </si>
  <si>
    <t>CIBRASEC</t>
  </si>
  <si>
    <t xml:space="preserve">BRPR 51  </t>
  </si>
  <si>
    <t xml:space="preserve">BRPR 62 </t>
  </si>
  <si>
    <t xml:space="preserve">BR Properties (holding)   </t>
  </si>
  <si>
    <t xml:space="preserve">BR Properties (holding)    </t>
  </si>
  <si>
    <t>Debêntures - 1ª Emissão</t>
  </si>
  <si>
    <t>Vargas II</t>
  </si>
  <si>
    <t>Saldo 1T15</t>
  </si>
  <si>
    <t>Saldo 3T15</t>
  </si>
  <si>
    <t>3T15</t>
  </si>
  <si>
    <t>4T15</t>
  </si>
  <si>
    <t>Saldo 4T15</t>
  </si>
  <si>
    <t>Pré-pagável (Tri)</t>
  </si>
  <si>
    <t>1T16</t>
  </si>
  <si>
    <t>Resultado Financeiro na Recompra do Bônus Perpétuo</t>
  </si>
  <si>
    <t>Saldo 1T16</t>
  </si>
  <si>
    <t>2T16</t>
  </si>
  <si>
    <t>Saldo 2T16</t>
  </si>
  <si>
    <t>Souza Aranha II</t>
  </si>
  <si>
    <t xml:space="preserve">Galpão Pirituba </t>
  </si>
  <si>
    <t>USD</t>
  </si>
  <si>
    <t>3T16</t>
  </si>
  <si>
    <t>Saldo 3T16</t>
  </si>
  <si>
    <t>Complexo JK - Bloco B ¹</t>
  </si>
  <si>
    <t>Complexo JK - Bloco B ²</t>
  </si>
  <si>
    <t>Custos de Transação</t>
  </si>
  <si>
    <t>Outros ativos não circulantes a receber</t>
  </si>
  <si>
    <t>Lucros (Prejuízo) do Exercício</t>
  </si>
  <si>
    <t xml:space="preserve">Lucros/Prejuízos Acumulados </t>
  </si>
  <si>
    <t>Depreciação e Amortização</t>
  </si>
  <si>
    <t>Passeio Corporate</t>
  </si>
  <si>
    <t>4T16</t>
  </si>
  <si>
    <t>Saldo 4T16</t>
  </si>
  <si>
    <t>Debêntures - 6ª Emissão</t>
  </si>
  <si>
    <t>1T17</t>
  </si>
  <si>
    <t>Saldo 1T17</t>
  </si>
  <si>
    <t>* Considera somente o aluguel médio das áreas locadas de cada propriedade</t>
  </si>
  <si>
    <t>2T17</t>
  </si>
  <si>
    <t>Jarinu</t>
  </si>
  <si>
    <t>Sub-total Industrial</t>
  </si>
  <si>
    <t>Complexo Centenário Plaza</t>
  </si>
  <si>
    <t>Galpão Imbuia</t>
  </si>
  <si>
    <t>Saldo 2T17</t>
  </si>
  <si>
    <t>Obrigação por Aquisição</t>
  </si>
  <si>
    <t>Opportunity FII</t>
  </si>
  <si>
    <t>Rendimento de Títulos e Valores Mobíliarios</t>
  </si>
  <si>
    <t>Conta</t>
  </si>
  <si>
    <t>DRE</t>
  </si>
  <si>
    <t>(1)</t>
  </si>
  <si>
    <t>(2)</t>
  </si>
  <si>
    <t xml:space="preserve">    Receita de Locação</t>
  </si>
  <si>
    <t>(3)</t>
  </si>
  <si>
    <t xml:space="preserve">        Escritórios</t>
  </si>
  <si>
    <t>(4)</t>
  </si>
  <si>
    <t xml:space="preserve">        Industrial</t>
  </si>
  <si>
    <t>(5)</t>
  </si>
  <si>
    <t>(6)</t>
  </si>
  <si>
    <t xml:space="preserve">    Receita de Serviços</t>
  </si>
  <si>
    <t>(7)</t>
  </si>
  <si>
    <t>Deduções da Receita Bruta</t>
  </si>
  <si>
    <t>(8)</t>
  </si>
  <si>
    <t xml:space="preserve">    Impostos (PIS/Cofins e ISS)</t>
  </si>
  <si>
    <t>(9)</t>
  </si>
  <si>
    <t xml:space="preserve">    Abatimentos</t>
  </si>
  <si>
    <t>(10)</t>
  </si>
  <si>
    <t>(11)</t>
  </si>
  <si>
    <t>Custo de Bens</t>
  </si>
  <si>
    <t>(12)</t>
  </si>
  <si>
    <t>Lucro Bruto</t>
  </si>
  <si>
    <t>(13)</t>
  </si>
  <si>
    <t>Despesas Gerais e Administrativas</t>
  </si>
  <si>
    <t>(14)</t>
  </si>
  <si>
    <t xml:space="preserve">   Despesas Operacionais</t>
  </si>
  <si>
    <t>(15)</t>
  </si>
  <si>
    <t xml:space="preserve">   Impostos e Tributos</t>
  </si>
  <si>
    <t>(16)</t>
  </si>
  <si>
    <t xml:space="preserve">   Despesas com Pessoal</t>
  </si>
  <si>
    <t>(17)</t>
  </si>
  <si>
    <t xml:space="preserve">   Honorários da Administração</t>
  </si>
  <si>
    <t>(18)</t>
  </si>
  <si>
    <t xml:space="preserve">   Provisão de ILP / Stock Option</t>
  </si>
  <si>
    <t>(19)</t>
  </si>
  <si>
    <t xml:space="preserve">   Despesas de Vacância</t>
  </si>
  <si>
    <t>(20)</t>
  </si>
  <si>
    <t>Resultado Financeiro</t>
  </si>
  <si>
    <t>(21)</t>
  </si>
  <si>
    <t xml:space="preserve">   Receitas Financeiras</t>
  </si>
  <si>
    <t>(22)</t>
  </si>
  <si>
    <t xml:space="preserve">   Despesas Financeiras</t>
  </si>
  <si>
    <t>(23)</t>
  </si>
  <si>
    <t>Outras Receitas/Despesas Operacionais</t>
  </si>
  <si>
    <t>(24)</t>
  </si>
  <si>
    <t>Ganho/(Perda) na Venda de Propriedade para Investimento</t>
  </si>
  <si>
    <t>(25)</t>
  </si>
  <si>
    <t>Ganho/(Perda) com Valor Justo de Propriedade para Invest.</t>
  </si>
  <si>
    <t>(26)</t>
  </si>
  <si>
    <t>Resultado antes de Tributação</t>
  </si>
  <si>
    <t>(27)</t>
  </si>
  <si>
    <t>Provisão para IR e CSLL</t>
  </si>
  <si>
    <t>(28)</t>
  </si>
  <si>
    <t>Impostos Diferidos</t>
  </si>
  <si>
    <t>(29)</t>
  </si>
  <si>
    <t>(30)</t>
  </si>
  <si>
    <t>(31)</t>
  </si>
  <si>
    <t>Lucro (Prejuízo) Líquido do Exercício</t>
  </si>
  <si>
    <t>Composição do EBITDA Ajustado</t>
  </si>
  <si>
    <t>(+) Impostos Diferidos</t>
  </si>
  <si>
    <t>(+) Provisão para IR e CSLL</t>
  </si>
  <si>
    <t>(-) Ganho/Perda com Valor Justo de Propriedade para Invest.</t>
  </si>
  <si>
    <t>(-) Ganho/Perda na Venda de Propriedade para Investimento</t>
  </si>
  <si>
    <t>(+) Outras Receitas/Despesas Operacionais</t>
  </si>
  <si>
    <t>(+) Resultado Financeiro</t>
  </si>
  <si>
    <t>(+) Provisão de ILP / Stock Option</t>
  </si>
  <si>
    <t>(+) PIS/Cofins sobre Venda de Ativos (Galpão SBC)</t>
  </si>
  <si>
    <t>(+) ITBI na Incorporação One Properties</t>
  </si>
  <si>
    <t>(+) Depreciação</t>
  </si>
  <si>
    <t>(34)</t>
  </si>
  <si>
    <t>EBITDA Ajustado</t>
  </si>
  <si>
    <t>Margem EBITDA Ajustado</t>
  </si>
  <si>
    <t>Composição do Lucro Líquido Ajustado (FFO)</t>
  </si>
  <si>
    <t>(+) Impostos de Renda sobre Vendas de Propriedades</t>
  </si>
  <si>
    <t>(+) Outras Receitas/Despesas Operacionais (Não-Recorrentes)</t>
  </si>
  <si>
    <t>(+) Variações Não-Caixa (MTM de Juros e Swap do Bônus Perpétuo)</t>
  </si>
  <si>
    <t>Lucro Líquido Ajustado (FFO)</t>
  </si>
  <si>
    <t>Margem Lucro Líquido Ajustado (Margem FFO)</t>
  </si>
  <si>
    <t>Ativo Circulante</t>
  </si>
  <si>
    <t>Caixa e Equivalentes de Caixa</t>
  </si>
  <si>
    <t>Contas a Receber</t>
  </si>
  <si>
    <t>Instrumentos Derivativos</t>
  </si>
  <si>
    <t>Imóveis Destinados a venda</t>
  </si>
  <si>
    <t>Despesas Antecipadas</t>
  </si>
  <si>
    <t>Impostos Antecipados / a Compensar / a Recuperar</t>
  </si>
  <si>
    <t>Outros Valores a Receber</t>
  </si>
  <si>
    <t>Ativo Não Circulante</t>
  </si>
  <si>
    <t>IR e CS Diferidos</t>
  </si>
  <si>
    <t>Tributos a Recuperar</t>
  </si>
  <si>
    <t>Outros Ativos Não Circulantes a Receber</t>
  </si>
  <si>
    <t>Imobilizado de uso</t>
  </si>
  <si>
    <t>Ativo Total</t>
  </si>
  <si>
    <t>Passivo Circulante</t>
  </si>
  <si>
    <t xml:space="preserve">Empréstimos e Financiamentos </t>
  </si>
  <si>
    <t xml:space="preserve">Derivativos </t>
  </si>
  <si>
    <t>Contas a Pagar</t>
  </si>
  <si>
    <t>Impostos e Contribuições a Recolher</t>
  </si>
  <si>
    <t xml:space="preserve">IR e CS Correntes </t>
  </si>
  <si>
    <t>Provisão para gratificação a empregados</t>
  </si>
  <si>
    <t>Obrigações Trabalhistas</t>
  </si>
  <si>
    <t>Dividendos a Pagar</t>
  </si>
  <si>
    <t>Outros débitos e valores a pagar</t>
  </si>
  <si>
    <t>Passivo Não Circulante</t>
  </si>
  <si>
    <t xml:space="preserve">IR e CS Diferidos </t>
  </si>
  <si>
    <t>Empréstimos e Financiamentos</t>
  </si>
  <si>
    <t>Provisão para Contingências</t>
  </si>
  <si>
    <t>Outros Passivos Não Circulantes</t>
  </si>
  <si>
    <t>Patrimônio Líquido</t>
  </si>
  <si>
    <t xml:space="preserve">Capital Social </t>
  </si>
  <si>
    <t>Capital Social a Integralizar</t>
  </si>
  <si>
    <t>(-) Gastos com Emissões</t>
  </si>
  <si>
    <t>Dividendos Adicionais Propostos</t>
  </si>
  <si>
    <t>Reservas de Lucros</t>
  </si>
  <si>
    <t>Passivo Total</t>
  </si>
  <si>
    <t>Fluxo de Caixa - Consolidado</t>
  </si>
  <si>
    <t>Caixa Líquido Atividades Operacionais</t>
  </si>
  <si>
    <t>Caixa Gerado nas Operações</t>
  </si>
  <si>
    <t xml:space="preserve">   Resultado antes de Tributação</t>
  </si>
  <si>
    <t xml:space="preserve">   Depreciação e Amortização</t>
  </si>
  <si>
    <t xml:space="preserve">   Valor Justo das Propriedades para Investimento</t>
  </si>
  <si>
    <t xml:space="preserve">   Linearização das Receitas de Aluguel</t>
  </si>
  <si>
    <t xml:space="preserve">   Juros e Variações Monetárias de Empréstimos</t>
  </si>
  <si>
    <t xml:space="preserve">   MTM Juros do Bônus Perpétuo</t>
  </si>
  <si>
    <t xml:space="preserve">   MTM do Swap</t>
  </si>
  <si>
    <t xml:space="preserve">   Participação de Não Controladores</t>
  </si>
  <si>
    <t xml:space="preserve">   Variação Cambial Líquida</t>
  </si>
  <si>
    <t xml:space="preserve">   Perdas (ganhos) com Instrumentos Financeiros Derivativos</t>
  </si>
  <si>
    <t xml:space="preserve">   Rendimento de Títulos e Valores Mobíliarios</t>
  </si>
  <si>
    <t xml:space="preserve">   Plano de Opção de Compra de Ações</t>
  </si>
  <si>
    <t xml:space="preserve">   Resultados apurados na venda de investimentos</t>
  </si>
  <si>
    <t xml:space="preserve">   Outros</t>
  </si>
  <si>
    <t>Variações nos Ativos e Passivos</t>
  </si>
  <si>
    <t xml:space="preserve">   Contas a Receber de Clientes</t>
  </si>
  <si>
    <t xml:space="preserve">   Impostos a Recuperar</t>
  </si>
  <si>
    <t xml:space="preserve">   Adiantamento para Aquisição de Imóveis </t>
  </si>
  <si>
    <t xml:space="preserve">   Imóveis disponíveis à venda</t>
  </si>
  <si>
    <t xml:space="preserve">   Outros ativos</t>
  </si>
  <si>
    <t xml:space="preserve">   Contas a Pagar</t>
  </si>
  <si>
    <t xml:space="preserve">   Obrigações por Aquisição de Imóveis</t>
  </si>
  <si>
    <t xml:space="preserve">   Impostos e Contribuições</t>
  </si>
  <si>
    <t xml:space="preserve">   Provisão para Gratificação a Empregados e Administradores</t>
  </si>
  <si>
    <t xml:space="preserve">   Outros passivos</t>
  </si>
  <si>
    <t>Caixa Líquido Atividades de Investimento</t>
  </si>
  <si>
    <t xml:space="preserve">   Recebimento na Venda de Propriedades para Investimentos</t>
  </si>
  <si>
    <t xml:space="preserve">   Aquisição de Imobilizado</t>
  </si>
  <si>
    <t xml:space="preserve">   Baixa de Imobilizado</t>
  </si>
  <si>
    <t xml:space="preserve">   Aquisição de Propriedades para Investimentos</t>
  </si>
  <si>
    <t xml:space="preserve">   Recebimento de Ganhos com Instrumentos Financeiros</t>
  </si>
  <si>
    <t xml:space="preserve">   Pagamento de Perdas com Instrumentos Financeiros</t>
  </si>
  <si>
    <t xml:space="preserve">   Alteração de Participações em Controladas</t>
  </si>
  <si>
    <t>Caixa Líquido Atividades de Financiamento</t>
  </si>
  <si>
    <t xml:space="preserve">   Aumento de Capital Social</t>
  </si>
  <si>
    <t xml:space="preserve">   Ganho e Perda na Venda de Ações</t>
  </si>
  <si>
    <t xml:space="preserve">   Gastos com Emissões de Ações</t>
  </si>
  <si>
    <t xml:space="preserve">   Dividendos Pagos</t>
  </si>
  <si>
    <t xml:space="preserve">   Tomada de Empréstimos e Financiamentos</t>
  </si>
  <si>
    <t xml:space="preserve">   Pagamento de Empréstimos e Financiamentos</t>
  </si>
  <si>
    <t xml:space="preserve">   Recompra de Ações</t>
  </si>
  <si>
    <t xml:space="preserve">   Custos de Transação</t>
  </si>
  <si>
    <t>Aumento (Redução) de Caixa e Equivalentes</t>
  </si>
  <si>
    <t>3T17</t>
  </si>
  <si>
    <t>Galpão Araucária</t>
  </si>
  <si>
    <t>Saldo 3T17</t>
  </si>
  <si>
    <t>Debêntures - 7ª Emissão</t>
  </si>
  <si>
    <t>(32)</t>
  </si>
  <si>
    <t>(33)</t>
  </si>
  <si>
    <t>-</t>
  </si>
  <si>
    <t xml:space="preserve">   Investimentos em Títulos e Valores Mobiliarios</t>
  </si>
  <si>
    <t>Investimentos em Títulos e Valores Mobiliarios</t>
  </si>
  <si>
    <t>* EBITDA = Receita líquida - Despesas Gerais e Administrativas + Despesas Não Caixa ou Não Recorrentes</t>
  </si>
  <si>
    <t>4T17</t>
  </si>
  <si>
    <t>Saldo 4T17</t>
  </si>
  <si>
    <t>Debêntures - 8ª Emissão</t>
  </si>
  <si>
    <t>1T18</t>
  </si>
  <si>
    <t>Saldo 1T18</t>
  </si>
  <si>
    <t>Debêntures - 9ª Emissão</t>
  </si>
  <si>
    <t>2T18</t>
  </si>
  <si>
    <t>6M18</t>
  </si>
  <si>
    <t xml:space="preserve">Celebration </t>
  </si>
  <si>
    <t>** Propriedade Recomprada no 1T18</t>
  </si>
  <si>
    <t>GalpãoTucano **</t>
  </si>
  <si>
    <t>Saldo 2T18</t>
  </si>
  <si>
    <t>(-) Ganho AVJ com Repactuação da Dívida</t>
  </si>
  <si>
    <t>Resultado Financeiro na Repactuação da Dívida</t>
  </si>
  <si>
    <t>3T18</t>
  </si>
  <si>
    <t>9M18</t>
  </si>
  <si>
    <t xml:space="preserve">   Resultado Financeiro na Repactuação da Dívida</t>
  </si>
  <si>
    <t>Galpão Cajamar</t>
  </si>
  <si>
    <t>Saldo 3T18</t>
  </si>
  <si>
    <t>Debêntures - 10ª Emissão</t>
  </si>
  <si>
    <t>4T18</t>
  </si>
  <si>
    <t>(+) ITBI na Reestruturação Societária (Não-Recorrentes)</t>
  </si>
  <si>
    <t>(-) Reversão de Provisão (Contingência One Properties)</t>
  </si>
  <si>
    <t>(+) Outras Receitas/Despesas Não-Recorrentes</t>
  </si>
  <si>
    <t>(+) Variação Cambial Não-Caixa</t>
  </si>
  <si>
    <t>(-) Atualização Monetária (Não-Recorrentes)</t>
  </si>
  <si>
    <t>(+) Despesa de Hedge (NDF - Recompra do Bônus Perpétuo)</t>
  </si>
  <si>
    <t>Saldo 4T18</t>
  </si>
  <si>
    <t>Debêntures - 11ª Emissão</t>
  </si>
  <si>
    <t>Debêntures - 12ª Emissão</t>
  </si>
  <si>
    <t>24 meses</t>
  </si>
  <si>
    <t>36 meses</t>
  </si>
  <si>
    <t>48 meses</t>
  </si>
  <si>
    <t>84 meses</t>
  </si>
  <si>
    <t>83 meses</t>
  </si>
  <si>
    <t>1T19</t>
  </si>
  <si>
    <t>Saldo 1T19</t>
  </si>
  <si>
    <t>2T19</t>
  </si>
  <si>
    <t>Saldo 2T19</t>
  </si>
  <si>
    <t>3T19</t>
  </si>
  <si>
    <t>9M19</t>
  </si>
  <si>
    <t>Saldo 3T19</t>
  </si>
  <si>
    <t>3T19²</t>
  </si>
  <si>
    <t>4T19</t>
  </si>
  <si>
    <t>(+) Baixa de Custos de Transação Capitalizados (Pré-pagamento de Dívidas)</t>
  </si>
  <si>
    <t>² Desconsidera o efeito da saída da Petrobrás nas Torres Ventura</t>
  </si>
  <si>
    <t>4T19²</t>
  </si>
  <si>
    <t>Saldo 4T19</t>
  </si>
  <si>
    <t>1T20</t>
  </si>
  <si>
    <t>(+) Fee de Pré-Pagamento de Dívidas</t>
  </si>
  <si>
    <r>
      <rPr>
        <i/>
        <sz val="10"/>
        <color theme="1"/>
        <rFont val="Arial Nova Cond"/>
        <family val="2"/>
      </rPr>
      <t>Free Float</t>
    </r>
    <r>
      <rPr>
        <sz val="10"/>
        <color theme="1"/>
        <rFont val="Arial Nova Cond"/>
        <family val="2"/>
      </rPr>
      <t xml:space="preserve"> (%)</t>
    </r>
  </si>
  <si>
    <r>
      <rPr>
        <i/>
        <sz val="10"/>
        <color theme="1"/>
        <rFont val="Arial Nova Cond"/>
        <family val="2"/>
      </rPr>
      <t>Market Cap</t>
    </r>
    <r>
      <rPr>
        <sz val="10"/>
        <color theme="1"/>
        <rFont val="Arial Nova Cond"/>
        <family val="2"/>
      </rPr>
      <t xml:space="preserve"> final do período (R$ milhões)</t>
    </r>
  </si>
  <si>
    <t>Saldo 1T20</t>
  </si>
  <si>
    <t>1T20²</t>
  </si>
  <si>
    <t>2T20</t>
  </si>
  <si>
    <t>6M20</t>
  </si>
  <si>
    <t>Saldo 2T20</t>
  </si>
  <si>
    <t>Debêntures - 14ª Emissão</t>
  </si>
  <si>
    <r>
      <t>2T20</t>
    </r>
    <r>
      <rPr>
        <b/>
        <vertAlign val="superscript"/>
        <sz val="11"/>
        <color theme="0"/>
        <rFont val="Arial Nova Cond"/>
        <family val="2"/>
      </rPr>
      <t>2</t>
    </r>
  </si>
  <si>
    <r>
      <t xml:space="preserve">Aluguel / m² / Mês 
</t>
    </r>
    <r>
      <rPr>
        <sz val="11"/>
        <color theme="0"/>
        <rFont val="Arial Nova Cond"/>
        <family val="2"/>
      </rPr>
      <t>Mesmas Propriedades *</t>
    </r>
  </si>
  <si>
    <t>3T20</t>
  </si>
  <si>
    <t>9M20</t>
  </si>
  <si>
    <t>4T20</t>
  </si>
  <si>
    <t>Saldo 3T20</t>
  </si>
  <si>
    <t>Debêntures - 15ª Emissão</t>
  </si>
  <si>
    <r>
      <t>3T20</t>
    </r>
    <r>
      <rPr>
        <b/>
        <vertAlign val="superscript"/>
        <sz val="11"/>
        <color theme="0"/>
        <rFont val="Arial Nova Cond"/>
        <family val="2"/>
      </rPr>
      <t>2</t>
    </r>
  </si>
  <si>
    <t>Galpão Cupuaçu</t>
  </si>
  <si>
    <t>Saldo 4T20</t>
  </si>
  <si>
    <r>
      <t>4T20</t>
    </r>
    <r>
      <rPr>
        <b/>
        <vertAlign val="superscript"/>
        <sz val="11"/>
        <color theme="0"/>
        <rFont val="Arial Nova Cond"/>
        <family val="2"/>
      </rPr>
      <t>2</t>
    </r>
  </si>
  <si>
    <t>1T21</t>
  </si>
  <si>
    <t>Parque da Cidade - Paineira, Aroeira e Jatobá</t>
  </si>
  <si>
    <t>Saldo 1T21</t>
  </si>
  <si>
    <t>Debêntures - 16ª Emissão</t>
  </si>
  <si>
    <t>* USD Bônus Perpétuo</t>
  </si>
  <si>
    <t>2T21</t>
  </si>
  <si>
    <t>6M21</t>
  </si>
  <si>
    <t>Galpão Centauri</t>
  </si>
  <si>
    <t>Saldo 2T21</t>
  </si>
  <si>
    <t>3T21</t>
  </si>
  <si>
    <t>9M21</t>
  </si>
  <si>
    <t xml:space="preserve">   Alienação de Ações em Tesouraria para Exercício de Opções</t>
  </si>
  <si>
    <t xml:space="preserve"> Alienação de Ações em Tesouraria para Exercício de Opções</t>
  </si>
  <si>
    <t>Saldo 3T21</t>
  </si>
  <si>
    <t>Debêntures - 17ª Emissão</t>
  </si>
  <si>
    <t>60 meses</t>
  </si>
  <si>
    <t>4T21</t>
  </si>
  <si>
    <t>Saldo 4T21</t>
  </si>
  <si>
    <t>1T22</t>
  </si>
  <si>
    <t>Saldo 1T22</t>
  </si>
  <si>
    <t xml:space="preserve">1T22 x 4T21 </t>
  </si>
  <si>
    <t>Média Ponderada:
IPCA¹ x IGP-M (~50% x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</si>
</sst>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[$-409]mmm\-yy;@"/>
    <numFmt numFmtId="169" formatCode="dd/mm/yy;@"/>
    <numFmt numFmtId="170" formatCode="_(&quot;R$ &quot;* #,##0.00_);_(&quot;R$ &quot;* \(#,##0.00\);_(&quot;R$ &quot;* &quot;-&quot;??_);_(@_)"/>
    <numFmt numFmtId="171" formatCode="#,##0\ &quot;meses&quot;"/>
    <numFmt numFmtId="172" formatCode="_(* #,##0.0_);_(* \(#,##0.0\);_(* &quot;-&quot;??_);_(@_)"/>
    <numFmt numFmtId="173" formatCode="0.00%;\(0.00%\)"/>
    <numFmt numFmtId="174" formatCode="0.000%"/>
    <numFmt numFmtId="175" formatCode="#,##0.0_);\(#,##0.0\)"/>
    <numFmt numFmtId="176" formatCode="#,##0.0\ \x"/>
    <numFmt numFmtId="177" formatCode="#,###\-"/>
    <numFmt numFmtId="178" formatCode="#,##0%"/>
    <numFmt numFmtId="179" formatCode="#,##0.0%"/>
    <numFmt numFmtId="180" formatCode="#,##0.0\ ;\(#,##0.0\)"/>
    <numFmt numFmtId="181" formatCode="0.000000"/>
    <numFmt numFmtId="182" formatCode="&quot;R$ &quot;#,##0.00_%_);\(&quot;R$ &quot;#,##0.00\)_%;&quot;R$ &quot;#,##0.00_%_);@_%_)"/>
    <numFmt numFmtId="183" formatCode="0.0\x_)_);&quot;NM&quot;_x_)_);0.0\x_)_);@_%_)"/>
    <numFmt numFmtId="184" formatCode="&quot;$&quot;#,##0.00_%_);\(&quot;$&quot;#,##0.00\)_%;&quot;$&quot;#,##0.00_%_);@_%_)"/>
    <numFmt numFmtId="185" formatCode="#,##0.0_);\(#,##0.0\);\-_)"/>
    <numFmt numFmtId="186" formatCode="m\-d\-yy"/>
    <numFmt numFmtId="187" formatCode="&quot;R$ &quot;#,##0_);\(&quot;R$ &quot;#,##0\)"/>
    <numFmt numFmtId="188" formatCode="&quot;R$ &quot;#,##0.0_);\(&quot;R$ &quot;#,##0.0\)"/>
    <numFmt numFmtId="189" formatCode="&quot;R$ &quot;#,##0.00_);\(&quot;R$ &quot;#,##0.00\)"/>
    <numFmt numFmtId="190" formatCode="&quot;R$ &quot;#,##0.000_);\(&quot;R$ &quot;#,##0.000\)"/>
    <numFmt numFmtId="191" formatCode="&quot;R$ &quot;#,##0.0000_);\(&quot;R$ &quot;#,##0.0000\)"/>
    <numFmt numFmtId="192" formatCode="&quot;$&quot;#,##0;\-&quot;$&quot;#,##0"/>
    <numFmt numFmtId="193" formatCode="0.00%;\(0.00\)%"/>
    <numFmt numFmtId="194" formatCode="\€_(#,##0.00_);\€\(#,##0.00\);\€_(0.00_);@_)"/>
    <numFmt numFmtId="195" formatCode="0.0_)\%;\(0.0\)\%;0.0_)\%;@_)_%"/>
    <numFmt numFmtId="196" formatCode="@&quot; ($)&quot;"/>
    <numFmt numFmtId="197" formatCode="@&quot; (%)&quot;"/>
    <numFmt numFmtId="198" formatCode="@&quot; (£)&quot;"/>
    <numFmt numFmtId="199" formatCode="0.0_)%;\(0.0&quot;)%&quot;;0.0_)%;@_)_%"/>
    <numFmt numFmtId="200" formatCode="#,##0.0_)_%;\(#,##0.0\)_%;0.0_)_%;@_)_%"/>
    <numFmt numFmtId="201" formatCode="0.0000000"/>
    <numFmt numFmtId="202" formatCode="#,##0.0_);\(#,##0.0\);#,##0.0_);@_)"/>
    <numFmt numFmtId="203" formatCode="&quot;£&quot;_(#,##0.00_);&quot;£&quot;\(#,##0.00\);&quot;£&quot;_(0.00_);@_)"/>
    <numFmt numFmtId="204" formatCode="&quot;R$ &quot;_(#,##0.00_);&quot;R$ &quot;\(#,##0.00\);&quot;R$ &quot;_(0.00_);@_)"/>
    <numFmt numFmtId="205" formatCode="&quot;R$ &quot;_(#,##0.00_);&quot;R$ &quot;\(#,##0.00\)"/>
    <numFmt numFmtId="206" formatCode="&quot;$&quot;_(#,##0.00_);&quot;$&quot;\(#,##0.00\)"/>
    <numFmt numFmtId="207" formatCode="&quot;$&quot;_(#,##0.00_);&quot;$&quot;\(#,##0.00\);&quot;$&quot;_(0.00_);@_)"/>
    <numFmt numFmtId="208" formatCode="\£_(#,##0.00_);&quot;£(&quot;#,##0.00\);\£_(0.00_);@_)"/>
    <numFmt numFmtId="209" formatCode="_-&quot;$&quot;* #,##0.00_-;\-&quot;$&quot;* #,##0.00_-;_-&quot;$&quot;* &quot;-&quot;??_-;_-@_-"/>
    <numFmt numFmtId="210" formatCode="_-&quot;R$ &quot;* #,##0.00_-;\-&quot;R$ &quot;* #,##0.00_-;_-&quot;R$ &quot;* &quot;-&quot;??_-;_-@_-"/>
    <numFmt numFmtId="211" formatCode="_(* #,##0.000000_);_(* \(#,##0.000000\);_(* &quot;-&quot;??????_);_(@_)"/>
    <numFmt numFmtId="212" formatCode="#,##0.0_%_);\(#,##0.0\)_%;#,##0.0_%_);@_%_)"/>
    <numFmt numFmtId="213" formatCode="&quot;$&quot;#,##0.00;\-&quot;$&quot;#,##0.00"/>
    <numFmt numFmtId="214" formatCode="#,##0.00_);\(#,##0.00\);0.00_);@_)"/>
    <numFmt numFmtId="215" formatCode="&quot;R$ &quot;#,##0.00_);[Red]\(&quot;R$ &quot;#,##0.00\)"/>
    <numFmt numFmtId="216" formatCode="&quot;$&quot;#,##0.00;[Red]\-&quot;$&quot;#,##0.00"/>
    <numFmt numFmtId="217" formatCode="#,##0.00000_);\(#,##0.00000\)"/>
    <numFmt numFmtId="218" formatCode="0.0"/>
    <numFmt numFmtId="219" formatCode="\€_(#,##0.00_);&quot;€(&quot;#,##0.00\);\€_(0.00_);@_)"/>
    <numFmt numFmtId="220" formatCode="0.0_)"/>
    <numFmt numFmtId="221" formatCode="#,##0_)\x;\(#,##0\)\x;0_)\x;@_)_x"/>
    <numFmt numFmtId="222" formatCode="#,##0_)\x;\(#,##0&quot;)x&quot;;0_)\x;@_)_x"/>
    <numFmt numFmtId="223" formatCode="#,##0_)_x;\(#,##0\)_x;0_)_x;@_)_x"/>
    <numFmt numFmtId="224" formatCode="\•\ \ @"/>
    <numFmt numFmtId="225" formatCode="\ \ _•\–\ \ \ \ @"/>
    <numFmt numFmtId="226" formatCode="&quot;000-&quot;0000\-000"/>
    <numFmt numFmtId="227" formatCode="#,##0.00000_);[Red]\(#,##0.00000\)"/>
    <numFmt numFmtId="228" formatCode="&quot;600-&quot;0000\-000"/>
    <numFmt numFmtId="229" formatCode="&quot;700-&quot;0000\-000"/>
    <numFmt numFmtId="230" formatCode="#,##0&quot;R$ &quot;_);\(#,##0&quot;R$ &quot;\)"/>
    <numFmt numFmtId="231" formatCode="_(* #,##0.0_);_(* \(#,##0.0\);_(* &quot;-&quot;?_);_(@_)"/>
    <numFmt numFmtId="232" formatCode="&quot;Yes&quot;_%_);&quot;Error&quot;_%_);&quot;No&quot;_%_);&quot;--&quot;_%_)"/>
    <numFmt numFmtId="233" formatCode="_(* #,##0_);_(* \(#,##0\);_(* &quot;--- &quot;_)"/>
    <numFmt numFmtId="234" formatCode="#,##0&quot;R$ &quot;_);[Red]\(#,##0&quot;R$ &quot;\)"/>
    <numFmt numFmtId="235" formatCode="_ * #,##0.00_)_C_r_$_ ;_ * \(#,##0.00\)_C_r_$_ ;_ * &quot;-&quot;??_)_C_r_$_ ;_ @_ "/>
    <numFmt numFmtId="236" formatCode="0%;[Red]\(0%\)"/>
    <numFmt numFmtId="237" formatCode="_(#,##0.0_);[Red]_(\(#,##0.0\);\ &quot;-- &quot;"/>
    <numFmt numFmtId="238" formatCode="General_)"/>
    <numFmt numFmtId="239" formatCode="0.0000"/>
    <numFmt numFmtId="240" formatCode="\£\ #,##0_);[Red]\(\£\ #,##0\)"/>
    <numFmt numFmtId="241" formatCode="&quot;R$ &quot;#,##0_);[Red]\(&quot;R$ &quot;#,##0\)"/>
    <numFmt numFmtId="242" formatCode="#,##0.000"/>
    <numFmt numFmtId="243" formatCode="#,##0,;\-#,##0,"/>
    <numFmt numFmtId="244" formatCode="#,##0.0_);[Red]\(#,##0.0\)"/>
    <numFmt numFmtId="245" formatCode="\(#,##0.0%\);[Red]\(#,##0.0%\)"/>
    <numFmt numFmtId="246" formatCode="&quot;R$ &quot;#,##0.0_);[Red]\(&quot;R$ &quot;#,##0.0\)"/>
    <numFmt numFmtId="247" formatCode="%#,#00"/>
    <numFmt numFmtId="248" formatCode="#,##0.0&quot; MJ/kg&quot;"/>
    <numFmt numFmtId="249" formatCode="&quot;$&quot;#,##0_);\(&quot;$&quot;#,##0\)"/>
    <numFmt numFmtId="250" formatCode="0&quot; bp&quot;;;&quot;--  &quot;"/>
    <numFmt numFmtId="251" formatCode="mmm\ yyyy;;&quot;n.a.&quot;;@"/>
    <numFmt numFmtId="252" formatCode="_(* #,##0.0000_);_(* \(#,##0.0000\);_(* &quot;-&quot;??_);_(@_)"/>
    <numFmt numFmtId="253" formatCode="_ &quot;£&quot;* #,##0.00_ ;_ &quot;£&quot;* \-#,##0.00_ ;_ &quot;£&quot;* &quot;-&quot;??_ ;_ @_ "/>
    <numFmt numFmtId="254" formatCode="_-&quot;£&quot;\ * #,##0.00_-;\-&quot;£&quot;\ * #,##0.00_-;_-&quot;£&quot;\ * &quot;-&quot;??_-;_-@_-"/>
    <numFmt numFmtId="255" formatCode="_(&quot;$&quot;* #,##0.00_);_(&quot;$&quot;* \(#,##0.00\);_(&quot;$&quot;* &quot;-&quot;??_);_(@_)"/>
    <numFmt numFmtId="256" formatCode="&quot;$&quot;\ \ #,##0_);\(#,##0\)"/>
    <numFmt numFmtId="257" formatCode="00"/>
    <numFmt numFmtId="258" formatCode="&quot;$&quot;#,##0.00_);[Red]\(&quot;$&quot;#,##0.00\)"/>
    <numFmt numFmtId="259" formatCode="_(&quot;CR$&quot;* #,##0_);_(&quot;CR$&quot;* \(#,##0\);_(&quot;CR$&quot;* &quot;-&quot;_);_(@_)"/>
    <numFmt numFmtId="260" formatCode="0.00000000000"/>
    <numFmt numFmtId="261" formatCode="#,##0_%_);\(#,##0\)_%;#,##0_%_);@_%_)"/>
    <numFmt numFmtId="262" formatCode="#,##0.00_%_);\(#,##0.00\)_%;#,##0.00_%_);@_%_)"/>
    <numFmt numFmtId="263" formatCode="#,##0.00_);\(#,##0.00\);\-_)"/>
    <numFmt numFmtId="264" formatCode="&quot;$&quot;#,##0.00_);[Red]\(&quot;$&quot;#,##0.00\);&quot;--  &quot;;_(@_)"/>
    <numFmt numFmtId="265" formatCode="&quot;R$ &quot;#,##0_%_);\(&quot;R$ &quot;#,##0\)_%;&quot;R$ &quot;#,##0_%_);@_%_)"/>
    <numFmt numFmtId="266" formatCode="&quot;$&quot;#,##0.00"/>
    <numFmt numFmtId="267" formatCode="&quot;$&quot;#,##0.0_);\(&quot;$&quot;#,##0.0\)"/>
    <numFmt numFmtId="268" formatCode="0.0000000000"/>
    <numFmt numFmtId="269" formatCode="&quot;$&quot;#,##0.00_);\(&quot;$&quot;#,##0.00\)"/>
    <numFmt numFmtId="270" formatCode="_(* #,##0.000000_);_(* \(#,##0.000000\);_(* &quot;-&quot;??_);_(@_)"/>
    <numFmt numFmtId="271" formatCode="mmm\-d\-yyyy"/>
    <numFmt numFmtId="272" formatCode="mmm\-yyyy"/>
    <numFmt numFmtId="273" formatCode="m/d/yy_%_)"/>
    <numFmt numFmtId="274" formatCode="_(&quot;$&quot;* #,##0.0_);_(&quot;$&quot;* \(#,##0.0\);_(&quot;$&quot;* &quot;-&quot;??_);_(@_)"/>
    <numFmt numFmtId="275" formatCode="d\-mmm\-yyyy\ \ h:mm"/>
    <numFmt numFmtId="276" formatCode="yyyy"/>
    <numFmt numFmtId="277" formatCode="&quot;$&quot;#,##0_);[Red]\(&quot;$&quot;#,##0\)"/>
    <numFmt numFmtId="278" formatCode="0_%_);\(0\)_%;0_%_);@_%_)"/>
    <numFmt numFmtId="279" formatCode="_(&quot;$&quot;* #,##0_);_(&quot;$&quot;* \(#,##0\);_(&quot;$&quot;* &quot;-&quot;_);_(@_)"/>
    <numFmt numFmtId="280" formatCode="#,##0.0"/>
    <numFmt numFmtId="281" formatCode="#.##000"/>
    <numFmt numFmtId="282" formatCode="_([$€-2]* #,##0.00_);_([$€-2]* \(#,##0.00\);_([$€-2]* &quot;-&quot;??_)"/>
    <numFmt numFmtId="283" formatCode="###0_);\(###0\)"/>
    <numFmt numFmtId="284" formatCode="#.00"/>
    <numFmt numFmtId="285" formatCode="_-* #,##0\ &quot;zł&quot;_-;\-* #,##0\ &quot;zł&quot;_-;_-* &quot;-&quot;\ &quot;zł&quot;_-;_-@_-"/>
    <numFmt numFmtId="286" formatCode="0.00%_);[Red]\(0.00%\)"/>
    <numFmt numFmtId="287" formatCode="#,##0.00_)\ \x;\(#,##0.00\)\ \x"/>
    <numFmt numFmtId="288" formatCode="0.0\%_);\(0.0\%\);0.0\%_);@_%_)"/>
    <numFmt numFmtId="289" formatCode="#,#00"/>
    <numFmt numFmtId="290" formatCode=";;;"/>
    <numFmt numFmtId="291" formatCode="_ * #,##0.000000_)_C_r_$_ ;_ * \(#,##0.000000\)_C_r_$_ ;_ * &quot;-&quot;??_)_C_r_$_ ;_ @_ "/>
    <numFmt numFmtId="292" formatCode="#,##0;[Red]\(#,##0\)"/>
    <numFmt numFmtId="293" formatCode="#,##0.00\ &quot;Pts&quot;;\-#,##0.00\ &quot;Pts&quot;"/>
    <numFmt numFmtId="294" formatCode="#,##0.0;\(#,##0.0\)"/>
    <numFmt numFmtId="295" formatCode="#,##0.000%_);[Red]\(#,##0.000%\)"/>
    <numFmt numFmtId="296" formatCode="mmm\ yyyy"/>
    <numFmt numFmtId="297" formatCode="#,##0.00&quot;Cr$&quot;_);[Red]\(#,##0.00&quot;Cr$&quot;\)"/>
    <numFmt numFmtId="298" formatCode="#,##0.0\x"/>
    <numFmt numFmtId="299" formatCode="\L\ #,##0_);[Red]\(\L\ #,##0\)"/>
    <numFmt numFmtId="300" formatCode="[=0]#;#,##0.0"/>
    <numFmt numFmtId="301" formatCode="0.000000%"/>
    <numFmt numFmtId="302" formatCode="_-* #,##0.0\ _€_-;\-* #,##0.0\ _€_-;_-* &quot;-&quot;??\ _€_-;_-@_-"/>
    <numFmt numFmtId="303" formatCode="0.00_)"/>
    <numFmt numFmtId="304" formatCode="_-* #,##0\ &quot;S/.&quot;_-;\-* #,##0\ &quot;S/.&quot;_-;_-* &quot;-&quot;\ &quot;S/.&quot;_-;_-@_-"/>
    <numFmt numFmtId="305" formatCode="_-* #,##0.00\ &quot;S/.&quot;_-;\-* #,##0.00\ &quot;S/.&quot;_-;_-* &quot;-&quot;??\ &quot;S/.&quot;_-;_-@_-"/>
    <numFmt numFmtId="306" formatCode="&quot;S/.&quot;#,##0_);[Red]\(&quot;S/.&quot;#,##0\)"/>
    <numFmt numFmtId="307" formatCode="#,##0.00\ &quot;S/.&quot;;[Red]\-#,##0.00\ &quot;S/.&quot;"/>
    <numFmt numFmtId="308" formatCode="_-* #,##0\ _S_/_._-;\-* #,##0\ _S_/_._-;_-* &quot;-&quot;\ _S_/_._-;_-@_-"/>
    <numFmt numFmtId="309" formatCode="#,##0.00\x;\(#,##0.00\x\)"/>
    <numFmt numFmtId="310" formatCode="#,##0.00\x_);\(#,##0.00\x\);\-_)"/>
    <numFmt numFmtId="311" formatCode="_ * #,##0.00_)&quot;Cr$&quot;_ ;_ * \(#,##0.00\)&quot;Cr$&quot;_ ;_ * &quot;-&quot;??_)&quot;Cr$&quot;_ ;_ @_ "/>
    <numFmt numFmtId="312" formatCode="#,##0.0_);[Red]\(#,##0.0\);&quot;N/A &quot;"/>
    <numFmt numFmtId="313" formatCode="#,##0.0\ \P;[Red]\-#,##0.0\ \P"/>
    <numFmt numFmtId="314" formatCode="#,##0.0_);[Red]\(#,##0.0\);&quot;--  &quot;"/>
    <numFmt numFmtId="315" formatCode="#,##0.00;\(#,##0.00\)"/>
    <numFmt numFmtId="316" formatCode="#,##0.000_);[Red]\(#,##0.000\)"/>
    <numFmt numFmtId="317" formatCode="#,##0.0_)\ ;[Red]\(#,##0.0\)\ "/>
    <numFmt numFmtId="318" formatCode="&quot;&quot;#,##0.0_);\(&quot;&quot;#,##0.0\)"/>
    <numFmt numFmtId="319" formatCode="\¥\ #,##0_);[Red]\(\¥\ #,##0\)"/>
    <numFmt numFmtId="320" formatCode="_ * #,##0_)&quot;Cr$&quot;_ ;_ * \(#,##0\)&quot;Cr$&quot;_ ;_ * &quot;-&quot;_)&quot;Cr$&quot;_ ;_ @_ "/>
    <numFmt numFmtId="321" formatCode="#,##0.00\x_);[Red]\(#,##0.00\x\);&quot;--  &quot;"/>
    <numFmt numFmtId="322" formatCode="#,##0.00_)&quot; &quot;;[Red]\(#,##0.00\)&quot; &quot;"/>
    <numFmt numFmtId="323" formatCode="0.0%&quot;NetPPE/sales&quot;"/>
    <numFmt numFmtId="324" formatCode="#.#\x"/>
    <numFmt numFmtId="325" formatCode="0.0%;\(0.0%\)"/>
    <numFmt numFmtId="326" formatCode="0.0%&quot;NWI/Sls&quot;"/>
    <numFmt numFmtId="327" formatCode="#,##0.0%_);\(#,##0.0%\)"/>
    <numFmt numFmtId="328" formatCode="#,##0.0\x_);\(#,##0.0\x\)"/>
    <numFmt numFmtId="329" formatCode="_-* #,##0.00_-;_-* #,##0.00\-;_-* &quot;-&quot;??_-;_-@_-"/>
    <numFmt numFmtId="330" formatCode="0.0%;[Red]\(0.0%\)"/>
    <numFmt numFmtId="331" formatCode="0.0%;[Red]\(0.0%\);&quot;--  &quot;"/>
    <numFmt numFmtId="332" formatCode="0.00_);\(0.00\)"/>
    <numFmt numFmtId="333" formatCode="#,##0.0%_);[Red]\(#,##0.0%\)"/>
    <numFmt numFmtId="334" formatCode="0.000%;[Red]\(0.000%\)"/>
    <numFmt numFmtId="335" formatCode="0.000%;;&quot;-- &quot;"/>
    <numFmt numFmtId="336" formatCode="#,##0.0\x;\(#,##0.0\)\x"/>
    <numFmt numFmtId="337" formatCode="0.0%_);\(0.0%\)"/>
    <numFmt numFmtId="338" formatCode="#,##0.00%_);\(#,##0.00%\);\-_)"/>
    <numFmt numFmtId="339" formatCode="\(* #,##0.0\);\(* \(#,##0.0\);\(* &quot;---&quot;??\);_(@\)"/>
    <numFmt numFmtId="340" formatCode="#,##0.0;[Red]\-#,##0.0;\-"/>
    <numFmt numFmtId="341" formatCode="0.0%_);[Red]\(0.0%\)"/>
    <numFmt numFmtId="342" formatCode="0.0%&quot;Sales&quot;"/>
    <numFmt numFmtId="343" formatCode="#,##0.0_);\(#,##0.0\);0.0_)"/>
    <numFmt numFmtId="344" formatCode="&quot;Proj &quot;0;;"/>
    <numFmt numFmtId="345" formatCode="#,##0\ ;\(#,##0\);\ \-\ "/>
    <numFmt numFmtId="346" formatCode="_-* #,##0.00\ _F_-;\-* #,##0.00\ _F_-;_-* &quot;-&quot;??\ _F_-;_-@_-"/>
    <numFmt numFmtId="347" formatCode="#.##0"/>
    <numFmt numFmtId="348" formatCode="0.0000%"/>
    <numFmt numFmtId="349" formatCode="m/d/yy\ h:mm:ss"/>
    <numFmt numFmtId="350" formatCode="#,##0.00;\(#,##0.00\);_(* &quot;-&quot;_)"/>
    <numFmt numFmtId="351" formatCode="#,##0&quot;Cr$&quot;_);[Red]\(#,##0&quot;Cr$&quot;\)"/>
    <numFmt numFmtId="352" formatCode="_(* #,##0_);_(* \(#,##0\);_(* &quot;-&quot;_);_(@_)"/>
    <numFmt numFmtId="353" formatCode="#,##0.00&quot;R$ &quot;_);\(#,##0.00&quot;R$ &quot;\)"/>
    <numFmt numFmtId="354" formatCode="_([$€]* #,##0.00_);_([$€]* \(#,##0.00\);_([$€]* &quot;-&quot;??_);_(@_)"/>
    <numFmt numFmtId="355" formatCode="&quot;$&quot;#,##0_);&quot;$&quot;\ \ \ \ \ \ \ \(#,##0\)"/>
    <numFmt numFmtId="356" formatCode="&quot;$&quot;#,##0_);&quot;$&quot;\ \ \ \ \ \ \ \ \ \(#,##0\)"/>
    <numFmt numFmtId="357" formatCode="&quot;TFCF: &quot;#,##0_);[Red]&quot;No! &quot;\(#,##0\)"/>
    <numFmt numFmtId="358" formatCode="0.00000%"/>
    <numFmt numFmtId="359" formatCode="_(* #,##0.00000000_);_(* \(#,##0.00000000\);_(* &quot;-&quot;??_);_(@_)"/>
    <numFmt numFmtId="360" formatCode="#,##0._);[Red]\(#,##0.\)"/>
    <numFmt numFmtId="361" formatCode="&quot;\&quot;\ #,##0.00;[Red]&quot;\&quot;\ \-#,##0.00"/>
    <numFmt numFmtId="362" formatCode="&quot;\&quot;#,##0;[Red]&quot;\&quot;\-#,##0"/>
    <numFmt numFmtId="363" formatCode="#,##0.00\ &quot;Pts&quot;;[Red]\-#,##0.00\ &quot;Pts&quot;"/>
    <numFmt numFmtId="364" formatCode="_(* #,##0.000_);_(* \(#,##0.000\);_(* &quot;-&quot;???_);_(@_)"/>
    <numFmt numFmtId="365" formatCode="_(&quot;R$ &quot;* #,##0_);_(&quot;R$ &quot;* \(#,##0\);_(&quot;R$ &quot;* &quot;-&quot;_);_(@_)"/>
    <numFmt numFmtId="366" formatCode="_-&quot;$&quot;* #,##0_-;\-&quot;$&quot;* #,##0_-;_-&quot;$&quot;* &quot;-&quot;_-;_-@_-"/>
  </numFmts>
  <fonts count="26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8"/>
      <color theme="1"/>
      <name val="Times New Roman"/>
      <family val="1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omic Sans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10"/>
      <name val="MS Sans Serif"/>
      <family val="2"/>
    </font>
    <font>
      <sz val="10"/>
      <name val="Frutiger 45 Light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GillSans"/>
    </font>
    <font>
      <sz val="9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sz val="10"/>
      <name val="Baskerville MT"/>
    </font>
    <font>
      <sz val="10"/>
      <name val="Century Schoolbook"/>
      <family val="1"/>
    </font>
    <font>
      <sz val="10"/>
      <name val="Frutiger 45 Light"/>
    </font>
    <font>
      <sz val="10"/>
      <color indexed="8"/>
      <name val="MS Sans Serif"/>
      <family val="2"/>
    </font>
    <font>
      <sz val="10"/>
      <color indexed="12"/>
      <name val="Trebuchet MS"/>
      <family val="2"/>
    </font>
    <font>
      <sz val="10"/>
      <name val="Arial MT"/>
    </font>
    <font>
      <sz val="10"/>
      <name val="Courier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sz val="8"/>
      <name val="Helv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sz val="11"/>
      <name val="Arial Narrow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2"/>
      <name val="Helv"/>
    </font>
    <font>
      <sz val="8"/>
      <name val="Times"/>
      <family val="1"/>
    </font>
    <font>
      <sz val="10"/>
      <color indexed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Tms Rmn"/>
    </font>
    <font>
      <b/>
      <sz val="8"/>
      <name val="Arial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etica"/>
      <family val="2"/>
    </font>
    <font>
      <sz val="9"/>
      <name val="Times New Roman"/>
      <family val="1"/>
    </font>
    <font>
      <sz val="10"/>
      <name val="FuturaA Bk BT"/>
    </font>
    <font>
      <sz val="11"/>
      <color indexed="14"/>
      <name val="Calibri"/>
      <family val="2"/>
    </font>
    <font>
      <sz val="10"/>
      <name val="Trebuchet MS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Helvetica"/>
    </font>
    <font>
      <sz val="12"/>
      <name val="Tms Rmn"/>
    </font>
    <font>
      <b/>
      <sz val="12"/>
      <name val="Times New Roman"/>
      <family val="1"/>
    </font>
    <font>
      <sz val="8"/>
      <name val="SwitzerlandLight"/>
    </font>
    <font>
      <b/>
      <sz val="8"/>
      <color indexed="8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7"/>
      <name val="Arial"/>
      <family val="2"/>
    </font>
    <font>
      <b/>
      <i/>
      <sz val="12"/>
      <name val="Times New Roman"/>
      <family val="1"/>
    </font>
    <font>
      <i/>
      <sz val="8"/>
      <color indexed="12"/>
      <name val="Arial"/>
      <family val="2"/>
    </font>
    <font>
      <u val="singleAccounting"/>
      <sz val="10"/>
      <name val="Arial"/>
      <family val="2"/>
    </font>
    <font>
      <b/>
      <sz val="10"/>
      <name val="Helv"/>
    </font>
    <font>
      <b/>
      <i/>
      <sz val="9"/>
      <name val="Arial"/>
      <family val="2"/>
    </font>
    <font>
      <b/>
      <sz val="11"/>
      <color indexed="34"/>
      <name val="Calibri"/>
      <family val="2"/>
    </font>
    <font>
      <sz val="9"/>
      <color indexed="10"/>
      <name val="Geneva"/>
    </font>
    <font>
      <b/>
      <sz val="8"/>
      <name val="Times New Roman"/>
      <family val="1"/>
    </font>
    <font>
      <b/>
      <sz val="11"/>
      <color indexed="9"/>
      <name val="Calibri"/>
      <family val="2"/>
    </font>
    <font>
      <sz val="9"/>
      <color indexed="12"/>
      <name val="Helvetica"/>
      <family val="2"/>
    </font>
    <font>
      <b/>
      <i/>
      <sz val="8"/>
      <name val="Arial"/>
      <family val="2"/>
    </font>
    <font>
      <b/>
      <sz val="8"/>
      <name val="Book Antiqua"/>
      <family val="1"/>
    </font>
    <font>
      <b/>
      <u/>
      <sz val="8"/>
      <name val="Arial"/>
      <family val="2"/>
    </font>
    <font>
      <sz val="11"/>
      <color indexed="12"/>
      <name val="Arial"/>
      <family val="2"/>
    </font>
    <font>
      <sz val="10"/>
      <name val="sabon"/>
    </font>
    <font>
      <sz val="8"/>
      <name val="Palatino"/>
      <family val="1"/>
    </font>
    <font>
      <sz val="10"/>
      <name val="BERNHARD"/>
    </font>
    <font>
      <sz val="10"/>
      <color indexed="24"/>
      <name val="Times New Roman"/>
      <family val="1"/>
    </font>
    <font>
      <b/>
      <u/>
      <sz val="10"/>
      <color indexed="16"/>
      <name val="Arial"/>
      <family val="2"/>
    </font>
    <font>
      <sz val="10"/>
      <name val="MS Serif"/>
      <family val="1"/>
    </font>
    <font>
      <sz val="8"/>
      <color indexed="16"/>
      <name val="Palatino"/>
      <family val="1"/>
    </font>
    <font>
      <sz val="10"/>
      <name val="Helv"/>
      <family val="2"/>
    </font>
    <font>
      <sz val="10"/>
      <name val="Palatino"/>
    </font>
    <font>
      <sz val="8"/>
      <color indexed="18"/>
      <name val="Times New Roman"/>
      <family val="1"/>
    </font>
    <font>
      <i/>
      <sz val="10"/>
      <color indexed="17"/>
      <name val="Times New Roman"/>
      <family val="1"/>
    </font>
    <font>
      <sz val="8"/>
      <name val="Helvetica-Narrow"/>
    </font>
    <font>
      <u val="doubleAccounting"/>
      <sz val="10"/>
      <name val="Arial"/>
      <family val="2"/>
    </font>
    <font>
      <b/>
      <sz val="8"/>
      <name val="Arial Narrow"/>
      <family val="2"/>
    </font>
    <font>
      <sz val="10"/>
      <color indexed="16"/>
      <name val="MS Serif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1"/>
      <name val="Book Antiqua"/>
      <family val="1"/>
    </font>
    <font>
      <sz val="10"/>
      <name val="Arial"/>
      <family val="2"/>
      <charset val="178"/>
    </font>
    <font>
      <i/>
      <sz val="11"/>
      <color indexed="44"/>
      <name val="Calibri"/>
      <family val="2"/>
    </font>
    <font>
      <b/>
      <sz val="8"/>
      <color indexed="16"/>
      <name val="Arial"/>
      <family val="2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8"/>
      <name val="Courier"/>
      <family val="3"/>
    </font>
    <font>
      <sz val="7"/>
      <name val="Palatino"/>
      <family val="1"/>
    </font>
    <font>
      <sz val="7"/>
      <name val="Arial"/>
      <family val="2"/>
    </font>
    <font>
      <sz val="11"/>
      <name val="Arial"/>
      <family val="2"/>
    </font>
    <font>
      <sz val="8"/>
      <name val="Meta-CapsMedium"/>
      <family val="5"/>
    </font>
    <font>
      <sz val="10"/>
      <name val="Prestige Elite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</font>
    <font>
      <b/>
      <sz val="9"/>
      <name val="Arial"/>
      <family val="2"/>
    </font>
    <font>
      <b/>
      <sz val="15"/>
      <color indexed="18"/>
      <name val="Calibri"/>
      <family val="2"/>
    </font>
    <font>
      <sz val="18"/>
      <name val="Helvetica-Black"/>
    </font>
    <font>
      <i/>
      <sz val="14"/>
      <name val="Palatino"/>
      <family val="1"/>
    </font>
    <font>
      <b/>
      <i/>
      <sz val="22"/>
      <name val="Times New Roman"/>
      <family val="1"/>
    </font>
    <font>
      <sz val="10"/>
      <color indexed="9"/>
      <name val="Frutiger 45 Light"/>
      <family val="2"/>
    </font>
    <font>
      <u/>
      <sz val="7.5"/>
      <color indexed="36"/>
      <name val="Arial"/>
      <family val="2"/>
    </font>
    <font>
      <u/>
      <sz val="7.5"/>
      <color indexed="12"/>
      <name val="Arial"/>
      <family val="2"/>
    </font>
    <font>
      <sz val="8"/>
      <color indexed="39"/>
      <name val="Arial"/>
      <family val="2"/>
    </font>
    <font>
      <sz val="10"/>
      <color indexed="10"/>
      <name val="Times New Roman"/>
      <family val="1"/>
    </font>
    <font>
      <sz val="8"/>
      <color indexed="15"/>
      <name val="Bliss 2 Regular"/>
      <family val="3"/>
    </font>
    <font>
      <sz val="10"/>
      <color indexed="18"/>
      <name val="Palatino"/>
    </font>
    <font>
      <sz val="10"/>
      <name val="N Helvetica Narrow"/>
    </font>
    <font>
      <b/>
      <sz val="9"/>
      <name val="Geneva"/>
    </font>
    <font>
      <sz val="14"/>
      <name val="Arial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sz val="8"/>
      <color indexed="12"/>
      <name val="Palatino"/>
      <family val="1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2"/>
      <color indexed="9"/>
      <name val="Helv"/>
    </font>
    <font>
      <b/>
      <sz val="12"/>
      <color indexed="17"/>
      <name val="Wingdings"/>
      <charset val="2"/>
    </font>
    <font>
      <sz val="8"/>
      <color indexed="8"/>
      <name val="Helv"/>
    </font>
    <font>
      <sz val="10"/>
      <color indexed="17"/>
      <name val="Arial"/>
      <family val="2"/>
    </font>
    <font>
      <sz val="10"/>
      <name val="Arial CE"/>
      <charset val="238"/>
    </font>
    <font>
      <sz val="10"/>
      <color indexed="20"/>
      <name val="Times New Roman"/>
      <family val="1"/>
    </font>
    <font>
      <sz val="9"/>
      <name val="LinePrinter"/>
    </font>
    <font>
      <b/>
      <sz val="10"/>
      <color indexed="37"/>
      <name val="Arial"/>
      <family val="2"/>
    </font>
    <font>
      <b/>
      <sz val="14"/>
      <color indexed="24"/>
      <name val="Book Antiqua"/>
      <family val="1"/>
    </font>
    <font>
      <sz val="12"/>
      <color indexed="12"/>
      <name val="Times New Roman"/>
      <family val="1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8"/>
      <color indexed="23"/>
      <name val="Arial Narrow"/>
      <family val="2"/>
    </font>
    <font>
      <b/>
      <i/>
      <sz val="16"/>
      <name val="Helv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Palatino"/>
      <family val="1"/>
    </font>
    <font>
      <sz val="8"/>
      <name val="Helvetica"/>
      <family val="2"/>
    </font>
    <font>
      <sz val="9"/>
      <color indexed="14"/>
      <name val="Sabon"/>
      <family val="2"/>
    </font>
    <font>
      <i/>
      <sz val="9"/>
      <color indexed="12"/>
      <name val="Helv"/>
    </font>
    <font>
      <sz val="11"/>
      <name val="‚l‚r –¾’©"/>
    </font>
    <font>
      <b/>
      <i/>
      <sz val="10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b/>
      <u/>
      <sz val="10"/>
      <name val="Helv"/>
    </font>
    <font>
      <b/>
      <sz val="18"/>
      <name val="Frutiger 45 Light"/>
      <family val="2"/>
    </font>
    <font>
      <b/>
      <sz val="10"/>
      <name val="Times New Roman"/>
      <family val="1"/>
    </font>
    <font>
      <sz val="22"/>
      <name val="UBSHeadline"/>
      <family val="1"/>
    </font>
    <font>
      <sz val="16"/>
      <name val="Times New Roman"/>
      <family val="1"/>
    </font>
    <font>
      <i/>
      <sz val="8"/>
      <name val="Arial"/>
      <family val="2"/>
    </font>
    <font>
      <sz val="12"/>
      <name val="Arial MT"/>
    </font>
    <font>
      <sz val="8"/>
      <color indexed="60"/>
      <name val="Arial"/>
      <family val="2"/>
    </font>
    <font>
      <sz val="10"/>
      <name val="Times"/>
    </font>
    <font>
      <sz val="8"/>
      <color indexed="12"/>
      <name val="Meta-CapsMedium"/>
      <family val="5"/>
    </font>
    <font>
      <u/>
      <sz val="10"/>
      <name val="GillSans"/>
      <family val="2"/>
    </font>
    <font>
      <i/>
      <sz val="10"/>
      <color indexed="10"/>
      <name val="Futura Bk BT"/>
      <family val="2"/>
    </font>
    <font>
      <sz val="10"/>
      <name val="Futura Bk BT"/>
    </font>
    <font>
      <sz val="7"/>
      <color indexed="12"/>
      <name val="Arial"/>
      <family val="2"/>
    </font>
    <font>
      <sz val="10"/>
      <color indexed="12"/>
      <name val="Helvetica"/>
      <family val="2"/>
    </font>
    <font>
      <sz val="8"/>
      <color indexed="10"/>
      <name val="Arial"/>
      <family val="2"/>
    </font>
    <font>
      <sz val="10"/>
      <color indexed="10"/>
      <name val="MS Sans Serif"/>
      <family val="2"/>
    </font>
    <font>
      <u val="singleAccounting"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12"/>
      <name val="Times New Roman"/>
      <family val="1"/>
    </font>
    <font>
      <sz val="18"/>
      <name val="Arial"/>
      <family val="2"/>
    </font>
    <font>
      <sz val="10"/>
      <color indexed="12"/>
      <name val="Geneva"/>
    </font>
    <font>
      <sz val="9.5"/>
      <color indexed="23"/>
      <name val="Helvetica-Black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color indexed="9"/>
      <name val="Arial Black"/>
      <family val="2"/>
    </font>
    <font>
      <b/>
      <sz val="24"/>
      <name val="Arial"/>
      <family val="2"/>
    </font>
    <font>
      <sz val="9"/>
      <color indexed="9"/>
      <name val="Arial"/>
      <family val="2"/>
    </font>
    <font>
      <sz val="10"/>
      <name val="Arial Black"/>
      <family val="2"/>
    </font>
    <font>
      <b/>
      <sz val="10"/>
      <color indexed="16"/>
      <name val="Courier"/>
      <family val="3"/>
    </font>
    <font>
      <b/>
      <sz val="12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0"/>
      <name val="Arial Narrow"/>
      <family val="2"/>
    </font>
    <font>
      <b/>
      <u val="singleAccounting"/>
      <sz val="10"/>
      <name val="Arial Narrow"/>
      <family val="2"/>
    </font>
    <font>
      <b/>
      <sz val="9"/>
      <name val="Arial Narrow"/>
      <family val="2"/>
    </font>
    <font>
      <b/>
      <sz val="11"/>
      <color indexed="9"/>
      <name val="Arial Narrow"/>
      <family val="2"/>
    </font>
    <font>
      <u val="singleAccounting"/>
      <sz val="11"/>
      <name val="Arial Narrow"/>
      <family val="2"/>
    </font>
    <font>
      <sz val="13"/>
      <name val="Arial Narrow"/>
      <family val="2"/>
    </font>
    <font>
      <sz val="12"/>
      <name val="Arial Narrow"/>
      <family val="2"/>
    </font>
    <font>
      <b/>
      <sz val="14"/>
      <name val="Frutiger 45 Light"/>
      <family val="2"/>
    </font>
    <font>
      <b/>
      <sz val="11"/>
      <name val="Arial Narrow"/>
      <family val="2"/>
    </font>
    <font>
      <sz val="6"/>
      <name val="Arial"/>
      <family val="2"/>
    </font>
    <font>
      <b/>
      <sz val="12"/>
      <name val="GillSans"/>
      <family val="2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10"/>
      <name val="Helvetica-Narrow"/>
      <family val="2"/>
    </font>
    <font>
      <b/>
      <sz val="10"/>
      <name val="Helvetica-Narrow"/>
      <family val="2"/>
    </font>
    <font>
      <b/>
      <sz val="16"/>
      <name val="Times New Roman"/>
      <family val="1"/>
    </font>
    <font>
      <b/>
      <sz val="16"/>
      <color indexed="62"/>
      <name val="Arial"/>
      <family val="2"/>
    </font>
    <font>
      <b/>
      <sz val="8"/>
      <color indexed="18"/>
      <name val="Times New Roman"/>
      <family val="1"/>
    </font>
    <font>
      <b/>
      <sz val="12"/>
      <name val="Helvetica-Narrow"/>
      <family val="2"/>
    </font>
    <font>
      <b/>
      <u/>
      <sz val="12"/>
      <name val="Arial"/>
      <family val="2"/>
    </font>
    <font>
      <u/>
      <sz val="11"/>
      <name val="GillSans"/>
      <family val="2"/>
    </font>
    <font>
      <sz val="10"/>
      <color indexed="32"/>
      <name val="Arial"/>
      <family val="2"/>
    </font>
    <font>
      <i/>
      <sz val="10"/>
      <name val="Times New Roman"/>
      <family val="1"/>
    </font>
    <font>
      <b/>
      <sz val="8"/>
      <name val="Palatino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sz val="12"/>
      <color indexed="14"/>
      <name val="Times New Roman"/>
      <family val="1"/>
    </font>
    <font>
      <sz val="8"/>
      <color indexed="9"/>
      <name val="Arial"/>
      <family val="2"/>
    </font>
    <font>
      <sz val="12"/>
      <name val="Frutiger 45 Light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 Nova Cond"/>
      <family val="2"/>
    </font>
    <font>
      <sz val="10"/>
      <name val="Arial Nova Cond"/>
      <family val="2"/>
    </font>
    <font>
      <sz val="10"/>
      <color theme="1"/>
      <name val="Arial Nova Cond"/>
      <family val="2"/>
    </font>
    <font>
      <b/>
      <sz val="10"/>
      <color theme="1" tint="0.14999847407452621"/>
      <name val="Arial Nova Cond"/>
      <family val="2"/>
    </font>
    <font>
      <sz val="9"/>
      <color theme="1"/>
      <name val="Arial Nova Cond"/>
      <family val="2"/>
    </font>
    <font>
      <b/>
      <sz val="10"/>
      <color theme="1"/>
      <name val="Arial Nova Cond"/>
      <family val="2"/>
    </font>
    <font>
      <b/>
      <sz val="18"/>
      <color theme="1"/>
      <name val="Arial Nova Cond"/>
      <family val="2"/>
    </font>
    <font>
      <sz val="10"/>
      <color rgb="FFFF0000"/>
      <name val="Arial Nova Cond"/>
      <family val="2"/>
    </font>
    <font>
      <b/>
      <sz val="10"/>
      <name val="Arial Nova Cond"/>
      <family val="2"/>
    </font>
    <font>
      <i/>
      <sz val="10"/>
      <name val="Arial Nova Cond"/>
      <family val="2"/>
    </font>
    <font>
      <i/>
      <sz val="10"/>
      <color theme="1"/>
      <name val="Arial Nova Cond"/>
      <family val="2"/>
    </font>
    <font>
      <b/>
      <sz val="11"/>
      <color theme="0"/>
      <name val="Arial Nova Cond"/>
      <family val="2"/>
    </font>
    <font>
      <sz val="10"/>
      <color indexed="8"/>
      <name val="Arial Nova Cond"/>
      <family val="2"/>
    </font>
    <font>
      <sz val="11"/>
      <color theme="1"/>
      <name val="Arial Nova Cond"/>
      <family val="2"/>
    </font>
    <font>
      <b/>
      <vertAlign val="superscript"/>
      <sz val="11"/>
      <color theme="0"/>
      <name val="Arial Nova Cond"/>
      <family val="2"/>
    </font>
    <font>
      <sz val="11"/>
      <color theme="1" tint="0.14999847407452621"/>
      <name val="Arial Nova Cond"/>
      <family val="2"/>
    </font>
    <font>
      <b/>
      <sz val="11"/>
      <color theme="1" tint="0.14999847407452621"/>
      <name val="Arial Nova Cond"/>
      <family val="2"/>
    </font>
    <font>
      <sz val="11"/>
      <color theme="0"/>
      <name val="Arial Nova Cond"/>
      <family val="2"/>
    </font>
    <font>
      <sz val="11"/>
      <color theme="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19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27"/>
      </patternFill>
    </fill>
    <fill>
      <patternFill patternType="solid">
        <fgColor indexed="38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1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</patternFill>
    </fill>
    <fill>
      <patternFill patternType="gray0625">
        <fgColor indexed="11"/>
      </patternFill>
    </fill>
    <fill>
      <patternFill patternType="solid">
        <fgColor indexed="13"/>
      </patternFill>
    </fill>
    <fill>
      <patternFill patternType="gray0625">
        <f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lightGray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58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8"/>
        <bgColor indexed="64"/>
      </patternFill>
    </fill>
    <fill>
      <patternFill patternType="gray125">
        <fgColor indexed="8"/>
      </patternFill>
    </fill>
    <fill>
      <patternFill patternType="solid">
        <fgColor indexed="58"/>
        <b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1C425F"/>
        <bgColor indexed="64"/>
      </patternFill>
    </fill>
    <fill>
      <patternFill patternType="solid">
        <fgColor rgb="FFC0C0C0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thin">
        <color indexed="8"/>
      </bottom>
      <diagonal/>
    </border>
    <border>
      <left style="double">
        <color indexed="21"/>
      </left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3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27"/>
      </left>
      <right style="hair">
        <color indexed="27"/>
      </right>
      <top style="hair">
        <color indexed="27"/>
      </top>
      <bottom style="hair">
        <color indexed="2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medium">
        <color theme="1" tint="0.249977111117893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n">
        <color theme="1" tint="0.249977111117893"/>
      </top>
      <bottom style="thin">
        <color theme="1" tint="0.249977111117893"/>
      </bottom>
      <diagonal/>
    </border>
    <border>
      <left style="thick">
        <color rgb="FFFF0000"/>
      </left>
      <right style="thick">
        <color rgb="FFFF0000"/>
      </right>
      <top style="thin">
        <color theme="1" tint="0.249977111117893"/>
      </top>
      <bottom style="thick">
        <color rgb="FFFF0000"/>
      </bottom>
      <diagonal/>
    </border>
  </borders>
  <cellStyleXfs count="3892">
    <xf numFmtId="0" fontId="0" fillId="0" borderId="0"/>
    <xf numFmtId="43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5" fillId="0" borderId="0"/>
    <xf numFmtId="0" fontId="11" fillId="0" borderId="0"/>
    <xf numFmtId="0" fontId="7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8" fillId="0" borderId="0"/>
    <xf numFmtId="43" fontId="8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4" fillId="0" borderId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" fillId="0" borderId="0"/>
    <xf numFmtId="9" fontId="24" fillId="0" borderId="0">
      <alignment horizontal="right"/>
    </xf>
    <xf numFmtId="0" fontId="11" fillId="0" borderId="0"/>
    <xf numFmtId="0" fontId="11" fillId="0" borderId="0"/>
    <xf numFmtId="0" fontId="11" fillId="0" borderId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176" fontId="28" fillId="0" borderId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29" fillId="0" borderId="0"/>
    <xf numFmtId="167" fontId="11" fillId="0" borderId="0"/>
    <xf numFmtId="180" fontId="30" fillId="0" borderId="0"/>
    <xf numFmtId="180" fontId="30" fillId="0" borderId="0"/>
    <xf numFmtId="180" fontId="30" fillId="0" borderId="0"/>
    <xf numFmtId="180" fontId="30" fillId="0" borderId="0"/>
    <xf numFmtId="180" fontId="30" fillId="0" borderId="0"/>
    <xf numFmtId="181" fontId="26" fillId="0" borderId="0"/>
    <xf numFmtId="167" fontId="11" fillId="0" borderId="0"/>
    <xf numFmtId="182" fontId="11" fillId="0" borderId="0"/>
    <xf numFmtId="182" fontId="11" fillId="0" borderId="0"/>
    <xf numFmtId="180" fontId="30" fillId="0" borderId="0"/>
    <xf numFmtId="183" fontId="11" fillId="0" borderId="0"/>
    <xf numFmtId="183" fontId="11" fillId="0" borderId="0"/>
    <xf numFmtId="180" fontId="30" fillId="0" borderId="0"/>
    <xf numFmtId="180" fontId="30" fillId="0" borderId="0"/>
    <xf numFmtId="184" fontId="11" fillId="0" borderId="0"/>
    <xf numFmtId="184" fontId="11" fillId="0" borderId="0"/>
    <xf numFmtId="184" fontId="11" fillId="0" borderId="0"/>
    <xf numFmtId="184" fontId="11" fillId="0" borderId="0"/>
    <xf numFmtId="182" fontId="11" fillId="0" borderId="0"/>
    <xf numFmtId="182" fontId="11" fillId="0" borderId="0"/>
    <xf numFmtId="184" fontId="11" fillId="0" borderId="0"/>
    <xf numFmtId="184" fontId="11" fillId="0" borderId="0"/>
    <xf numFmtId="182" fontId="11" fillId="0" borderId="0"/>
    <xf numFmtId="182" fontId="11" fillId="0" borderId="0"/>
    <xf numFmtId="182" fontId="11" fillId="0" borderId="0"/>
    <xf numFmtId="182" fontId="11" fillId="0" borderId="0"/>
    <xf numFmtId="184" fontId="11" fillId="0" borderId="0"/>
    <xf numFmtId="184" fontId="11" fillId="0" borderId="0"/>
    <xf numFmtId="167" fontId="11" fillId="0" borderId="0"/>
    <xf numFmtId="167" fontId="11" fillId="0" borderId="0"/>
    <xf numFmtId="167" fontId="11" fillId="0" borderId="0"/>
    <xf numFmtId="182" fontId="11" fillId="0" borderId="0"/>
    <xf numFmtId="182" fontId="11" fillId="0" borderId="0"/>
    <xf numFmtId="180" fontId="30" fillId="0" borderId="0"/>
    <xf numFmtId="183" fontId="11" fillId="0" borderId="0"/>
    <xf numFmtId="183" fontId="11" fillId="0" borderId="0"/>
    <xf numFmtId="180" fontId="30" fillId="0" borderId="0"/>
    <xf numFmtId="180" fontId="30" fillId="0" borderId="0"/>
    <xf numFmtId="184" fontId="11" fillId="0" borderId="0"/>
    <xf numFmtId="184" fontId="11" fillId="0" borderId="0"/>
    <xf numFmtId="184" fontId="11" fillId="0" borderId="0"/>
    <xf numFmtId="184" fontId="11" fillId="0" borderId="0"/>
    <xf numFmtId="182" fontId="11" fillId="0" borderId="0"/>
    <xf numFmtId="182" fontId="11" fillId="0" borderId="0"/>
    <xf numFmtId="184" fontId="11" fillId="0" borderId="0"/>
    <xf numFmtId="184" fontId="11" fillId="0" borderId="0"/>
    <xf numFmtId="182" fontId="11" fillId="0" borderId="0"/>
    <xf numFmtId="182" fontId="11" fillId="0" borderId="0"/>
    <xf numFmtId="182" fontId="11" fillId="0" borderId="0"/>
    <xf numFmtId="182" fontId="11" fillId="0" borderId="0"/>
    <xf numFmtId="184" fontId="11" fillId="0" borderId="0"/>
    <xf numFmtId="184" fontId="11" fillId="0" borderId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7" fontId="3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8" fillId="0" borderId="0" applyFont="0" applyFill="0" applyBorder="0" applyAlignment="0" applyProtection="0"/>
    <xf numFmtId="192" fontId="11" fillId="0" borderId="0" applyFont="0" applyFill="0" applyBorder="0" applyAlignment="0" applyProtection="0"/>
    <xf numFmtId="189" fontId="32" fillId="0" borderId="0" applyFont="0" applyFill="0" applyBorder="0" applyAlignment="0" applyProtection="0"/>
    <xf numFmtId="190" fontId="31" fillId="0" borderId="0" applyFont="0" applyFill="0" applyBorder="0" applyAlignment="0" applyProtection="0"/>
    <xf numFmtId="191" fontId="32" fillId="0" borderId="0" applyFont="0" applyFill="0" applyBorder="0" applyAlignment="0" applyProtection="0"/>
    <xf numFmtId="192" fontId="31" fillId="0" borderId="0" applyFont="0" applyFill="0" applyBorder="0" applyAlignment="0" applyProtection="0"/>
    <xf numFmtId="0" fontId="33" fillId="0" borderId="0">
      <alignment horizontal="right"/>
    </xf>
    <xf numFmtId="0" fontId="33" fillId="4" borderId="0"/>
    <xf numFmtId="0" fontId="34" fillId="4" borderId="0"/>
    <xf numFmtId="0" fontId="34" fillId="4" borderId="0"/>
    <xf numFmtId="0" fontId="34" fillId="4" borderId="0"/>
    <xf numFmtId="0" fontId="34" fillId="4" borderId="0">
      <alignment horizontal="right"/>
    </xf>
    <xf numFmtId="0" fontId="11" fillId="0" borderId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94" fontId="35" fillId="0" borderId="0" applyFont="0" applyFill="0" applyBorder="0" applyAlignment="0" applyProtection="0">
      <alignment horizontal="right"/>
    </xf>
    <xf numFmtId="195" fontId="35" fillId="0" borderId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28" fillId="0" borderId="0" applyFont="0" applyFill="0" applyBorder="0" applyAlignment="0"/>
    <xf numFmtId="166" fontId="37" fillId="0" borderId="0">
      <alignment horizontal="right"/>
    </xf>
    <xf numFmtId="0" fontId="11" fillId="0" borderId="0"/>
    <xf numFmtId="0" fontId="11" fillId="0" borderId="0"/>
    <xf numFmtId="196" fontId="11" fillId="0" borderId="0" applyFont="0" applyFill="0" applyBorder="0" applyProtection="0">
      <alignment wrapText="1"/>
    </xf>
    <xf numFmtId="196" fontId="11" fillId="0" borderId="0" applyFont="0" applyFill="0" applyBorder="0" applyProtection="0">
      <alignment wrapText="1"/>
    </xf>
    <xf numFmtId="197" fontId="11" fillId="0" borderId="0" applyFont="0" applyFill="0" applyBorder="0" applyProtection="0">
      <alignment horizontal="left" wrapText="1"/>
    </xf>
    <xf numFmtId="197" fontId="11" fillId="0" borderId="0" applyFont="0" applyFill="0" applyBorder="0" applyProtection="0">
      <alignment horizontal="left" wrapText="1"/>
    </xf>
    <xf numFmtId="198" fontId="11" fillId="0" borderId="0" applyFont="0" applyFill="0" applyBorder="0" applyProtection="0">
      <alignment wrapText="1"/>
    </xf>
    <xf numFmtId="198" fontId="11" fillId="0" borderId="0" applyFont="0" applyFill="0" applyBorder="0" applyProtection="0">
      <alignment wrapText="1"/>
    </xf>
    <xf numFmtId="0" fontId="11" fillId="0" borderId="0" applyFont="0" applyFill="0" applyBorder="0" applyProtection="0">
      <alignment wrapText="1"/>
    </xf>
    <xf numFmtId="0" fontId="11" fillId="0" borderId="0" applyFont="0" applyFill="0" applyBorder="0" applyProtection="0">
      <alignment wrapText="1"/>
    </xf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9" fontId="38" fillId="0" borderId="0" applyFont="0" applyFill="0" applyAlignment="0" applyProtection="0"/>
    <xf numFmtId="199" fontId="38" fillId="0" borderId="0" applyFont="0" applyFill="0" applyAlignment="0" applyProtection="0"/>
    <xf numFmtId="199" fontId="38" fillId="0" borderId="0" applyFont="0" applyFill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9" fontId="11" fillId="0" borderId="0" applyFont="0" applyFill="0" applyAlignment="0" applyProtection="0"/>
    <xf numFmtId="199" fontId="11" fillId="0" borderId="0" applyFont="0" applyFill="0" applyAlignment="0" applyProtection="0"/>
    <xf numFmtId="200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0" fontId="38" fillId="0" borderId="0" applyFont="0" applyFill="0" applyAlignment="0" applyProtection="0"/>
    <xf numFmtId="200" fontId="38" fillId="0" borderId="0" applyFont="0" applyFill="0" applyAlignment="0" applyProtection="0"/>
    <xf numFmtId="200" fontId="38" fillId="0" borderId="0" applyFont="0" applyFill="0" applyAlignment="0" applyProtection="0"/>
    <xf numFmtId="200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0" fontId="11" fillId="0" borderId="0" applyFont="0" applyFill="0" applyAlignment="0" applyProtection="0"/>
    <xf numFmtId="200" fontId="11" fillId="0" borderId="0" applyFont="0" applyFill="0" applyAlignment="0" applyProtection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39" fillId="0" borderId="0">
      <alignment vertical="center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5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38" fillId="0" borderId="0" applyFont="0" applyFill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38" fillId="0" borderId="0" applyFont="0" applyFill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202" fontId="38" fillId="0" borderId="0" applyFont="0" applyFill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Alignment="0" applyProtection="0"/>
    <xf numFmtId="202" fontId="11" fillId="0" borderId="0" applyFont="0" applyFill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203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30" fillId="0" borderId="0" applyFont="0" applyFill="0" applyBorder="0" applyAlignment="0" applyProtection="0"/>
    <xf numFmtId="207" fontId="30" fillId="0" borderId="0" applyFont="0" applyFill="0" applyBorder="0" applyAlignment="0" applyProtection="0"/>
    <xf numFmtId="207" fontId="30" fillId="0" borderId="0" applyFont="0" applyFill="0" applyBorder="0" applyAlignment="0" applyProtection="0"/>
    <xf numFmtId="204" fontId="30" fillId="0" borderId="0" applyFont="0" applyFill="0" applyBorder="0" applyAlignment="0" applyProtection="0"/>
    <xf numFmtId="207" fontId="30" fillId="0" borderId="0" applyFont="0" applyFill="0" applyBorder="0" applyAlignment="0" applyProtection="0"/>
    <xf numFmtId="204" fontId="30" fillId="0" borderId="0" applyFont="0" applyFill="0" applyBorder="0" applyAlignment="0" applyProtection="0"/>
    <xf numFmtId="204" fontId="30" fillId="0" borderId="0" applyFont="0" applyFill="0" applyBorder="0" applyAlignment="0" applyProtection="0"/>
    <xf numFmtId="207" fontId="30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8" fontId="38" fillId="0" borderId="0" applyFont="0" applyFill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8" fontId="38" fillId="0" borderId="0" applyFont="0" applyFill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8" fontId="38" fillId="0" borderId="0" applyFont="0" applyFill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8" fontId="11" fillId="0" borderId="0" applyFont="0" applyFill="0" applyAlignment="0" applyProtection="0"/>
    <xf numFmtId="0" fontId="11" fillId="0" borderId="0" applyFont="0" applyFill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13" fontId="11" fillId="0" borderId="0" applyFont="0" applyFill="0" applyBorder="0" applyAlignment="0" applyProtection="0"/>
    <xf numFmtId="213" fontId="11" fillId="0" borderId="0" applyFont="0" applyFill="0" applyBorder="0" applyAlignment="0" applyProtection="0"/>
    <xf numFmtId="213" fontId="11" fillId="0" borderId="0" applyFont="0" applyFill="0" applyBorder="0" applyAlignment="0" applyProtection="0"/>
    <xf numFmtId="213" fontId="11" fillId="0" borderId="0" applyFont="0" applyFill="0" applyBorder="0" applyAlignment="0" applyProtection="0"/>
    <xf numFmtId="213" fontId="11" fillId="0" borderId="0" applyFont="0" applyFill="0" applyBorder="0" applyAlignment="0" applyProtection="0"/>
    <xf numFmtId="213" fontId="11" fillId="0" borderId="0" applyFont="0" applyFill="0" applyBorder="0" applyAlignment="0" applyProtection="0"/>
    <xf numFmtId="213" fontId="11" fillId="0" borderId="0" applyFont="0" applyFill="0" applyBorder="0" applyAlignment="0" applyProtection="0"/>
    <xf numFmtId="21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30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38" fillId="0" borderId="0" applyFont="0" applyFill="0" applyAlignment="0" applyProtection="0"/>
    <xf numFmtId="39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38" fillId="0" borderId="0" applyFont="0" applyFill="0" applyAlignment="0" applyProtection="0"/>
    <xf numFmtId="39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214" fontId="38" fillId="0" borderId="0" applyFont="0" applyFill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Alignment="0" applyProtection="0"/>
    <xf numFmtId="214" fontId="11" fillId="0" borderId="0" applyFont="0" applyFill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5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5" fontId="11" fillId="0" borderId="0" applyFont="0" applyFill="0" applyBorder="0" applyAlignment="0" applyProtection="0"/>
    <xf numFmtId="215" fontId="11" fillId="0" borderId="0" applyFont="0" applyFill="0" applyBorder="0" applyAlignment="0" applyProtection="0"/>
    <xf numFmtId="215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20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30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30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219" fontId="38" fillId="0" borderId="0" applyFont="0" applyFill="0" applyAlignment="0" applyProtection="0"/>
    <xf numFmtId="219" fontId="38" fillId="0" borderId="0" applyFont="0" applyFill="0" applyAlignment="0" applyProtection="0"/>
    <xf numFmtId="219" fontId="38" fillId="0" borderId="0" applyFont="0" applyFill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219" fontId="11" fillId="0" borderId="0" applyFont="0" applyFill="0" applyAlignment="0" applyProtection="0"/>
    <xf numFmtId="219" fontId="11" fillId="0" borderId="0" applyFont="0" applyFill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40" fillId="0" borderId="0" applyNumberFormat="0" applyFill="0" applyBorder="0" applyAlignment="0" applyProtection="0"/>
    <xf numFmtId="220" fontId="40" fillId="0" borderId="0" applyFill="0" applyAlignment="0" applyProtection="0"/>
    <xf numFmtId="220" fontId="40" fillId="0" borderId="0" applyFill="0" applyAlignment="0" applyProtection="0"/>
    <xf numFmtId="220" fontId="40" fillId="0" borderId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Alignment="0" applyProtection="0"/>
    <xf numFmtId="0" fontId="11" fillId="5" borderId="0" applyNumberFormat="0" applyFont="0" applyAlignment="0" applyProtection="0"/>
    <xf numFmtId="220" fontId="38" fillId="6" borderId="0" applyFont="0" applyAlignment="0" applyProtection="0"/>
    <xf numFmtId="220" fontId="38" fillId="6" borderId="0" applyFont="0" applyAlignment="0" applyProtection="0"/>
    <xf numFmtId="220" fontId="38" fillId="6" borderId="0" applyFont="0" applyAlignment="0" applyProtection="0"/>
    <xf numFmtId="0" fontId="11" fillId="5" borderId="0" applyNumberFormat="0" applyFont="0" applyAlignment="0" applyProtection="0"/>
    <xf numFmtId="0" fontId="11" fillId="6" borderId="0" applyNumberFormat="0" applyFont="0" applyAlignment="0" applyProtection="0"/>
    <xf numFmtId="0" fontId="38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3" fontId="30" fillId="0" borderId="0"/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38" fillId="0" borderId="0">
      <alignment horizontal="left" wrapText="1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221" fontId="11" fillId="0" borderId="0" applyFont="0" applyFill="0" applyBorder="0" applyAlignment="0" applyProtection="0"/>
    <xf numFmtId="222" fontId="38" fillId="0" borderId="0" applyFont="0" applyFill="0" applyAlignment="0" applyProtection="0"/>
    <xf numFmtId="222" fontId="38" fillId="0" borderId="0" applyFont="0" applyFill="0" applyAlignment="0" applyProtection="0"/>
    <xf numFmtId="222" fontId="38" fillId="0" borderId="0" applyFont="0" applyFill="0" applyAlignment="0" applyProtection="0"/>
    <xf numFmtId="221" fontId="11" fillId="0" borderId="0" applyFont="0" applyFill="0" applyBorder="0" applyAlignment="0" applyProtection="0"/>
    <xf numFmtId="222" fontId="11" fillId="0" borderId="0" applyFont="0" applyFill="0" applyAlignment="0" applyProtection="0"/>
    <xf numFmtId="223" fontId="11" fillId="0" borderId="0" applyFont="0" applyFill="0" applyBorder="0" applyProtection="0">
      <alignment horizontal="right"/>
    </xf>
    <xf numFmtId="223" fontId="38" fillId="0" borderId="0" applyFont="0" applyFill="0" applyProtection="0">
      <alignment horizontal="right"/>
    </xf>
    <xf numFmtId="223" fontId="38" fillId="0" borderId="0" applyFont="0" applyFill="0" applyProtection="0">
      <alignment horizontal="right"/>
    </xf>
    <xf numFmtId="223" fontId="38" fillId="0" borderId="0" applyFont="0" applyFill="0" applyProtection="0">
      <alignment horizontal="right"/>
    </xf>
    <xf numFmtId="223" fontId="11" fillId="0" borderId="0" applyFont="0" applyFill="0" applyBorder="0" applyProtection="0">
      <alignment horizontal="right"/>
    </xf>
    <xf numFmtId="223" fontId="11" fillId="0" borderId="0" applyFont="0" applyFill="0" applyProtection="0">
      <alignment horizontal="right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38" fillId="0" borderId="0">
      <alignment horizontal="left" wrapText="1"/>
    </xf>
    <xf numFmtId="0" fontId="38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vertical="top"/>
    </xf>
    <xf numFmtId="0" fontId="38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39" fillId="0" borderId="0">
      <alignment vertical="center"/>
    </xf>
    <xf numFmtId="0" fontId="39" fillId="0" borderId="0">
      <alignment vertical="center"/>
    </xf>
    <xf numFmtId="0" fontId="41" fillId="0" borderId="0" applyNumberFormat="0" applyFill="0" applyBorder="0" applyProtection="0">
      <alignment vertical="top"/>
    </xf>
    <xf numFmtId="220" fontId="41" fillId="0" borderId="0" applyFill="0" applyProtection="0">
      <alignment vertical="top"/>
    </xf>
    <xf numFmtId="220" fontId="41" fillId="0" borderId="0" applyFill="0" applyProtection="0">
      <alignment vertical="top"/>
    </xf>
    <xf numFmtId="220" fontId="41" fillId="0" borderId="0" applyFill="0" applyProtection="0">
      <alignment vertical="top"/>
    </xf>
    <xf numFmtId="0" fontId="41" fillId="0" borderId="0" applyNumberFormat="0" applyFill="0" applyBorder="0" applyProtection="0">
      <alignment vertical="top"/>
    </xf>
    <xf numFmtId="0" fontId="41" fillId="0" borderId="0" applyNumberFormat="0" applyFill="0" applyProtection="0">
      <alignment vertical="top"/>
    </xf>
    <xf numFmtId="0" fontId="38" fillId="0" borderId="0">
      <alignment horizontal="left" wrapText="1"/>
    </xf>
    <xf numFmtId="0" fontId="11" fillId="0" borderId="0"/>
    <xf numFmtId="0" fontId="11" fillId="0" borderId="0">
      <alignment vertical="top"/>
    </xf>
    <xf numFmtId="0" fontId="42" fillId="0" borderId="9" applyNumberFormat="0" applyFill="0" applyAlignment="0" applyProtection="0"/>
    <xf numFmtId="220" fontId="42" fillId="0" borderId="9" applyFill="0" applyAlignment="0" applyProtection="0"/>
    <xf numFmtId="220" fontId="42" fillId="0" borderId="9" applyFill="0" applyAlignment="0" applyProtection="0"/>
    <xf numFmtId="220" fontId="42" fillId="0" borderId="9" applyFill="0" applyAlignment="0" applyProtection="0"/>
    <xf numFmtId="0" fontId="42" fillId="0" borderId="9" applyNumberFormat="0" applyFill="0" applyAlignment="0" applyProtection="0"/>
    <xf numFmtId="0" fontId="43" fillId="0" borderId="10" applyNumberFormat="0" applyFill="0" applyProtection="0">
      <alignment horizontal="center"/>
    </xf>
    <xf numFmtId="220" fontId="43" fillId="0" borderId="10" applyFill="0" applyProtection="0">
      <alignment horizontal="center"/>
    </xf>
    <xf numFmtId="220" fontId="43" fillId="0" borderId="10" applyFill="0" applyProtection="0">
      <alignment horizontal="center"/>
    </xf>
    <xf numFmtId="220" fontId="43" fillId="0" borderId="1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3" fillId="0" borderId="0" applyNumberFormat="0" applyFill="0" applyBorder="0" applyProtection="0">
      <alignment horizontal="left"/>
    </xf>
    <xf numFmtId="220" fontId="43" fillId="0" borderId="0" applyFill="0" applyProtection="0">
      <alignment horizontal="left"/>
    </xf>
    <xf numFmtId="220" fontId="43" fillId="0" borderId="0" applyFill="0" applyProtection="0">
      <alignment horizontal="left"/>
    </xf>
    <xf numFmtId="220" fontId="43" fillId="0" borderId="0" applyFill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3" fillId="0" borderId="0" applyNumberFormat="0" applyFill="0" applyProtection="0">
      <alignment horizontal="left"/>
    </xf>
    <xf numFmtId="0" fontId="44" fillId="0" borderId="0" applyNumberFormat="0" applyFill="0" applyBorder="0" applyProtection="0">
      <alignment horizontal="centerContinuous"/>
    </xf>
    <xf numFmtId="220" fontId="45" fillId="0" borderId="0" applyFill="0" applyProtection="0">
      <alignment horizontal="center"/>
    </xf>
    <xf numFmtId="220" fontId="45" fillId="0" borderId="0" applyFill="0" applyProtection="0">
      <alignment horizontal="center"/>
    </xf>
    <xf numFmtId="220" fontId="45" fillId="0" borderId="0" applyFill="0" applyProtection="0">
      <alignment horizontal="center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39" fillId="0" borderId="0">
      <alignment vertical="center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217" fontId="38" fillId="0" borderId="0">
      <alignment horizontal="left" wrapText="1"/>
    </xf>
    <xf numFmtId="0" fontId="11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224" fontId="46" fillId="0" borderId="0" applyFont="0" applyFill="0" applyBorder="0" applyAlignment="0" applyProtection="0"/>
    <xf numFmtId="225" fontId="4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1" fillId="0" borderId="0"/>
    <xf numFmtId="1" fontId="47" fillId="0" borderId="0"/>
    <xf numFmtId="0" fontId="46" fillId="0" borderId="0"/>
    <xf numFmtId="226" fontId="48" fillId="0" borderId="0">
      <alignment horizontal="center"/>
    </xf>
    <xf numFmtId="181" fontId="27" fillId="0" borderId="0">
      <alignment horizontal="left"/>
    </xf>
    <xf numFmtId="227" fontId="27" fillId="0" borderId="0">
      <alignment horizontal="left"/>
    </xf>
    <xf numFmtId="3" fontId="49" fillId="7" borderId="0">
      <alignment horizontal="left"/>
    </xf>
    <xf numFmtId="0" fontId="50" fillId="8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8" borderId="0" applyNumberFormat="0" applyBorder="0" applyAlignment="0" applyProtection="0"/>
    <xf numFmtId="0" fontId="50" fillId="11" borderId="0" applyNumberFormat="0" applyBorder="0" applyAlignment="0" applyProtection="0"/>
    <xf numFmtId="0" fontId="50" fillId="12" borderId="0" applyNumberFormat="0" applyBorder="0" applyAlignment="0" applyProtection="0"/>
    <xf numFmtId="3" fontId="21" fillId="4" borderId="0"/>
    <xf numFmtId="0" fontId="50" fillId="11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1" borderId="0" applyNumberFormat="0" applyBorder="0" applyAlignment="0" applyProtection="0"/>
    <xf numFmtId="0" fontId="50" fillId="12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0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2" borderId="0" applyNumberFormat="0" applyBorder="0" applyAlignment="0" applyProtection="0"/>
    <xf numFmtId="228" fontId="48" fillId="0" borderId="0">
      <alignment horizontal="center"/>
    </xf>
    <xf numFmtId="0" fontId="52" fillId="0" borderId="0">
      <protection locked="0"/>
    </xf>
    <xf numFmtId="229" fontId="48" fillId="0" borderId="0">
      <alignment horizontal="center"/>
    </xf>
    <xf numFmtId="230" fontId="53" fillId="0" borderId="11">
      <alignment horizontal="right"/>
    </xf>
    <xf numFmtId="0" fontId="54" fillId="4" borderId="0"/>
    <xf numFmtId="0" fontId="55" fillId="4" borderId="0">
      <alignment horizontal="left"/>
    </xf>
    <xf numFmtId="37" fontId="56" fillId="0" borderId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9" borderId="0" applyNumberFormat="0" applyBorder="0" applyAlignment="0" applyProtection="0"/>
    <xf numFmtId="0" fontId="51" fillId="14" borderId="0" applyNumberFormat="0" applyBorder="0" applyAlignment="0" applyProtection="0"/>
    <xf numFmtId="0" fontId="51" fillId="18" borderId="0" applyNumberFormat="0" applyBorder="0" applyAlignment="0" applyProtection="0"/>
    <xf numFmtId="0" fontId="51" fillId="20" borderId="0" applyNumberFormat="0" applyBorder="0" applyAlignment="0" applyProtection="0"/>
    <xf numFmtId="231" fontId="57" fillId="0" borderId="0" applyFont="0" applyFill="0" applyBorder="0" applyAlignment="0" applyProtection="0"/>
    <xf numFmtId="232" fontId="35" fillId="0" borderId="0" applyFont="0" applyFill="0" applyBorder="0" applyAlignment="0" applyProtection="0"/>
    <xf numFmtId="233" fontId="58" fillId="0" borderId="0" applyFont="0" applyFill="0" applyBorder="0" applyAlignment="0" applyProtection="0"/>
    <xf numFmtId="234" fontId="53" fillId="0" borderId="11">
      <alignment horizontal="right"/>
    </xf>
    <xf numFmtId="234" fontId="53" fillId="0" borderId="11" applyFill="0">
      <alignment horizontal="right"/>
    </xf>
    <xf numFmtId="235" fontId="53" fillId="0" borderId="11">
      <alignment horizontal="right"/>
    </xf>
    <xf numFmtId="3" fontId="11" fillId="0" borderId="11" applyFill="0">
      <alignment horizontal="right"/>
    </xf>
    <xf numFmtId="236" fontId="59" fillId="0" borderId="11" applyFill="0">
      <alignment horizontal="right"/>
    </xf>
    <xf numFmtId="3" fontId="31" fillId="0" borderId="11" applyFill="0">
      <alignment horizontal="right"/>
    </xf>
    <xf numFmtId="237" fontId="60" fillId="0" borderId="0" applyFill="0" applyBorder="0" applyProtection="0">
      <alignment horizontal="right"/>
    </xf>
    <xf numFmtId="238" fontId="14" fillId="21" borderId="12">
      <alignment horizontal="center" vertical="center"/>
    </xf>
    <xf numFmtId="0" fontId="11" fillId="0" borderId="0"/>
    <xf numFmtId="239" fontId="11" fillId="22" borderId="0" applyBorder="0" applyAlignment="0">
      <protection locked="0"/>
    </xf>
    <xf numFmtId="0" fontId="11" fillId="0" borderId="0"/>
    <xf numFmtId="0" fontId="61" fillId="0" borderId="0"/>
    <xf numFmtId="1" fontId="62" fillId="0" borderId="1">
      <alignment horizontal="right"/>
    </xf>
    <xf numFmtId="240" fontId="53" fillId="0" borderId="11">
      <alignment horizontal="right"/>
      <protection locked="0"/>
    </xf>
    <xf numFmtId="241" fontId="59" fillId="0" borderId="11" applyNumberFormat="0" applyFont="0" applyBorder="0" applyProtection="0">
      <alignment horizontal="right"/>
    </xf>
    <xf numFmtId="0" fontId="31" fillId="0" borderId="0">
      <alignment horizontal="center" wrapText="1"/>
      <protection locked="0"/>
    </xf>
    <xf numFmtId="0" fontId="1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3" fillId="0" borderId="11">
      <protection hidden="1"/>
    </xf>
    <xf numFmtId="0" fontId="64" fillId="23" borderId="11" applyNumberFormat="0" applyFont="0" applyBorder="0" applyAlignment="0" applyProtection="0">
      <protection hidden="1"/>
    </xf>
    <xf numFmtId="242" fontId="65" fillId="22" borderId="0" applyNumberFormat="0" applyBorder="0" applyAlignment="0" applyProtection="0"/>
    <xf numFmtId="243" fontId="11" fillId="0" borderId="0" applyFont="0" applyFill="0" applyBorder="0" applyAlignment="0" applyProtection="0"/>
    <xf numFmtId="0" fontId="66" fillId="0" borderId="0"/>
    <xf numFmtId="0" fontId="67" fillId="17" borderId="0"/>
    <xf numFmtId="0" fontId="68" fillId="24" borderId="0" applyNumberFormat="0" applyBorder="0" applyAlignment="0" applyProtection="0"/>
    <xf numFmtId="244" fontId="3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0" applyNumberFormat="0" applyFill="0" applyBorder="0" applyAlignment="0" applyProtection="0">
      <protection locked="0"/>
    </xf>
    <xf numFmtId="245" fontId="60" fillId="0" borderId="0"/>
    <xf numFmtId="175" fontId="11" fillId="0" borderId="0" applyNumberFormat="0" applyFont="0" applyAlignment="0" applyProtection="0"/>
    <xf numFmtId="14" fontId="72" fillId="0" borderId="0" applyNumberFormat="0" applyFill="0" applyBorder="0" applyAlignment="0" applyProtection="0">
      <alignment horizontal="center"/>
    </xf>
    <xf numFmtId="244" fontId="24" fillId="26" borderId="0" applyNumberFormat="0" applyFill="0" applyBorder="0" applyAlignment="0" applyProtection="0">
      <alignment horizontal="center"/>
    </xf>
    <xf numFmtId="14" fontId="72" fillId="0" borderId="0" applyNumberFormat="0" applyFill="0" applyBorder="0" applyAlignment="0" applyProtection="0">
      <alignment horizontal="center"/>
    </xf>
    <xf numFmtId="0" fontId="73" fillId="0" borderId="0" applyNumberFormat="0" applyFill="0" applyBorder="0" applyAlignment="0" applyProtection="0"/>
    <xf numFmtId="0" fontId="74" fillId="0" borderId="8" applyNumberFormat="0" applyFill="0" applyAlignment="0" applyProtection="0"/>
    <xf numFmtId="246" fontId="75" fillId="0" borderId="0">
      <alignment vertical="top"/>
    </xf>
    <xf numFmtId="0" fontId="76" fillId="25" borderId="13" applyNumberFormat="0" applyFill="0" applyBorder="0" applyAlignment="0" applyProtection="0">
      <protection locked="0"/>
    </xf>
    <xf numFmtId="247" fontId="77" fillId="0" borderId="14"/>
    <xf numFmtId="238" fontId="78" fillId="0" borderId="0">
      <alignment horizontal="left"/>
    </xf>
    <xf numFmtId="248" fontId="25" fillId="0" borderId="7" applyAlignment="0" applyProtection="0"/>
    <xf numFmtId="0" fontId="31" fillId="0" borderId="15" applyNumberFormat="0" applyFont="0" applyFill="0" applyAlignment="0" applyProtection="0"/>
    <xf numFmtId="0" fontId="79" fillId="0" borderId="16" applyNumberFormat="0" applyFont="0" applyFill="0" applyAlignment="0" applyProtection="0">
      <alignment horizontal="centerContinuous"/>
    </xf>
    <xf numFmtId="249" fontId="25" fillId="0" borderId="7" applyAlignment="0" applyProtection="0"/>
    <xf numFmtId="0" fontId="80" fillId="0" borderId="17" applyFill="0" applyProtection="0">
      <alignment horizontal="right"/>
    </xf>
    <xf numFmtId="250" fontId="81" fillId="26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8">
      <alignment horizontal="center"/>
    </xf>
    <xf numFmtId="246" fontId="46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1" fillId="0" borderId="0"/>
    <xf numFmtId="14" fontId="43" fillId="27" borderId="18" applyBorder="0" applyAlignment="0">
      <alignment horizontal="center" vertical="center"/>
    </xf>
    <xf numFmtId="0" fontId="43" fillId="28" borderId="18" applyNumberFormat="0" applyBorder="0" applyAlignment="0">
      <alignment horizontal="center" vertical="center"/>
    </xf>
    <xf numFmtId="251" fontId="35" fillId="0" borderId="0" applyFill="0" applyBorder="0" applyAlignment="0"/>
    <xf numFmtId="175" fontId="52" fillId="0" borderId="0" applyFill="0" applyBorder="0" applyAlignment="0"/>
    <xf numFmtId="252" fontId="52" fillId="0" borderId="0" applyFill="0" applyBorder="0" applyAlignment="0"/>
    <xf numFmtId="253" fontId="30" fillId="0" borderId="0" applyFill="0" applyBorder="0" applyAlignment="0"/>
    <xf numFmtId="254" fontId="30" fillId="0" borderId="0" applyFill="0" applyBorder="0" applyAlignment="0"/>
    <xf numFmtId="255" fontId="52" fillId="0" borderId="0" applyFill="0" applyBorder="0" applyAlignment="0"/>
    <xf numFmtId="256" fontId="60" fillId="0" borderId="0" applyFill="0" applyBorder="0" applyAlignment="0"/>
    <xf numFmtId="175" fontId="52" fillId="0" borderId="0" applyFill="0" applyBorder="0" applyAlignment="0"/>
    <xf numFmtId="0" fontId="85" fillId="8" borderId="19" applyNumberFormat="0" applyAlignment="0" applyProtection="0"/>
    <xf numFmtId="0" fontId="86" fillId="0" borderId="0"/>
    <xf numFmtId="252" fontId="11" fillId="0" borderId="0" applyFont="0" applyFill="0" applyBorder="0" applyAlignment="0" applyProtection="0"/>
    <xf numFmtId="257" fontId="11" fillId="0" borderId="0" applyFont="0" applyFill="0" applyBorder="0" applyAlignment="0" applyProtection="0"/>
    <xf numFmtId="0" fontId="60" fillId="0" borderId="0">
      <alignment vertical="center"/>
    </xf>
    <xf numFmtId="175" fontId="31" fillId="29" borderId="0" applyNumberFormat="0" applyFont="0" applyBorder="0" applyAlignment="0">
      <alignment horizontal="left"/>
    </xf>
    <xf numFmtId="244" fontId="87" fillId="0" borderId="0" applyFont="0" applyFill="0" applyBorder="0" applyAlignment="0" applyProtection="0"/>
    <xf numFmtId="0" fontId="83" fillId="0" borderId="0"/>
    <xf numFmtId="258" fontId="11" fillId="0" borderId="20" applyFont="0" applyFill="0" applyBorder="0" applyProtection="0">
      <alignment horizontal="right"/>
    </xf>
    <xf numFmtId="259" fontId="11" fillId="0" borderId="0" applyFont="0" applyFill="0" applyBorder="0" applyProtection="0">
      <alignment horizontal="center" vertical="center"/>
    </xf>
    <xf numFmtId="0" fontId="88" fillId="16" borderId="21" applyNumberFormat="0" applyAlignment="0" applyProtection="0"/>
    <xf numFmtId="260" fontId="11" fillId="0" borderId="0" applyFont="0" applyFill="0" applyBorder="0" applyProtection="0">
      <alignment horizontal="center" vertical="center"/>
    </xf>
    <xf numFmtId="0" fontId="24" fillId="0" borderId="0" applyNumberFormat="0" applyFont="0" applyBorder="0" applyAlignment="0" applyProtection="0"/>
    <xf numFmtId="37" fontId="89" fillId="0" borderId="0" applyNumberFormat="0" applyFont="0" applyBorder="0" applyAlignment="0" applyProtection="0"/>
    <xf numFmtId="0" fontId="6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1" fillId="0" borderId="8" applyNumberFormat="0" applyFill="0" applyBorder="0" applyAlignment="0" applyProtection="0">
      <alignment horizontal="center"/>
    </xf>
    <xf numFmtId="0" fontId="83" fillId="23" borderId="0"/>
    <xf numFmtId="0" fontId="11" fillId="0" borderId="0">
      <alignment horizontal="center" wrapText="1"/>
      <protection hidden="1"/>
    </xf>
    <xf numFmtId="0" fontId="92" fillId="0" borderId="0" applyNumberFormat="0" applyFill="0" applyBorder="0" applyProtection="0">
      <alignment horizontal="right"/>
    </xf>
    <xf numFmtId="0" fontId="93" fillId="0" borderId="0">
      <alignment horizontal="right"/>
    </xf>
    <xf numFmtId="0" fontId="62" fillId="0" borderId="22">
      <alignment horizontal="center"/>
    </xf>
    <xf numFmtId="0" fontId="52" fillId="0" borderId="23"/>
    <xf numFmtId="255" fontId="52" fillId="0" borderId="0" applyFont="0" applyFill="0" applyBorder="0" applyAlignment="0" applyProtection="0"/>
    <xf numFmtId="0" fontId="94" fillId="0" borderId="0" applyFont="0" applyFill="0" applyBorder="0" applyProtection="0">
      <alignment horizontal="right"/>
    </xf>
    <xf numFmtId="0" fontId="94" fillId="0" borderId="0" applyFont="0" applyFill="0" applyBorder="0" applyProtection="0">
      <alignment horizontal="right"/>
    </xf>
    <xf numFmtId="0" fontId="94" fillId="0" borderId="0" applyFont="0" applyFill="0" applyBorder="0" applyProtection="0">
      <alignment horizontal="right"/>
    </xf>
    <xf numFmtId="261" fontId="95" fillId="0" borderId="0" applyFont="0" applyFill="0" applyBorder="0" applyAlignment="0" applyProtection="0">
      <alignment horizontal="right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>
      <alignment horizontal="right"/>
    </xf>
    <xf numFmtId="262" fontId="95" fillId="0" borderId="0" applyFont="0" applyFill="0" applyBorder="0" applyAlignment="0" applyProtection="0">
      <alignment horizontal="right"/>
    </xf>
    <xf numFmtId="40" fontId="11" fillId="0" borderId="0" applyFont="0" applyFill="0" applyBorder="0" applyProtection="0">
      <alignment horizontal="right"/>
    </xf>
    <xf numFmtId="3" fontId="11" fillId="0" borderId="0" applyFont="0" applyFill="0" applyBorder="0" applyAlignment="0" applyProtection="0"/>
    <xf numFmtId="0" fontId="96" fillId="0" borderId="0"/>
    <xf numFmtId="0" fontId="52" fillId="0" borderId="0"/>
    <xf numFmtId="0" fontId="96" fillId="0" borderId="0"/>
    <xf numFmtId="263" fontId="30" fillId="0" borderId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6" fillId="0" borderId="0"/>
    <xf numFmtId="0" fontId="96" fillId="0" borderId="0"/>
    <xf numFmtId="0" fontId="52" fillId="0" borderId="0"/>
    <xf numFmtId="0" fontId="98" fillId="0" borderId="0"/>
    <xf numFmtId="164" fontId="11" fillId="26" borderId="0" applyNumberFormat="0" applyFont="0" applyBorder="0" applyAlignment="0" applyProtection="0"/>
    <xf numFmtId="0" fontId="99" fillId="0" borderId="0" applyNumberFormat="0" applyAlignment="0">
      <alignment horizontal="left"/>
    </xf>
    <xf numFmtId="0" fontId="39" fillId="0" borderId="0" applyNumberFormat="0" applyAlignment="0"/>
    <xf numFmtId="0" fontId="11" fillId="0" borderId="0" applyFill="0" applyBorder="0">
      <alignment horizontal="right"/>
      <protection locked="0"/>
    </xf>
    <xf numFmtId="0" fontId="52" fillId="0" borderId="23"/>
    <xf numFmtId="264" fontId="60" fillId="0" borderId="24" applyFont="0" applyFill="0" applyBorder="0" applyAlignment="0" applyProtection="0"/>
    <xf numFmtId="175" fontId="52" fillId="0" borderId="0" applyFont="0" applyFill="0" applyBorder="0" applyAlignment="0" applyProtection="0"/>
    <xf numFmtId="246" fontId="60" fillId="0" borderId="0"/>
    <xf numFmtId="215" fontId="60" fillId="0" borderId="0"/>
    <xf numFmtId="0" fontId="94" fillId="0" borderId="0" applyFont="0" applyFill="0" applyBorder="0" applyProtection="0">
      <alignment horizontal="right"/>
    </xf>
    <xf numFmtId="265" fontId="95" fillId="0" borderId="0" applyFont="0" applyFill="0" applyBorder="0" applyAlignment="0" applyProtection="0">
      <alignment horizontal="right"/>
    </xf>
    <xf numFmtId="182" fontId="95" fillId="0" borderId="0" applyFont="0" applyFill="0" applyBorder="0" applyAlignment="0" applyProtection="0">
      <alignment horizontal="right"/>
    </xf>
    <xf numFmtId="0" fontId="100" fillId="0" borderId="0" applyFont="0" applyFill="0" applyBorder="0" applyAlignment="0" applyProtection="0"/>
    <xf numFmtId="266" fontId="28" fillId="0" borderId="0" applyFont="0" applyFill="0" applyBorder="0" applyProtection="0">
      <alignment horizontal="right"/>
    </xf>
    <xf numFmtId="258" fontId="27" fillId="25" borderId="0" applyFont="0" applyFill="0" applyBorder="0" applyAlignment="0" applyProtection="0"/>
    <xf numFmtId="174" fontId="60" fillId="0" borderId="24" applyFont="0" applyFill="0" applyBorder="0" applyAlignment="0" applyProtection="0"/>
    <xf numFmtId="242" fontId="11" fillId="0" borderId="0" applyFont="0" applyFill="0" applyBorder="0" applyAlignment="0" applyProtection="0">
      <alignment vertical="center"/>
    </xf>
    <xf numFmtId="267" fontId="101" fillId="4" borderId="0">
      <alignment horizontal="right"/>
    </xf>
    <xf numFmtId="268" fontId="59" fillId="0" borderId="0"/>
    <xf numFmtId="269" fontId="48" fillId="0" borderId="0" applyFill="0" applyBorder="0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244" fontId="46" fillId="0" borderId="0" applyFont="0" applyFill="0" applyBorder="0" applyAlignment="0" applyProtection="0"/>
    <xf numFmtId="270" fontId="53" fillId="25" borderId="0" applyFont="0" applyFill="0" applyBorder="0" applyAlignment="0" applyProtection="0">
      <alignment vertical="center"/>
    </xf>
    <xf numFmtId="258" fontId="103" fillId="0" borderId="0" applyNumberFormat="0" applyFill="0" applyBorder="0" applyAlignment="0"/>
    <xf numFmtId="0" fontId="11" fillId="0" borderId="0" applyNumberFormat="0">
      <alignment horizontal="right"/>
    </xf>
    <xf numFmtId="14" fontId="62" fillId="26" borderId="25" applyFill="0" applyBorder="0">
      <alignment horizontal="right"/>
    </xf>
    <xf numFmtId="22" fontId="104" fillId="0" borderId="0">
      <alignment horizontal="left"/>
    </xf>
    <xf numFmtId="15" fontId="62" fillId="0" borderId="0" applyFill="0" applyBorder="0" applyAlignment="0"/>
    <xf numFmtId="244" fontId="62" fillId="22" borderId="0" applyFont="0" applyFill="0" applyBorder="0" applyAlignment="0" applyProtection="0"/>
    <xf numFmtId="271" fontId="24" fillId="22" borderId="26" applyFont="0" applyFill="0" applyBorder="0" applyAlignment="0" applyProtection="0"/>
    <xf numFmtId="244" fontId="60" fillId="22" borderId="0" applyFont="0" applyFill="0" applyBorder="0" applyAlignment="0" applyProtection="0"/>
    <xf numFmtId="17" fontId="62" fillId="0" borderId="0" applyFill="0" applyBorder="0">
      <alignment horizontal="right"/>
    </xf>
    <xf numFmtId="272" fontId="62" fillId="0" borderId="8"/>
    <xf numFmtId="273" fontId="95" fillId="0" borderId="0" applyFont="0" applyFill="0" applyBorder="0" applyAlignment="0" applyProtection="0"/>
    <xf numFmtId="14" fontId="54" fillId="0" borderId="0" applyFill="0" applyBorder="0" applyAlignment="0"/>
    <xf numFmtId="274" fontId="59" fillId="26" borderId="25" applyFill="0" applyBorder="0">
      <alignment horizontal="right"/>
    </xf>
    <xf numFmtId="271" fontId="62" fillId="0" borderId="0" applyFill="0" applyBorder="0">
      <alignment horizontal="right"/>
    </xf>
    <xf numFmtId="275" fontId="60" fillId="0" borderId="27">
      <alignment horizontal="center"/>
    </xf>
    <xf numFmtId="17" fontId="11" fillId="0" borderId="0" applyFont="0" applyFill="0" applyBorder="0" applyAlignment="0" applyProtection="0">
      <alignment horizontal="center"/>
    </xf>
    <xf numFmtId="276" fontId="87" fillId="0" borderId="0" applyFont="0" applyFill="0" applyBorder="0" applyAlignment="0" applyProtection="0">
      <alignment horizontal="center"/>
    </xf>
    <xf numFmtId="40" fontId="105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258" fontId="31" fillId="0" borderId="0" applyFont="0" applyFill="0" applyBorder="0" applyAlignment="0" applyProtection="0"/>
    <xf numFmtId="0" fontId="31" fillId="0" borderId="0"/>
    <xf numFmtId="189" fontId="60" fillId="0" borderId="0"/>
    <xf numFmtId="277" fontId="31" fillId="0" borderId="0" applyFont="0" applyFill="0" applyBorder="0" applyAlignment="0" applyProtection="0"/>
    <xf numFmtId="278" fontId="95" fillId="0" borderId="28" applyNumberFormat="0" applyFont="0" applyFill="0" applyAlignment="0" applyProtection="0"/>
    <xf numFmtId="279" fontId="106" fillId="0" borderId="0" applyFill="0" applyBorder="0" applyAlignment="0" applyProtection="0"/>
    <xf numFmtId="0" fontId="107" fillId="0" borderId="0" applyNumberFormat="0" applyFont="0" applyBorder="0" applyAlignment="0">
      <alignment horizontal="centerContinuous"/>
    </xf>
    <xf numFmtId="280" fontId="14" fillId="30" borderId="0" applyFill="0" applyBorder="0" applyProtection="0"/>
    <xf numFmtId="255" fontId="52" fillId="0" borderId="0" applyFill="0" applyBorder="0" applyAlignment="0"/>
    <xf numFmtId="175" fontId="52" fillId="0" borderId="0" applyFill="0" applyBorder="0" applyAlignment="0"/>
    <xf numFmtId="255" fontId="52" fillId="0" borderId="0" applyFill="0" applyBorder="0" applyAlignment="0"/>
    <xf numFmtId="256" fontId="60" fillId="0" borderId="0" applyFill="0" applyBorder="0" applyAlignment="0"/>
    <xf numFmtId="175" fontId="52" fillId="0" borderId="0" applyFill="0" applyBorder="0" applyAlignment="0"/>
    <xf numFmtId="0" fontId="108" fillId="0" borderId="0" applyNumberFormat="0" applyAlignment="0">
      <alignment horizontal="left"/>
    </xf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81" fontId="111" fillId="31" borderId="29">
      <protection locked="0"/>
    </xf>
    <xf numFmtId="0" fontId="34" fillId="32" borderId="0"/>
    <xf numFmtId="0" fontId="34" fillId="32" borderId="0"/>
    <xf numFmtId="0" fontId="64" fillId="32" borderId="0"/>
    <xf numFmtId="0" fontId="64" fillId="0" borderId="0"/>
    <xf numFmtId="0" fontId="102" fillId="32" borderId="0"/>
    <xf numFmtId="0" fontId="102" fillId="0" borderId="0"/>
    <xf numFmtId="0" fontId="102" fillId="0" borderId="0"/>
    <xf numFmtId="0" fontId="36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38" fontId="11" fillId="0" borderId="0" applyFont="0" applyFill="0" applyBorder="0" applyAlignment="0" applyProtection="0"/>
    <xf numFmtId="282" fontId="11" fillId="0" borderId="0" applyFont="0" applyFill="0" applyBorder="0" applyAlignment="0" applyProtection="0"/>
    <xf numFmtId="3" fontId="14" fillId="0" borderId="30" applyFill="0" applyBorder="0"/>
    <xf numFmtId="164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38" fontId="114" fillId="0" borderId="0" applyBorder="0">
      <alignment horizontal="right"/>
    </xf>
    <xf numFmtId="0" fontId="115" fillId="0" borderId="0" applyFont="0" applyFill="0" applyBorder="0" applyAlignment="0" applyProtection="0"/>
    <xf numFmtId="0" fontId="31" fillId="0" borderId="0" applyProtection="0"/>
    <xf numFmtId="0" fontId="14" fillId="0" borderId="0" applyProtection="0"/>
    <xf numFmtId="0" fontId="11" fillId="0" borderId="0" applyProtection="0"/>
    <xf numFmtId="0" fontId="60" fillId="0" borderId="0" applyProtection="0"/>
    <xf numFmtId="37" fontId="31" fillId="0" borderId="0" applyBorder="0" applyAlignment="0"/>
    <xf numFmtId="3" fontId="38" fillId="0" borderId="0" applyFont="0" applyFill="0" applyAlignment="0" applyProtection="0"/>
    <xf numFmtId="39" fontId="27" fillId="0" borderId="0"/>
    <xf numFmtId="3" fontId="116" fillId="0" borderId="0" applyFont="0" applyFill="0" applyBorder="0" applyAlignment="0" applyProtection="0"/>
    <xf numFmtId="3" fontId="11" fillId="0" borderId="0" applyFont="0" applyFill="0" applyBorder="0" applyAlignment="0" applyProtection="0"/>
    <xf numFmtId="281" fontId="11" fillId="0" borderId="0">
      <protection locked="0"/>
    </xf>
    <xf numFmtId="283" fontId="11" fillId="22" borderId="0" applyFont="0" applyFill="0" applyBorder="0" applyAlignment="0"/>
    <xf numFmtId="284" fontId="117" fillId="0" borderId="0">
      <protection locked="0"/>
    </xf>
    <xf numFmtId="0" fontId="48" fillId="0" borderId="0" applyFill="0" applyBorder="0">
      <alignment horizontal="right"/>
    </xf>
    <xf numFmtId="285" fontId="117" fillId="0" borderId="0">
      <protection locked="0"/>
    </xf>
    <xf numFmtId="0" fontId="39" fillId="0" borderId="0">
      <alignment vertical="center"/>
    </xf>
    <xf numFmtId="0" fontId="118" fillId="0" borderId="0" applyFill="0" applyBorder="0" applyProtection="0">
      <alignment horizontal="left"/>
    </xf>
    <xf numFmtId="0" fontId="119" fillId="0" borderId="0" applyNumberFormat="0" applyFill="0" applyBorder="0" applyAlignment="0" applyProtection="0"/>
    <xf numFmtId="0" fontId="120" fillId="0" borderId="0"/>
    <xf numFmtId="0" fontId="60" fillId="25" borderId="29" applyFont="0" applyBorder="0" applyAlignment="0" applyProtection="0">
      <alignment vertical="top"/>
    </xf>
    <xf numFmtId="175" fontId="121" fillId="0" borderId="0"/>
    <xf numFmtId="167" fontId="121" fillId="22" borderId="0"/>
    <xf numFmtId="13" fontId="122" fillId="0" borderId="0" applyFont="0" applyFill="0" applyBorder="0" applyAlignment="0" applyProtection="0"/>
    <xf numFmtId="0" fontId="123" fillId="22" borderId="0" applyNumberFormat="0" applyFont="0" applyBorder="0" applyAlignment="0" applyProtection="0">
      <alignment horizontal="centerContinuous"/>
    </xf>
    <xf numFmtId="0" fontId="123" fillId="33" borderId="0" applyNumberFormat="0" applyFont="0" applyBorder="0" applyAlignment="0" applyProtection="0">
      <alignment horizontal="centerContinuous"/>
    </xf>
    <xf numFmtId="0" fontId="124" fillId="4" borderId="31" applyNumberFormat="0" applyFont="0" applyBorder="0" applyAlignment="0"/>
    <xf numFmtId="0" fontId="11" fillId="22" borderId="32" applyNumberFormat="0" applyFont="0" applyBorder="0" applyAlignment="0" applyProtection="0"/>
    <xf numFmtId="10" fontId="11" fillId="22" borderId="0" applyNumberFormat="0" applyFont="0" applyBorder="0" applyAlignment="0"/>
    <xf numFmtId="0" fontId="34" fillId="0" borderId="33"/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34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0" fontId="102" fillId="4" borderId="13">
      <alignment horizontal="right"/>
    </xf>
    <xf numFmtId="37" fontId="60" fillId="0" borderId="0"/>
    <xf numFmtId="40" fontId="11" fillId="22" borderId="34" applyFont="0" applyFill="0" applyBorder="0" applyAlignment="0" applyProtection="0"/>
    <xf numFmtId="0" fontId="125" fillId="10" borderId="0" applyNumberFormat="0" applyBorder="0" applyAlignment="0" applyProtection="0"/>
    <xf numFmtId="38" fontId="60" fillId="4" borderId="0" applyNumberFormat="0" applyBorder="0" applyAlignment="0" applyProtection="0"/>
    <xf numFmtId="286" fontId="126" fillId="0" borderId="0" applyFill="0" applyBorder="0" applyAlignment="0" applyProtection="0"/>
    <xf numFmtId="0" fontId="28" fillId="0" borderId="0" applyNumberFormat="0">
      <alignment horizontal="right"/>
    </xf>
    <xf numFmtId="0" fontId="28" fillId="0" borderId="0" applyNumberFormat="0">
      <alignment horizontal="right"/>
    </xf>
    <xf numFmtId="0" fontId="28" fillId="0" borderId="0" applyNumberFormat="0">
      <alignment horizontal="left"/>
    </xf>
    <xf numFmtId="0" fontId="28" fillId="0" borderId="0" applyNumberFormat="0">
      <alignment horizontal="left"/>
    </xf>
    <xf numFmtId="0" fontId="28" fillId="0" borderId="0" applyNumberFormat="0">
      <alignment horizontal="left" vertical="top"/>
    </xf>
    <xf numFmtId="173" fontId="11" fillId="34" borderId="29" applyNumberFormat="0" applyFont="0" applyBorder="0" applyAlignment="0" applyProtection="0"/>
    <xf numFmtId="287" fontId="62" fillId="22" borderId="29" applyNumberFormat="0" applyFont="0" applyAlignment="0"/>
    <xf numFmtId="0" fontId="23" fillId="0" borderId="0" applyNumberFormat="0" applyFill="0" applyBorder="0" applyAlignment="0" applyProtection="0"/>
    <xf numFmtId="288" fontId="95" fillId="0" borderId="0" applyFont="0" applyFill="0" applyBorder="0" applyAlignment="0" applyProtection="0">
      <alignment horizontal="right"/>
    </xf>
    <xf numFmtId="175" fontId="127" fillId="34" borderId="0" applyNumberFormat="0" applyFont="0" applyAlignment="0"/>
    <xf numFmtId="0" fontId="22" fillId="21" borderId="35"/>
    <xf numFmtId="0" fontId="52" fillId="0" borderId="0" applyFont="0"/>
    <xf numFmtId="0" fontId="128" fillId="0" borderId="0" applyProtection="0">
      <alignment horizontal="right"/>
    </xf>
    <xf numFmtId="0" fontId="129" fillId="0" borderId="36" applyNumberFormat="0" applyAlignment="0" applyProtection="0">
      <alignment horizontal="left" vertical="center"/>
    </xf>
    <xf numFmtId="0" fontId="129" fillId="0" borderId="1">
      <alignment horizontal="left" vertical="center"/>
    </xf>
    <xf numFmtId="0" fontId="130" fillId="0" borderId="0">
      <alignment horizontal="center"/>
    </xf>
    <xf numFmtId="0" fontId="131" fillId="0" borderId="0" applyFill="0" applyBorder="0" applyProtection="0">
      <alignment horizontal="right"/>
    </xf>
    <xf numFmtId="0" fontId="132" fillId="0" borderId="37" applyNumberFormat="0" applyFill="0" applyAlignment="0" applyProtection="0"/>
    <xf numFmtId="0" fontId="133" fillId="0" borderId="0" applyProtection="0">
      <alignment horizontal="left"/>
    </xf>
    <xf numFmtId="0" fontId="134" fillId="0" borderId="0" applyProtection="0">
      <alignment horizontal="left"/>
    </xf>
    <xf numFmtId="0" fontId="28" fillId="0" borderId="0" applyNumberFormat="0" applyFill="0" applyBorder="0" applyAlignment="0" applyProtection="0"/>
    <xf numFmtId="0" fontId="131" fillId="0" borderId="0" applyFill="0" applyBorder="0" applyProtection="0">
      <alignment horizontal="right"/>
    </xf>
    <xf numFmtId="289" fontId="11" fillId="0" borderId="0">
      <protection locked="0"/>
    </xf>
    <xf numFmtId="289" fontId="11" fillId="0" borderId="0">
      <protection locked="0"/>
    </xf>
    <xf numFmtId="0" fontId="135" fillId="0" borderId="38" applyNumberFormat="0" applyFill="0" applyBorder="0" applyAlignment="0" applyProtection="0">
      <alignment horizontal="left"/>
    </xf>
    <xf numFmtId="290" fontId="11" fillId="0" borderId="0" applyFont="0" applyFill="0" applyBorder="0" applyAlignment="0" applyProtection="0">
      <alignment vertical="top" wrapText="1"/>
    </xf>
    <xf numFmtId="291" fontId="136" fillId="35" borderId="0" applyProtection="0">
      <alignment vertical="center"/>
    </xf>
    <xf numFmtId="0" fontId="13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292" fontId="139" fillId="0" borderId="0" applyFill="0" applyBorder="0" applyAlignment="0" applyProtection="0"/>
    <xf numFmtId="244" fontId="31" fillId="0" borderId="0" applyFont="0" applyFill="0" applyBorder="0" applyAlignment="0" applyProtection="0"/>
    <xf numFmtId="0" fontId="140" fillId="0" borderId="0" applyNumberFormat="0" applyFill="0" applyBorder="0" applyAlignment="0" applyProtection="0">
      <alignment horizontal="left"/>
    </xf>
    <xf numFmtId="0" fontId="39" fillId="0" borderId="0"/>
    <xf numFmtId="293" fontId="11" fillId="0" borderId="0" applyNumberFormat="0" applyFill="0" applyBorder="0" applyAlignment="0" applyProtection="0"/>
    <xf numFmtId="293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5" fontId="141" fillId="0" borderId="0"/>
    <xf numFmtId="294" fontId="142" fillId="0" borderId="0"/>
    <xf numFmtId="0" fontId="11" fillId="0" borderId="0">
      <alignment horizontal="right"/>
    </xf>
    <xf numFmtId="10" fontId="60" fillId="22" borderId="29" applyNumberFormat="0" applyBorder="0" applyAlignment="0" applyProtection="0"/>
    <xf numFmtId="3" fontId="143" fillId="0" borderId="27" applyNumberFormat="0" applyFont="0" applyFill="0" applyAlignment="0">
      <alignment horizontal="center" vertical="top"/>
      <protection locked="0"/>
    </xf>
    <xf numFmtId="175" fontId="56" fillId="36" borderId="0"/>
    <xf numFmtId="215" fontId="60" fillId="0" borderId="0"/>
    <xf numFmtId="271" fontId="60" fillId="22" borderId="0" applyFont="0" applyBorder="0" applyAlignment="0" applyProtection="0">
      <protection locked="0"/>
    </xf>
    <xf numFmtId="283" fontId="60" fillId="22" borderId="0" applyFont="0" applyBorder="0" applyAlignment="0">
      <protection locked="0"/>
    </xf>
    <xf numFmtId="244" fontId="60" fillId="0" borderId="0"/>
    <xf numFmtId="0" fontId="144" fillId="37" borderId="0" applyNumberFormat="0" applyBorder="0" applyAlignment="0">
      <protection locked="0"/>
    </xf>
    <xf numFmtId="295" fontId="60" fillId="0" borderId="0"/>
    <xf numFmtId="10" fontId="60" fillId="22" borderId="0">
      <protection locked="0"/>
    </xf>
    <xf numFmtId="296" fontId="59" fillId="22" borderId="0" applyFont="0" applyBorder="0" applyAlignment="0">
      <protection locked="0"/>
    </xf>
    <xf numFmtId="244" fontId="139" fillId="22" borderId="0" applyNumberFormat="0" applyBorder="0" applyAlignment="0">
      <protection locked="0"/>
    </xf>
    <xf numFmtId="0" fontId="145" fillId="38" borderId="0" applyNumberFormat="0" applyFont="0" applyBorder="0" applyAlignment="0"/>
    <xf numFmtId="297" fontId="59" fillId="0" borderId="0"/>
    <xf numFmtId="0" fontId="60" fillId="22" borderId="0" applyNumberFormat="0" applyFont="0" applyBorder="0" applyAlignment="0" applyProtection="0">
      <alignment horizontal="center"/>
      <protection locked="0"/>
    </xf>
    <xf numFmtId="0" fontId="60" fillId="22" borderId="8" applyNumberFormat="0" applyFont="0" applyAlignment="0" applyProtection="0">
      <alignment horizontal="center"/>
      <protection locked="0"/>
    </xf>
    <xf numFmtId="260" fontId="59" fillId="0" borderId="0"/>
    <xf numFmtId="268" fontId="59" fillId="0" borderId="0"/>
    <xf numFmtId="0" fontId="89" fillId="22" borderId="0" applyNumberFormat="0" applyFont="0" applyBorder="0" applyAlignment="0">
      <alignment horizontal="right"/>
      <protection locked="0"/>
    </xf>
    <xf numFmtId="0" fontId="146" fillId="5" borderId="0" applyNumberFormat="0" applyFont="0" applyBorder="0" applyAlignment="0">
      <alignment horizontal="right" vertical="top"/>
      <protection locked="0"/>
    </xf>
    <xf numFmtId="291" fontId="147" fillId="26" borderId="39" applyNumberFormat="0" applyFont="0" applyBorder="0" applyAlignment="0">
      <alignment horizontal="right" vertical="center"/>
      <protection locked="0"/>
    </xf>
    <xf numFmtId="0" fontId="148" fillId="0" borderId="0" applyFill="0" applyBorder="0" applyProtection="0">
      <alignment vertical="center"/>
    </xf>
    <xf numFmtId="297" fontId="59" fillId="0" borderId="0"/>
    <xf numFmtId="173" fontId="63" fillId="0" borderId="0"/>
    <xf numFmtId="0" fontId="146" fillId="5" borderId="0" applyNumberFormat="0" applyFont="0" applyBorder="0" applyAlignment="0">
      <alignment horizontal="right" vertical="top"/>
      <protection locked="0"/>
    </xf>
    <xf numFmtId="0" fontId="11" fillId="0" borderId="0" applyFill="0" applyBorder="0">
      <alignment horizontal="right"/>
      <protection locked="0"/>
    </xf>
    <xf numFmtId="291" fontId="46" fillId="0" borderId="0"/>
    <xf numFmtId="0" fontId="6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91" fontId="46" fillId="0" borderId="0"/>
    <xf numFmtId="298" fontId="11" fillId="39" borderId="0" applyBorder="0"/>
    <xf numFmtId="0" fontId="14" fillId="31" borderId="40">
      <alignment horizontal="left" vertical="center" wrapText="1"/>
    </xf>
    <xf numFmtId="267" fontId="20" fillId="4" borderId="0" applyFont="0">
      <alignment horizontal="center"/>
    </xf>
    <xf numFmtId="277" fontId="28" fillId="0" borderId="0" applyFont="0" applyFill="0" applyBorder="0" applyAlignment="0" applyProtection="0"/>
    <xf numFmtId="258" fontId="28" fillId="0" borderId="0" applyFont="0" applyFill="0" applyBorder="0" applyAlignment="0" applyProtection="0"/>
    <xf numFmtId="0" fontId="46" fillId="0" borderId="0" applyNumberFormat="0" applyFill="0" applyBorder="0" applyProtection="0">
      <alignment horizontal="left" vertical="center"/>
    </xf>
    <xf numFmtId="299" fontId="46" fillId="0" borderId="0" applyFont="0" applyFill="0" applyBorder="0" applyAlignment="0" applyProtection="0"/>
    <xf numFmtId="0" fontId="11" fillId="0" borderId="0">
      <alignment horizontal="left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28" fillId="0" borderId="0"/>
    <xf numFmtId="255" fontId="52" fillId="0" borderId="0" applyFill="0" applyBorder="0" applyAlignment="0"/>
    <xf numFmtId="175" fontId="52" fillId="0" borderId="0" applyFill="0" applyBorder="0" applyAlignment="0"/>
    <xf numFmtId="255" fontId="52" fillId="0" borderId="0" applyFill="0" applyBorder="0" applyAlignment="0"/>
    <xf numFmtId="256" fontId="60" fillId="0" borderId="0" applyFill="0" applyBorder="0" applyAlignment="0"/>
    <xf numFmtId="175" fontId="52" fillId="0" borderId="0" applyFill="0" applyBorder="0" applyAlignment="0"/>
    <xf numFmtId="0" fontId="28" fillId="0" borderId="41" applyNumberFormat="0" applyFill="0" applyAlignment="0" applyProtection="0"/>
    <xf numFmtId="175" fontId="151" fillId="40" borderId="0"/>
    <xf numFmtId="0" fontId="11" fillId="41" borderId="0" applyNumberFormat="0" applyFont="0" applyBorder="0" applyAlignment="0"/>
    <xf numFmtId="300" fontId="11" fillId="42" borderId="42" applyNumberFormat="0" applyFont="0" applyBorder="0" applyAlignment="0"/>
    <xf numFmtId="220" fontId="38" fillId="43" borderId="0" applyFont="0" applyAlignment="0"/>
    <xf numFmtId="175" fontId="152" fillId="0" borderId="0" applyNumberFormat="0" applyFont="0" applyFill="0" applyBorder="0" applyAlignment="0">
      <protection hidden="1"/>
    </xf>
    <xf numFmtId="0" fontId="33" fillId="0" borderId="0">
      <alignment horizontal="right"/>
    </xf>
    <xf numFmtId="0" fontId="64" fillId="32" borderId="0">
      <alignment horizontal="right"/>
    </xf>
    <xf numFmtId="14" fontId="62" fillId="0" borderId="8" applyFont="0" applyFill="0" applyBorder="0" applyAlignment="0" applyProtection="0"/>
    <xf numFmtId="0" fontId="11" fillId="0" borderId="0">
      <alignment horizontal="right"/>
    </xf>
    <xf numFmtId="0" fontId="11" fillId="0" borderId="0">
      <alignment horizontal="right"/>
    </xf>
    <xf numFmtId="0" fontId="33" fillId="0" borderId="0">
      <alignment horizontal="right"/>
    </xf>
    <xf numFmtId="0" fontId="11" fillId="0" borderId="0">
      <alignment horizontal="right"/>
    </xf>
    <xf numFmtId="0" fontId="33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33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33" fillId="0" borderId="0">
      <alignment horizontal="right"/>
    </xf>
    <xf numFmtId="0" fontId="33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33" fillId="0" borderId="0">
      <alignment horizontal="right"/>
    </xf>
    <xf numFmtId="0" fontId="33" fillId="0" borderId="0">
      <alignment horizontal="right"/>
    </xf>
    <xf numFmtId="0" fontId="153" fillId="0" borderId="11">
      <alignment horizontal="left"/>
      <protection locked="0"/>
    </xf>
    <xf numFmtId="173" fontId="154" fillId="0" borderId="0"/>
    <xf numFmtId="301" fontId="35" fillId="0" borderId="0" applyFont="0" applyFill="0" applyBorder="0" applyProtection="0">
      <alignment horizontal="right"/>
    </xf>
    <xf numFmtId="302" fontId="35" fillId="0" borderId="0" applyFont="0" applyFill="0" applyBorder="0" applyProtection="0">
      <alignment horizontal="right"/>
    </xf>
    <xf numFmtId="239" fontId="154" fillId="0" borderId="0"/>
    <xf numFmtId="286" fontId="103" fillId="0" borderId="0" applyFill="0" applyBorder="0" applyAlignment="0" applyProtection="0"/>
    <xf numFmtId="303" fontId="155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156" fillId="0" borderId="0" applyBorder="0"/>
    <xf numFmtId="38" fontId="28" fillId="0" borderId="22">
      <alignment vertical="center"/>
    </xf>
    <xf numFmtId="40" fontId="28" fillId="0" borderId="22">
      <alignment vertical="center"/>
    </xf>
    <xf numFmtId="38" fontId="28" fillId="0" borderId="22">
      <alignment vertical="center"/>
    </xf>
    <xf numFmtId="38" fontId="27" fillId="0" borderId="0" applyFont="0" applyFill="0" applyBorder="0" applyAlignment="0" applyProtection="0"/>
    <xf numFmtId="40" fontId="28" fillId="0" borderId="43" applyBorder="0">
      <alignment vertical="center"/>
    </xf>
    <xf numFmtId="40" fontId="28" fillId="0" borderId="22">
      <alignment vertical="center"/>
    </xf>
    <xf numFmtId="40" fontId="28" fillId="0" borderId="22">
      <alignment vertical="center"/>
    </xf>
    <xf numFmtId="40" fontId="28" fillId="0" borderId="43" applyBorder="0">
      <alignment vertical="center"/>
    </xf>
    <xf numFmtId="40" fontId="28" fillId="0" borderId="43" applyBorder="0">
      <alignment vertical="center"/>
    </xf>
    <xf numFmtId="40" fontId="28" fillId="0" borderId="43" applyBorder="0">
      <alignment vertical="center"/>
    </xf>
    <xf numFmtId="40" fontId="27" fillId="0" borderId="0" applyFont="0" applyFill="0" applyBorder="0" applyAlignment="0" applyProtection="0"/>
    <xf numFmtId="304" fontId="157" fillId="0" borderId="0" applyFont="0" applyFill="0" applyBorder="0" applyAlignment="0" applyProtection="0"/>
    <xf numFmtId="305" fontId="157" fillId="0" borderId="0" applyFont="0" applyFill="0" applyBorder="0" applyAlignment="0" applyProtection="0"/>
    <xf numFmtId="3" fontId="158" fillId="0" borderId="44" applyFill="0" applyBorder="0" applyAlignment="0">
      <alignment horizontal="center"/>
    </xf>
    <xf numFmtId="37" fontId="11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left" wrapText="1"/>
    </xf>
    <xf numFmtId="0" fontId="11" fillId="0" borderId="0" applyFont="0" applyFill="0" applyBorder="0" applyAlignment="0" applyProtection="0">
      <alignment horizontal="left" wrapText="1"/>
    </xf>
    <xf numFmtId="0" fontId="159" fillId="25" borderId="45">
      <alignment horizontal="left" vertical="top" indent="2"/>
    </xf>
    <xf numFmtId="0" fontId="11" fillId="0" borderId="0" applyFont="0" applyFill="0" applyBorder="0" applyAlignment="0" applyProtection="0">
      <alignment horizontal="left" wrapText="1"/>
    </xf>
    <xf numFmtId="0" fontId="11" fillId="0" borderId="0" applyFont="0" applyFill="0" applyBorder="0" applyAlignment="0" applyProtection="0">
      <alignment horizontal="left" wrapText="1"/>
    </xf>
    <xf numFmtId="0" fontId="11" fillId="0" borderId="0" applyFont="0" applyFill="0" applyBorder="0" applyAlignment="0" applyProtection="0">
      <alignment horizontal="left" wrapText="1"/>
    </xf>
    <xf numFmtId="0" fontId="11" fillId="0" borderId="0" applyFont="0" applyFill="0" applyBorder="0" applyAlignment="0" applyProtection="0">
      <alignment horizontal="left" wrapText="1"/>
    </xf>
    <xf numFmtId="0" fontId="34" fillId="32" borderId="13">
      <alignment horizontal="right"/>
    </xf>
    <xf numFmtId="0" fontId="11" fillId="0" borderId="15"/>
    <xf numFmtId="306" fontId="27" fillId="0" borderId="0" applyFont="0" applyFill="0" applyBorder="0" applyAlignment="0" applyProtection="0"/>
    <xf numFmtId="306" fontId="27" fillId="0" borderId="0" applyFont="0" applyFill="0" applyBorder="0" applyAlignment="0" applyProtection="0"/>
    <xf numFmtId="307" fontId="157" fillId="0" borderId="0" applyFont="0" applyFill="0" applyBorder="0" applyAlignment="0" applyProtection="0"/>
    <xf numFmtId="308" fontId="157" fillId="0" borderId="0" applyFont="0" applyFill="0" applyBorder="0" applyAlignment="0" applyProtection="0"/>
    <xf numFmtId="0" fontId="116" fillId="0" borderId="0" applyFont="0" applyFill="0" applyBorder="0" applyAlignment="0" applyProtection="0"/>
    <xf numFmtId="269" fontId="11" fillId="25" borderId="0" applyFont="0" applyFill="0" applyBorder="0" applyAlignment="0" applyProtection="0"/>
    <xf numFmtId="39" fontId="11" fillId="25" borderId="0" applyFont="0" applyFill="0" applyBorder="0" applyAlignment="0" applyProtection="0"/>
    <xf numFmtId="175" fontId="11" fillId="0" borderId="0" applyNumberFormat="0" applyFill="0" applyBorder="0" applyAlignment="0" applyProtection="0"/>
    <xf numFmtId="231" fontId="160" fillId="0" borderId="8" applyBorder="0"/>
    <xf numFmtId="167" fontId="160" fillId="25" borderId="0" applyFill="0"/>
    <xf numFmtId="3" fontId="161" fillId="7" borderId="8">
      <alignment horizontal="center"/>
    </xf>
    <xf numFmtId="309" fontId="11" fillId="0" borderId="0" applyFont="0" applyFill="0" applyBorder="0" applyAlignment="0" applyProtection="0"/>
    <xf numFmtId="183" fontId="95" fillId="0" borderId="0" applyFont="0" applyFill="0" applyBorder="0" applyAlignment="0" applyProtection="0">
      <alignment horizontal="right"/>
    </xf>
    <xf numFmtId="0" fontId="94" fillId="0" borderId="0" applyFont="0" applyFill="0" applyBorder="0" applyProtection="0">
      <alignment horizontal="right"/>
    </xf>
    <xf numFmtId="0" fontId="94" fillId="0" borderId="0" applyFont="0" applyFill="0" applyBorder="0" applyProtection="0">
      <alignment horizontal="right"/>
    </xf>
    <xf numFmtId="0" fontId="94" fillId="0" borderId="0" applyFont="0" applyFill="0" applyBorder="0" applyProtection="0">
      <alignment horizontal="right"/>
    </xf>
    <xf numFmtId="0" fontId="11" fillId="0" borderId="0" applyFont="0" applyFill="0" applyBorder="0" applyProtection="0">
      <alignment horizontal="right"/>
    </xf>
    <xf numFmtId="218" fontId="11" fillId="0" borderId="0" applyFont="0" applyFill="0" applyBorder="0" applyProtection="0">
      <alignment horizontal="right"/>
    </xf>
    <xf numFmtId="310" fontId="28" fillId="0" borderId="0" applyFont="0" applyFill="0" applyBorder="0" applyAlignment="0" applyProtection="0"/>
    <xf numFmtId="311" fontId="59" fillId="0" borderId="0"/>
    <xf numFmtId="283" fontId="46" fillId="0" borderId="0"/>
    <xf numFmtId="312" fontId="60" fillId="4" borderId="0" applyFont="0" applyBorder="0" applyAlignment="0" applyProtection="0">
      <alignment horizontal="right"/>
      <protection hidden="1"/>
    </xf>
    <xf numFmtId="313" fontId="11" fillId="0" borderId="14" applyBorder="0" applyAlignment="0" applyProtection="0">
      <alignment horizontal="center"/>
    </xf>
    <xf numFmtId="0" fontId="28" fillId="12" borderId="0" applyNumberFormat="0" applyBorder="0" applyAlignment="0" applyProtection="0"/>
    <xf numFmtId="40" fontId="14" fillId="0" borderId="0" applyFont="0" applyFill="0" applyBorder="0" applyAlignment="0" applyProtection="0">
      <alignment horizontal="center"/>
    </xf>
    <xf numFmtId="291" fontId="59" fillId="0" borderId="0" applyNumberFormat="0" applyFont="0" applyFill="0" applyBorder="0" applyAlignment="0" applyProtection="0">
      <alignment vertical="center"/>
    </xf>
    <xf numFmtId="37" fontId="162" fillId="0" borderId="0"/>
    <xf numFmtId="0" fontId="39" fillId="0" borderId="0"/>
    <xf numFmtId="244" fontId="11" fillId="0" borderId="0" applyNumberFormat="0" applyAlignment="0" applyProtection="0"/>
    <xf numFmtId="291" fontId="163" fillId="0" borderId="0" applyNumberFormat="0" applyFill="0" applyBorder="0" applyAlignment="0" applyProtection="0">
      <alignment vertical="center"/>
    </xf>
    <xf numFmtId="314" fontId="60" fillId="0" borderId="0" applyFont="0" applyFill="0" applyBorder="0" applyAlignment="0" applyProtection="0">
      <alignment horizontal="right"/>
    </xf>
    <xf numFmtId="303" fontId="164" fillId="0" borderId="0"/>
    <xf numFmtId="173" fontId="102" fillId="0" borderId="0"/>
    <xf numFmtId="294" fontId="102" fillId="0" borderId="0"/>
    <xf numFmtId="315" fontId="102" fillId="0" borderId="0"/>
    <xf numFmtId="38" fontId="60" fillId="0" borderId="29" applyFont="0" applyFill="0" applyBorder="0" applyAlignment="0" applyProtection="0"/>
    <xf numFmtId="244" fontId="11" fillId="0" borderId="0" applyFont="0" applyFill="0" applyBorder="0" applyAlignment="0"/>
    <xf numFmtId="40" fontId="60" fillId="0" borderId="0" applyFont="0" applyFill="0" applyBorder="0" applyAlignment="0"/>
    <xf numFmtId="316" fontId="60" fillId="0" borderId="0" applyFont="0" applyFill="0" applyBorder="0" applyAlignment="0"/>
    <xf numFmtId="0" fontId="4" fillId="0" borderId="0"/>
    <xf numFmtId="0" fontId="4" fillId="0" borderId="0"/>
    <xf numFmtId="244" fontId="62" fillId="0" borderId="0" applyNumberFormat="0" applyFill="0" applyBorder="0" applyAlignment="0" applyProtection="0"/>
    <xf numFmtId="0" fontId="46" fillId="0" borderId="0"/>
    <xf numFmtId="0" fontId="165" fillId="0" borderId="0"/>
    <xf numFmtId="0" fontId="166" fillId="25" borderId="0"/>
    <xf numFmtId="0" fontId="165" fillId="0" borderId="0"/>
    <xf numFmtId="317" fontId="60" fillId="0" borderId="0" applyFont="0" applyFill="0" applyBorder="0" applyAlignment="0" applyProtection="0"/>
    <xf numFmtId="318" fontId="59" fillId="34" borderId="0" applyFont="0" applyFill="0" applyBorder="0" applyAlignment="0"/>
    <xf numFmtId="201" fontId="60" fillId="0" borderId="0" applyFont="0" applyFill="0" applyBorder="0" applyAlignment="0" applyProtection="0">
      <alignment horizontal="right"/>
    </xf>
    <xf numFmtId="297" fontId="59" fillId="0" borderId="0"/>
    <xf numFmtId="235" fontId="59" fillId="0" borderId="0"/>
    <xf numFmtId="319" fontId="59" fillId="0" borderId="0"/>
    <xf numFmtId="40" fontId="62" fillId="0" borderId="0">
      <alignment horizontal="left"/>
    </xf>
    <xf numFmtId="320" fontId="59" fillId="0" borderId="0"/>
    <xf numFmtId="0" fontId="27" fillId="0" borderId="0"/>
    <xf numFmtId="0" fontId="167" fillId="0" borderId="0"/>
    <xf numFmtId="0" fontId="168" fillId="0" borderId="0" applyFill="0" applyBorder="0" applyAlignment="0" applyProtection="0"/>
    <xf numFmtId="244" fontId="60" fillId="0" borderId="0"/>
    <xf numFmtId="0" fontId="155" fillId="0" borderId="0"/>
    <xf numFmtId="0" fontId="155" fillId="0" borderId="0"/>
    <xf numFmtId="252" fontId="169" fillId="0" borderId="0"/>
    <xf numFmtId="321" fontId="60" fillId="0" borderId="0" applyFont="0" applyFill="0" applyBorder="0" applyAlignment="0" applyProtection="0"/>
    <xf numFmtId="322" fontId="60" fillId="0" borderId="0" applyFont="0" applyFill="0" applyBorder="0" applyAlignment="0" applyProtection="0"/>
    <xf numFmtId="0" fontId="20" fillId="12" borderId="46" applyNumberFormat="0" applyFont="0" applyAlignment="0" applyProtection="0"/>
    <xf numFmtId="323" fontId="60" fillId="0" borderId="0" applyFont="0" applyFill="0" applyBorder="0" applyAlignment="0" applyProtection="0"/>
    <xf numFmtId="0" fontId="60" fillId="0" borderId="0"/>
    <xf numFmtId="0" fontId="24" fillId="0" borderId="0">
      <protection locked="0"/>
    </xf>
    <xf numFmtId="0" fontId="2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324" fontId="9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25" fontId="11" fillId="0" borderId="0" applyFont="0" applyFill="0" applyBorder="0" applyAlignment="0" applyProtection="0"/>
    <xf numFmtId="326" fontId="60" fillId="0" borderId="0" applyFont="0" applyFill="0" applyBorder="0" applyAlignment="0" applyProtection="0"/>
    <xf numFmtId="0" fontId="170" fillId="0" borderId="0" applyNumberFormat="0" applyAlignment="0">
      <alignment vertical="top"/>
    </xf>
    <xf numFmtId="40" fontId="171" fillId="0" borderId="0" applyFont="0" applyFill="0" applyBorder="0" applyAlignment="0" applyProtection="0"/>
    <xf numFmtId="38" fontId="171" fillId="0" borderId="0" applyFont="0" applyFill="0" applyBorder="0" applyAlignment="0" applyProtection="0"/>
    <xf numFmtId="0" fontId="39" fillId="0" borderId="0"/>
    <xf numFmtId="0" fontId="28" fillId="8" borderId="47" applyNumberFormat="0" applyAlignment="0" applyProtection="0"/>
    <xf numFmtId="0" fontId="11" fillId="0" borderId="0">
      <alignment horizontal="right"/>
    </xf>
    <xf numFmtId="0" fontId="11" fillId="0" borderId="0">
      <alignment horizontal="right"/>
    </xf>
    <xf numFmtId="40" fontId="54" fillId="25" borderId="0">
      <alignment horizontal="right"/>
    </xf>
    <xf numFmtId="0" fontId="172" fillId="22" borderId="0">
      <alignment horizontal="center"/>
    </xf>
    <xf numFmtId="0" fontId="21" fillId="25" borderId="0">
      <alignment horizontal="left"/>
    </xf>
    <xf numFmtId="0" fontId="173" fillId="0" borderId="0" applyBorder="0">
      <alignment horizontal="centerContinuous"/>
    </xf>
    <xf numFmtId="0" fontId="174" fillId="0" borderId="0" applyBorder="0">
      <alignment horizontal="centerContinuous"/>
    </xf>
    <xf numFmtId="0" fontId="11" fillId="0" borderId="0" applyNumberFormat="0" applyFill="0" applyBorder="0" applyAlignment="0" applyProtection="0"/>
    <xf numFmtId="327" fontId="26" fillId="0" borderId="0" applyFill="0" applyBorder="0" applyAlignment="0" applyProtection="0"/>
    <xf numFmtId="37" fontId="60" fillId="0" borderId="0" applyBorder="0">
      <protection locked="0"/>
    </xf>
    <xf numFmtId="3" fontId="11" fillId="44" borderId="48" applyFill="0" applyBorder="0" applyAlignment="0" applyProtection="0">
      <alignment vertical="top"/>
    </xf>
    <xf numFmtId="0" fontId="175" fillId="0" borderId="0" applyProtection="0">
      <alignment horizontal="left"/>
    </xf>
    <xf numFmtId="0" fontId="175" fillId="0" borderId="0" applyFill="0" applyBorder="0" applyProtection="0">
      <alignment horizontal="left"/>
    </xf>
    <xf numFmtId="0" fontId="176" fillId="0" borderId="0" applyFill="0" applyBorder="0" applyProtection="0">
      <alignment horizontal="left"/>
    </xf>
    <xf numFmtId="1" fontId="177" fillId="0" borderId="0" applyProtection="0">
      <alignment horizontal="right" vertical="center"/>
    </xf>
    <xf numFmtId="0" fontId="48" fillId="0" borderId="0">
      <alignment horizontal="center"/>
    </xf>
    <xf numFmtId="0" fontId="178" fillId="0" borderId="0">
      <alignment horizontal="center"/>
    </xf>
    <xf numFmtId="291" fontId="179" fillId="0" borderId="0" applyNumberFormat="0" applyFill="0" applyProtection="0"/>
    <xf numFmtId="0" fontId="102" fillId="0" borderId="0" applyNumberFormat="0" applyFill="0" applyBorder="0" applyAlignment="0" applyProtection="0"/>
    <xf numFmtId="0" fontId="180" fillId="0" borderId="49" applyNumberFormat="0" applyAlignment="0" applyProtection="0"/>
    <xf numFmtId="0" fontId="28" fillId="34" borderId="0" applyNumberFormat="0" applyFont="0" applyBorder="0" applyAlignment="0" applyProtection="0"/>
    <xf numFmtId="0" fontId="60" fillId="45" borderId="11" applyNumberFormat="0" applyFont="0" applyBorder="0" applyAlignment="0" applyProtection="0">
      <alignment horizontal="center"/>
    </xf>
    <xf numFmtId="0" fontId="60" fillId="21" borderId="11" applyNumberFormat="0" applyFont="0" applyBorder="0" applyAlignment="0" applyProtection="0">
      <alignment horizontal="center"/>
    </xf>
    <xf numFmtId="0" fontId="28" fillId="0" borderId="50" applyNumberFormat="0" applyAlignment="0" applyProtection="0"/>
    <xf numFmtId="0" fontId="28" fillId="0" borderId="51" applyNumberFormat="0" applyAlignment="0" applyProtection="0"/>
    <xf numFmtId="0" fontId="180" fillId="0" borderId="52" applyNumberFormat="0" applyAlignment="0" applyProtection="0"/>
    <xf numFmtId="238" fontId="181" fillId="0" borderId="8">
      <alignment vertical="center"/>
    </xf>
    <xf numFmtId="325" fontId="60" fillId="0" borderId="0"/>
    <xf numFmtId="0" fontId="11" fillId="0" borderId="0" applyFont="0" applyFill="0" applyBorder="0" applyAlignment="0" applyProtection="0"/>
    <xf numFmtId="0" fontId="64" fillId="32" borderId="0"/>
    <xf numFmtId="328" fontId="182" fillId="0" borderId="0" applyFont="0" applyFill="0" applyBorder="0" applyAlignment="0" applyProtection="0"/>
    <xf numFmtId="0" fontId="102" fillId="0" borderId="0"/>
    <xf numFmtId="2" fontId="154" fillId="0" borderId="0"/>
    <xf numFmtId="14" fontId="31" fillId="0" borderId="0">
      <alignment horizontal="center" wrapText="1"/>
      <protection locked="0"/>
    </xf>
    <xf numFmtId="167" fontId="11" fillId="0" borderId="0" applyFont="0" applyFill="0" applyBorder="0" applyAlignment="0" applyProtection="0"/>
    <xf numFmtId="10" fontId="60" fillId="0" borderId="0"/>
    <xf numFmtId="236" fontId="11" fillId="0" borderId="0" applyFont="0" applyFill="0" applyBorder="0" applyAlignment="0"/>
    <xf numFmtId="329" fontId="30" fillId="0" borderId="0" applyFont="0" applyFill="0" applyBorder="0" applyAlignment="0" applyProtection="0"/>
    <xf numFmtId="330" fontId="60" fillId="0" borderId="0" applyFont="0" applyFill="0" applyBorder="0" applyAlignment="0"/>
    <xf numFmtId="331" fontId="183" fillId="0" borderId="27" applyFill="0" applyBorder="0" applyAlignment="0" applyProtection="0">
      <alignment horizontal="center"/>
    </xf>
    <xf numFmtId="331" fontId="183" fillId="0" borderId="0" applyFill="0" applyBorder="0" applyAlignment="0" applyProtection="0"/>
    <xf numFmtId="296" fontId="59" fillId="0" borderId="0" applyFont="0" applyFill="0" applyBorder="0" applyAlignment="0"/>
    <xf numFmtId="331" fontId="183" fillId="0" borderId="27" applyFill="0" applyBorder="0" applyAlignment="0" applyProtection="0">
      <alignment horizontal="center"/>
    </xf>
    <xf numFmtId="332" fontId="11" fillId="0" borderId="0" applyFont="0" applyFill="0" applyBorder="0" applyAlignment="0"/>
    <xf numFmtId="331" fontId="183" fillId="0" borderId="27" applyFill="0" applyBorder="0" applyAlignment="0" applyProtection="0">
      <alignment horizontal="center"/>
    </xf>
    <xf numFmtId="167" fontId="11" fillId="0" borderId="0" applyFont="0" applyFill="0" applyBorder="0" applyAlignment="0" applyProtection="0"/>
    <xf numFmtId="331" fontId="183" fillId="0" borderId="27" applyFill="0" applyBorder="0" applyAlignment="0" applyProtection="0">
      <alignment horizontal="center"/>
    </xf>
    <xf numFmtId="330" fontId="60" fillId="0" borderId="0" applyFont="0" applyFill="0" applyBorder="0" applyAlignment="0"/>
    <xf numFmtId="333" fontId="60" fillId="0" borderId="27" applyFill="0" applyBorder="0" applyAlignment="0" applyProtection="0">
      <alignment horizontal="center"/>
    </xf>
    <xf numFmtId="10" fontId="11" fillId="0" borderId="0" applyFont="0" applyFill="0" applyBorder="0" applyAlignment="0" applyProtection="0"/>
    <xf numFmtId="334" fontId="183" fillId="0" borderId="0" applyFill="0" applyBorder="0" applyAlignment="0" applyProtection="0"/>
    <xf numFmtId="335" fontId="183" fillId="44" borderId="0" applyFont="0" applyFill="0" applyBorder="0" applyAlignment="0" applyProtection="0"/>
    <xf numFmtId="336" fontId="11" fillId="0" borderId="0" applyFont="0" applyFill="0" applyBorder="0" applyProtection="0">
      <alignment horizontal="right"/>
    </xf>
    <xf numFmtId="272" fontId="31" fillId="0" borderId="0" applyFont="0" applyFill="0" applyBorder="0" applyProtection="0">
      <alignment horizontal="right"/>
    </xf>
    <xf numFmtId="167" fontId="37" fillId="26" borderId="53"/>
    <xf numFmtId="167" fontId="11" fillId="0" borderId="0" applyFont="0" applyFill="0" applyBorder="0" applyAlignment="0" applyProtection="0"/>
    <xf numFmtId="9" fontId="27" fillId="0" borderId="25" applyBorder="0"/>
    <xf numFmtId="327" fontId="182" fillId="0" borderId="0" applyFont="0" applyFill="0" applyBorder="0" applyAlignment="0" applyProtection="0"/>
    <xf numFmtId="337" fontId="11" fillId="0" borderId="0" applyFont="0" applyFill="0" applyBorder="0" applyAlignment="0" applyProtection="0"/>
    <xf numFmtId="338" fontId="30" fillId="0" borderId="0" applyFont="0" applyFill="0" applyBorder="0" applyAlignment="0" applyProtection="0"/>
    <xf numFmtId="173" fontId="28" fillId="0" borderId="0"/>
    <xf numFmtId="0" fontId="32" fillId="0" borderId="0"/>
    <xf numFmtId="0" fontId="184" fillId="0" borderId="0"/>
    <xf numFmtId="339" fontId="59" fillId="25" borderId="0" applyFont="0" applyFill="0" applyBorder="0" applyAlignment="0" applyProtection="0"/>
    <xf numFmtId="340" fontId="11" fillId="0" borderId="0" applyFill="0" applyBorder="0">
      <alignment horizontal="right"/>
      <protection locked="0"/>
    </xf>
    <xf numFmtId="341" fontId="31" fillId="0" borderId="0" applyFont="0" applyFill="0" applyBorder="0" applyAlignment="0" applyProtection="0"/>
    <xf numFmtId="342" fontId="60" fillId="0" borderId="0" applyFont="0" applyFill="0" applyBorder="0" applyAlignment="0" applyProtection="0"/>
    <xf numFmtId="285" fontId="117" fillId="0" borderId="0">
      <protection locked="0"/>
    </xf>
    <xf numFmtId="175" fontId="11" fillId="0" borderId="0">
      <protection locked="0"/>
    </xf>
    <xf numFmtId="0" fontId="48" fillId="0" borderId="0" applyFill="0" applyBorder="0">
      <alignment horizontal="right"/>
    </xf>
    <xf numFmtId="0" fontId="60" fillId="46" borderId="0" applyNumberFormat="0" applyFont="0" applyBorder="0" applyAlignment="0" applyProtection="0"/>
    <xf numFmtId="38" fontId="185" fillId="0" borderId="0" applyNumberFormat="0" applyFill="0" applyBorder="0" applyAlignment="0" applyProtection="0"/>
    <xf numFmtId="343" fontId="117" fillId="0" borderId="0">
      <protection locked="0"/>
    </xf>
    <xf numFmtId="244" fontId="31" fillId="0" borderId="0" applyFont="0" applyFill="0" applyBorder="0" applyAlignment="0" applyProtection="0">
      <protection locked="0"/>
    </xf>
    <xf numFmtId="0" fontId="14" fillId="21" borderId="54" applyNumberFormat="0" applyFont="0" applyBorder="0" applyAlignment="0" applyProtection="0"/>
    <xf numFmtId="255" fontId="52" fillId="0" borderId="0" applyFill="0" applyBorder="0" applyAlignment="0"/>
    <xf numFmtId="175" fontId="52" fillId="0" borderId="0" applyFill="0" applyBorder="0" applyAlignment="0"/>
    <xf numFmtId="255" fontId="52" fillId="0" borderId="0" applyFill="0" applyBorder="0" applyAlignment="0"/>
    <xf numFmtId="256" fontId="60" fillId="0" borderId="0" applyFill="0" applyBorder="0" applyAlignment="0"/>
    <xf numFmtId="175" fontId="52" fillId="0" borderId="0" applyFill="0" applyBorder="0" applyAlignment="0"/>
    <xf numFmtId="38" fontId="31" fillId="0" borderId="0" applyFont="0" applyFill="0" applyBorder="0" applyAlignment="0" applyProtection="0"/>
    <xf numFmtId="0" fontId="34" fillId="32" borderId="0">
      <alignment horizontal="right"/>
    </xf>
    <xf numFmtId="192" fontId="186" fillId="0" borderId="0"/>
    <xf numFmtId="0" fontId="19" fillId="0" borderId="0" applyFont="0" applyFill="0" applyBorder="0" applyAlignment="0" applyProtection="0"/>
    <xf numFmtId="0" fontId="62" fillId="4" borderId="29" applyNumberFormat="0" applyFont="0" applyAlignment="0" applyProtection="0"/>
    <xf numFmtId="0" fontId="60" fillId="4" borderId="0" applyNumberFormat="0" applyFont="0" applyBorder="0" applyAlignment="0" applyProtection="0">
      <alignment horizontal="center"/>
      <protection locked="0"/>
    </xf>
    <xf numFmtId="218" fontId="54" fillId="0" borderId="0"/>
    <xf numFmtId="344" fontId="62" fillId="0" borderId="0" applyFill="0" applyBorder="0" applyProtection="0">
      <alignment horizontal="right"/>
    </xf>
    <xf numFmtId="175" fontId="187" fillId="22" borderId="0"/>
    <xf numFmtId="14" fontId="43" fillId="47" borderId="55" applyNumberFormat="0" applyFont="0" applyBorder="0" applyAlignment="0" applyProtection="0">
      <alignment horizontal="center" vertical="center"/>
    </xf>
    <xf numFmtId="293" fontId="11" fillId="0" borderId="0" applyNumberFormat="0" applyAlignment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5" fillId="0" borderId="15">
      <alignment horizontal="center"/>
    </xf>
    <xf numFmtId="3" fontId="27" fillId="0" borderId="0" applyFont="0" applyFill="0" applyBorder="0" applyAlignment="0" applyProtection="0"/>
    <xf numFmtId="0" fontId="27" fillId="48" borderId="0" applyNumberFormat="0" applyFont="0" applyBorder="0" applyAlignment="0" applyProtection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102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102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102" fillId="4" borderId="0"/>
    <xf numFmtId="0" fontId="102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102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102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102" fillId="4" borderId="0"/>
    <xf numFmtId="0" fontId="102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102" fillId="4" borderId="0"/>
    <xf numFmtId="0" fontId="102" fillId="4" borderId="0"/>
    <xf numFmtId="0" fontId="102" fillId="4" borderId="0"/>
    <xf numFmtId="0" fontId="102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34" fillId="4" borderId="0"/>
    <xf numFmtId="0" fontId="102" fillId="4" borderId="0"/>
    <xf numFmtId="0" fontId="102" fillId="4" borderId="0"/>
    <xf numFmtId="0" fontId="102" fillId="4" borderId="0"/>
    <xf numFmtId="0" fontId="102" fillId="4" borderId="0"/>
    <xf numFmtId="0" fontId="188" fillId="0" borderId="0">
      <alignment horizontal="center"/>
    </xf>
    <xf numFmtId="0" fontId="29" fillId="0" borderId="8">
      <alignment horizontal="centerContinuous"/>
    </xf>
    <xf numFmtId="0" fontId="102" fillId="4" borderId="0">
      <alignment horizontal="right"/>
    </xf>
    <xf numFmtId="0" fontId="189" fillId="0" borderId="29">
      <alignment horizontal="center" vertical="center"/>
    </xf>
    <xf numFmtId="0" fontId="190" fillId="0" borderId="56" applyBorder="0">
      <alignment vertical="top"/>
      <protection locked="0"/>
    </xf>
    <xf numFmtId="0" fontId="28" fillId="0" borderId="0">
      <alignment vertical="top"/>
    </xf>
    <xf numFmtId="175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75" fontId="28" fillId="0" borderId="0">
      <alignment vertical="top"/>
    </xf>
    <xf numFmtId="175" fontId="28" fillId="0" borderId="0">
      <alignment vertical="top"/>
    </xf>
    <xf numFmtId="175" fontId="28" fillId="0" borderId="0">
      <alignment vertical="top"/>
    </xf>
    <xf numFmtId="175" fontId="28" fillId="0" borderId="0">
      <alignment vertical="top"/>
    </xf>
    <xf numFmtId="0" fontId="28" fillId="0" borderId="0">
      <alignment vertical="top"/>
    </xf>
    <xf numFmtId="0" fontId="33" fillId="0" borderId="0">
      <alignment horizontal="center"/>
    </xf>
    <xf numFmtId="175" fontId="28" fillId="0" borderId="0">
      <alignment vertical="top"/>
    </xf>
    <xf numFmtId="0" fontId="28" fillId="0" borderId="0">
      <alignment vertical="top"/>
    </xf>
    <xf numFmtId="0" fontId="102" fillId="4" borderId="13">
      <alignment horizontal="right"/>
    </xf>
    <xf numFmtId="267" fontId="191" fillId="0" borderId="0"/>
    <xf numFmtId="0" fontId="11" fillId="0" borderId="0" applyFont="0" applyFill="0" applyBorder="0" applyProtection="0">
      <alignment horizontal="right"/>
    </xf>
    <xf numFmtId="0" fontId="11" fillId="0" borderId="0" applyFont="0" applyFill="0" applyBorder="0" applyProtection="0">
      <alignment horizontal="right"/>
    </xf>
    <xf numFmtId="0" fontId="95" fillId="0" borderId="0" applyFont="0" applyFill="0" applyBorder="0" applyProtection="0">
      <alignment horizontal="right"/>
    </xf>
    <xf numFmtId="345" fontId="11" fillId="0" borderId="0">
      <alignment horizontal="right"/>
      <protection locked="0"/>
    </xf>
    <xf numFmtId="14" fontId="192" fillId="26" borderId="57"/>
    <xf numFmtId="244" fontId="193" fillId="0" borderId="0" applyNumberFormat="0" applyFill="0" applyBorder="0" applyAlignment="0" applyProtection="0">
      <alignment horizontal="left"/>
    </xf>
    <xf numFmtId="0" fontId="194" fillId="0" borderId="11" applyNumberFormat="0" applyFill="0" applyBorder="0" applyAlignment="0" applyProtection="0">
      <protection hidden="1"/>
    </xf>
    <xf numFmtId="49" fontId="30" fillId="0" borderId="0">
      <alignment horizontal="right"/>
    </xf>
    <xf numFmtId="189" fontId="195" fillId="25" borderId="0">
      <alignment horizontal="right"/>
    </xf>
    <xf numFmtId="346" fontId="196" fillId="14" borderId="0" applyFont="0" applyFill="0"/>
    <xf numFmtId="172" fontId="197" fillId="25" borderId="0">
      <alignment horizontal="right"/>
    </xf>
    <xf numFmtId="218" fontId="198" fillId="25" borderId="0"/>
    <xf numFmtId="189" fontId="195" fillId="25" borderId="0">
      <alignment horizontal="right"/>
    </xf>
    <xf numFmtId="347" fontId="157" fillId="0" borderId="0" applyNumberFormat="0" applyFill="0" applyBorder="0" applyAlignment="0" applyProtection="0">
      <alignment horizontal="left"/>
    </xf>
    <xf numFmtId="0" fontId="46" fillId="0" borderId="0" applyNumberFormat="0" applyFill="0" applyBorder="0" applyProtection="0">
      <alignment horizontal="right" vertical="center"/>
    </xf>
    <xf numFmtId="348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40" applyNumberFormat="0" applyFont="0" applyFill="0" applyAlignment="0" applyProtection="0"/>
    <xf numFmtId="0" fontId="11" fillId="8" borderId="0" applyNumberFormat="0" applyFont="0" applyBorder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46" fontId="1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1" fillId="0" borderId="48" applyNumberFormat="0" applyFont="0" applyFill="0" applyAlignment="0" applyProtection="0"/>
    <xf numFmtId="0" fontId="11" fillId="0" borderId="63" applyNumberFormat="0" applyFont="0" applyFill="0" applyAlignment="0" applyProtection="0"/>
    <xf numFmtId="0" fontId="11" fillId="0" borderId="53" applyNumberFormat="0" applyFont="0" applyFill="0" applyAlignment="0" applyProtection="0"/>
    <xf numFmtId="0" fontId="11" fillId="0" borderId="64" applyNumberFormat="0" applyFont="0" applyFill="0" applyAlignment="0" applyProtection="0"/>
    <xf numFmtId="0" fontId="11" fillId="0" borderId="53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1" fillId="0" borderId="0" applyNumberFormat="0" applyFill="0" applyBorder="0" applyProtection="0">
      <alignment horizontal="left"/>
    </xf>
    <xf numFmtId="0" fontId="11" fillId="8" borderId="0" applyNumberFormat="0" applyFont="0" applyBorder="0" applyAlignment="0" applyProtection="0"/>
    <xf numFmtId="0" fontId="19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1" fillId="0" borderId="23" applyNumberFormat="0" applyFont="0" applyFill="0" applyAlignment="0" applyProtection="0"/>
    <xf numFmtId="0" fontId="11" fillId="0" borderId="65" applyNumberFormat="0" applyFont="0" applyFill="0" applyAlignment="0" applyProtection="0"/>
    <xf numFmtId="349" fontId="11" fillId="0" borderId="0" applyFont="0" applyFill="0" applyBorder="0" applyAlignment="0" applyProtection="0"/>
    <xf numFmtId="0" fontId="11" fillId="0" borderId="66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68" applyNumberFormat="0" applyFont="0" applyFill="0" applyAlignment="0" applyProtection="0"/>
    <xf numFmtId="0" fontId="11" fillId="0" borderId="17" applyNumberFormat="0" applyFont="0" applyFill="0" applyAlignment="0" applyProtection="0"/>
    <xf numFmtId="0" fontId="11" fillId="0" borderId="69" applyNumberFormat="0" applyFont="0" applyFill="0" applyAlignment="0" applyProtection="0"/>
    <xf numFmtId="38" fontId="48" fillId="0" borderId="0"/>
    <xf numFmtId="0" fontId="60" fillId="0" borderId="0">
      <alignment horizontal="right"/>
    </xf>
    <xf numFmtId="0" fontId="200" fillId="25" borderId="53" applyNumberFormat="0" applyFont="0" applyAlignment="0" applyProtection="0">
      <alignment horizontal="left"/>
    </xf>
    <xf numFmtId="0" fontId="28" fillId="0" borderId="0"/>
    <xf numFmtId="0" fontId="62" fillId="0" borderId="0" applyNumberFormat="0" applyFill="0" applyBorder="0"/>
    <xf numFmtId="0" fontId="36" fillId="0" borderId="0" applyNumberFormat="0" applyFill="0" applyBorder="0" applyAlignment="0" applyProtection="0"/>
    <xf numFmtId="0" fontId="201" fillId="0" borderId="35">
      <alignment vertical="center"/>
    </xf>
    <xf numFmtId="4" fontId="202" fillId="26" borderId="70" applyNumberFormat="0" applyProtection="0">
      <alignment vertical="center"/>
    </xf>
    <xf numFmtId="4" fontId="203" fillId="26" borderId="70" applyNumberFormat="0" applyProtection="0">
      <alignment vertical="center"/>
    </xf>
    <xf numFmtId="4" fontId="49" fillId="26" borderId="70" applyNumberFormat="0" applyProtection="0">
      <alignment horizontal="left" vertical="center" indent="1"/>
    </xf>
    <xf numFmtId="0" fontId="21" fillId="0" borderId="70" applyNumberFormat="0" applyProtection="0">
      <alignment horizontal="left" vertical="top" indent="1"/>
    </xf>
    <xf numFmtId="4" fontId="49" fillId="49" borderId="0" applyNumberFormat="0" applyProtection="0">
      <alignment horizontal="left" vertical="center" indent="1"/>
    </xf>
    <xf numFmtId="4" fontId="49" fillId="50" borderId="70" applyNumberFormat="0" applyProtection="0">
      <alignment horizontal="right" vertical="center"/>
    </xf>
    <xf numFmtId="4" fontId="49" fillId="46" borderId="70" applyNumberFormat="0" applyProtection="0">
      <alignment horizontal="right" vertical="center"/>
    </xf>
    <xf numFmtId="4" fontId="49" fillId="51" borderId="70" applyNumberFormat="0" applyProtection="0">
      <alignment horizontal="right" vertical="center"/>
    </xf>
    <xf numFmtId="4" fontId="49" fillId="34" borderId="70" applyNumberFormat="0" applyProtection="0">
      <alignment horizontal="right" vertical="center"/>
    </xf>
    <xf numFmtId="4" fontId="49" fillId="52" borderId="70" applyNumberFormat="0" applyProtection="0">
      <alignment horizontal="right" vertical="center"/>
    </xf>
    <xf numFmtId="4" fontId="49" fillId="44" borderId="70" applyNumberFormat="0" applyProtection="0">
      <alignment horizontal="right" vertical="center"/>
    </xf>
    <xf numFmtId="4" fontId="49" fillId="53" borderId="70" applyNumberFormat="0" applyProtection="0">
      <alignment horizontal="right" vertical="center"/>
    </xf>
    <xf numFmtId="4" fontId="49" fillId="54" borderId="70" applyNumberFormat="0" applyProtection="0">
      <alignment horizontal="right" vertical="center"/>
    </xf>
    <xf numFmtId="4" fontId="49" fillId="55" borderId="70" applyNumberFormat="0" applyProtection="0">
      <alignment horizontal="right" vertical="center"/>
    </xf>
    <xf numFmtId="4" fontId="202" fillId="56" borderId="71" applyNumberFormat="0" applyProtection="0">
      <alignment horizontal="left" vertical="center" indent="1"/>
    </xf>
    <xf numFmtId="4" fontId="202" fillId="21" borderId="0" applyNumberFormat="0" applyProtection="0">
      <alignment horizontal="left" vertical="center" indent="1"/>
    </xf>
    <xf numFmtId="4" fontId="202" fillId="49" borderId="0" applyNumberFormat="0" applyProtection="0">
      <alignment horizontal="left" vertical="center" indent="1"/>
    </xf>
    <xf numFmtId="4" fontId="49" fillId="21" borderId="70" applyNumberFormat="0" applyProtection="0">
      <alignment horizontal="right" vertical="center"/>
    </xf>
    <xf numFmtId="4" fontId="54" fillId="21" borderId="0" applyNumberFormat="0" applyProtection="0">
      <alignment horizontal="left" vertical="center" indent="1"/>
    </xf>
    <xf numFmtId="4" fontId="54" fillId="49" borderId="0" applyNumberFormat="0" applyProtection="0">
      <alignment horizontal="left" vertical="center" indent="1"/>
    </xf>
    <xf numFmtId="0" fontId="11" fillId="0" borderId="29" applyNumberFormat="0" applyProtection="0">
      <alignment horizontal="left" vertical="center" indent="1"/>
    </xf>
    <xf numFmtId="0" fontId="11" fillId="49" borderId="70" applyNumberFormat="0" applyProtection="0">
      <alignment horizontal="left" vertical="top" indent="1"/>
    </xf>
    <xf numFmtId="0" fontId="11" fillId="0" borderId="29" applyNumberFormat="0" applyProtection="0">
      <alignment horizontal="left" vertical="center" indent="1"/>
    </xf>
    <xf numFmtId="0" fontId="11" fillId="57" borderId="70" applyNumberFormat="0" applyProtection="0">
      <alignment horizontal="left" vertical="top" indent="1"/>
    </xf>
    <xf numFmtId="0" fontId="11" fillId="0" borderId="29" applyNumberFormat="0" applyProtection="0">
      <alignment horizontal="left" vertical="center" indent="1"/>
    </xf>
    <xf numFmtId="0" fontId="11" fillId="21" borderId="70" applyNumberFormat="0" applyProtection="0">
      <alignment horizontal="left" vertical="top" indent="1"/>
    </xf>
    <xf numFmtId="0" fontId="11" fillId="45" borderId="70" applyNumberFormat="0" applyProtection="0">
      <alignment horizontal="left" vertical="center" indent="1"/>
    </xf>
    <xf numFmtId="0" fontId="11" fillId="45" borderId="70" applyNumberFormat="0" applyProtection="0">
      <alignment horizontal="left" vertical="top" indent="1"/>
    </xf>
    <xf numFmtId="4" fontId="49" fillId="45" borderId="70" applyNumberFormat="0" applyProtection="0">
      <alignment vertical="center"/>
    </xf>
    <xf numFmtId="4" fontId="204" fillId="45" borderId="70" applyNumberFormat="0" applyProtection="0">
      <alignment vertical="center"/>
    </xf>
    <xf numFmtId="4" fontId="202" fillId="21" borderId="72" applyNumberFormat="0" applyProtection="0">
      <alignment horizontal="left" vertical="center" indent="1"/>
    </xf>
    <xf numFmtId="0" fontId="54" fillId="22" borderId="70" applyNumberFormat="0" applyProtection="0">
      <alignment horizontal="left" vertical="top" indent="1"/>
    </xf>
    <xf numFmtId="4" fontId="49" fillId="45" borderId="70" applyNumberFormat="0" applyProtection="0">
      <alignment horizontal="right" vertical="center"/>
    </xf>
    <xf numFmtId="4" fontId="204" fillId="45" borderId="70" applyNumberFormat="0" applyProtection="0">
      <alignment horizontal="right" vertical="center"/>
    </xf>
    <xf numFmtId="4" fontId="202" fillId="21" borderId="70" applyNumberFormat="0" applyProtection="0">
      <alignment horizontal="left" vertical="center" indent="1"/>
    </xf>
    <xf numFmtId="0" fontId="21" fillId="0" borderId="29" applyNumberFormat="0" applyProtection="0">
      <alignment horizontal="left" vertical="top" indent="1"/>
    </xf>
    <xf numFmtId="4" fontId="205" fillId="57" borderId="72" applyNumberFormat="0" applyProtection="0">
      <alignment horizontal="left" vertical="center" indent="1"/>
    </xf>
    <xf numFmtId="4" fontId="206" fillId="45" borderId="70" applyNumberFormat="0" applyProtection="0">
      <alignment horizontal="right" vertical="center"/>
    </xf>
    <xf numFmtId="0" fontId="11" fillId="0" borderId="0" applyNumberFormat="0" applyFont="0" applyFill="0" applyBorder="0" applyAlignment="0" applyProtection="0"/>
    <xf numFmtId="167" fontId="11" fillId="0" borderId="0" applyFill="0" applyBorder="0">
      <alignment horizontal="right"/>
      <protection hidden="1"/>
    </xf>
    <xf numFmtId="0" fontId="129" fillId="0" borderId="0" applyFill="0" applyBorder="0" applyProtection="0">
      <alignment horizontal="left"/>
    </xf>
    <xf numFmtId="0" fontId="28" fillId="58" borderId="29">
      <alignment horizontal="center" vertical="center" wrapText="1"/>
      <protection hidden="1"/>
    </xf>
    <xf numFmtId="38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59" borderId="0" applyNumberFormat="0" applyFont="0" applyBorder="0" applyAlignment="0" applyProtection="0"/>
    <xf numFmtId="175" fontId="207" fillId="60" borderId="0" applyNumberFormat="0" applyBorder="0" applyAlignment="0" applyProtection="0"/>
    <xf numFmtId="244" fontId="31" fillId="0" borderId="0" applyFont="0" applyFill="0" applyBorder="0" applyAlignment="0" applyProtection="0"/>
    <xf numFmtId="0" fontId="176" fillId="0" borderId="0" applyNumberFormat="0" applyFill="0" applyBorder="0" applyAlignment="0" applyProtection="0">
      <alignment horizontal="left"/>
    </xf>
    <xf numFmtId="3" fontId="60" fillId="0" borderId="0"/>
    <xf numFmtId="0" fontId="48" fillId="0" borderId="0"/>
    <xf numFmtId="3" fontId="55" fillId="61" borderId="0">
      <alignment horizontal="left"/>
    </xf>
    <xf numFmtId="0" fontId="20" fillId="8" borderId="0"/>
    <xf numFmtId="0" fontId="11" fillId="62" borderId="0"/>
    <xf numFmtId="0" fontId="11" fillId="0" borderId="73"/>
    <xf numFmtId="0" fontId="22" fillId="63" borderId="74">
      <alignment horizontal="center" wrapText="1"/>
    </xf>
    <xf numFmtId="0" fontId="208" fillId="0" borderId="38"/>
    <xf numFmtId="12" fontId="11" fillId="0" borderId="0" applyFont="0" applyFill="0" applyBorder="0" applyProtection="0">
      <alignment horizontal="right"/>
    </xf>
    <xf numFmtId="0" fontId="11" fillId="32" borderId="0" applyFont="0" applyFill="0" applyBorder="0" applyProtection="0">
      <alignment horizontal="right"/>
    </xf>
    <xf numFmtId="244" fontId="60" fillId="34" borderId="0" applyNumberFormat="0" applyFont="0" applyBorder="0" applyAlignment="0">
      <protection hidden="1"/>
    </xf>
    <xf numFmtId="0" fontId="28" fillId="0" borderId="20"/>
    <xf numFmtId="0" fontId="11" fillId="0" borderId="0">
      <alignment vertical="top"/>
    </xf>
    <xf numFmtId="0" fontId="28" fillId="0" borderId="0">
      <alignment vertical="top"/>
    </xf>
    <xf numFmtId="350" fontId="60" fillId="0" borderId="0" applyFill="0" applyBorder="0" applyProtection="0">
      <alignment horizontal="right" wrapText="1"/>
    </xf>
    <xf numFmtId="0" fontId="28" fillId="0" borderId="0">
      <alignment vertical="top"/>
    </xf>
    <xf numFmtId="0" fontId="28" fillId="25" borderId="0" applyNumberFormat="0" applyProtection="0">
      <alignment horizontal="center" vertical="center"/>
    </xf>
    <xf numFmtId="4" fontId="54" fillId="25" borderId="0" applyProtection="0">
      <alignment horizontal="center" vertical="center"/>
    </xf>
    <xf numFmtId="0" fontId="28" fillId="25" borderId="0" applyNumberFormat="0" applyProtection="0">
      <alignment horizontal="center" vertical="center"/>
    </xf>
    <xf numFmtId="4" fontId="28" fillId="25" borderId="0" applyProtection="0">
      <alignment horizontal="center" vertical="center"/>
    </xf>
    <xf numFmtId="0" fontId="28" fillId="59" borderId="0" applyNumberFormat="0" applyProtection="0">
      <alignment horizontal="center" vertical="center"/>
    </xf>
    <xf numFmtId="4" fontId="28" fillId="59" borderId="0" applyProtection="0">
      <alignment horizontal="center" vertical="center"/>
    </xf>
    <xf numFmtId="0" fontId="28" fillId="25" borderId="0" applyNumberFormat="0" applyProtection="0">
      <alignment horizontal="center" vertical="center"/>
    </xf>
    <xf numFmtId="4" fontId="28" fillId="25" borderId="0" applyProtection="0">
      <alignment horizontal="center" vertical="center"/>
    </xf>
    <xf numFmtId="0" fontId="28" fillId="64" borderId="0" applyNumberFormat="0" applyProtection="0">
      <alignment horizontal="center" vertical="center"/>
    </xf>
    <xf numFmtId="4" fontId="19" fillId="64" borderId="0" applyProtection="0">
      <alignment horizontal="center" vertical="center"/>
    </xf>
    <xf numFmtId="0" fontId="28" fillId="25" borderId="0" applyNumberFormat="0" applyProtection="0">
      <alignment horizontal="center" vertical="center"/>
    </xf>
    <xf numFmtId="4" fontId="28" fillId="25" borderId="0" applyProtection="0">
      <alignment horizontal="center" vertical="center"/>
    </xf>
    <xf numFmtId="0" fontId="28" fillId="25" borderId="0" applyNumberFormat="0" applyProtection="0">
      <alignment horizontal="center" vertical="center"/>
    </xf>
    <xf numFmtId="4" fontId="28" fillId="25" borderId="0" applyProtection="0">
      <alignment horizontal="center" vertical="center"/>
    </xf>
    <xf numFmtId="0" fontId="28" fillId="59" borderId="0" applyNumberFormat="0" applyProtection="0">
      <alignment horizontal="center" vertical="center"/>
    </xf>
    <xf numFmtId="4" fontId="28" fillId="59" borderId="0" applyProtection="0">
      <alignment horizontal="center" vertical="center"/>
    </xf>
    <xf numFmtId="0" fontId="28" fillId="25" borderId="0" applyNumberFormat="0" applyProtection="0">
      <alignment horizontal="center" vertical="center"/>
    </xf>
    <xf numFmtId="4" fontId="28" fillId="25" borderId="0" applyProtection="0">
      <alignment horizontal="center" vertical="center"/>
    </xf>
    <xf numFmtId="0" fontId="28" fillId="64" borderId="0" applyNumberFormat="0" applyProtection="0">
      <alignment horizontal="center" vertical="center"/>
    </xf>
    <xf numFmtId="4" fontId="209" fillId="64" borderId="0" applyProtection="0">
      <alignment horizontal="center"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74" fillId="0" borderId="0" applyNumberFormat="0" applyFill="0" applyBorder="0" applyProtection="0">
      <alignment horizontal="left" vertical="center"/>
    </xf>
    <xf numFmtId="175" fontId="210" fillId="0" borderId="0" applyNumberFormat="0" applyFill="0" applyBorder="0" applyAlignment="0" applyProtection="0"/>
    <xf numFmtId="3" fontId="49" fillId="61" borderId="0">
      <alignment horizontal="left"/>
    </xf>
    <xf numFmtId="238" fontId="211" fillId="0" borderId="0"/>
    <xf numFmtId="0" fontId="11" fillId="65" borderId="0"/>
    <xf numFmtId="0" fontId="212" fillId="0" borderId="7" applyNumberFormat="0"/>
    <xf numFmtId="0" fontId="62" fillId="4" borderId="0" applyNumberFormat="0" applyFont="0" applyBorder="0" applyAlignment="0" applyProtection="0"/>
    <xf numFmtId="351" fontId="11" fillId="66" borderId="0" applyNumberFormat="0" applyBorder="0">
      <alignment horizontal="center" vertical="center"/>
      <protection locked="0"/>
    </xf>
    <xf numFmtId="352" fontId="11" fillId="0" borderId="0"/>
    <xf numFmtId="0" fontId="11" fillId="0" borderId="20"/>
    <xf numFmtId="0" fontId="79" fillId="0" borderId="0" applyFill="0" applyBorder="0" applyProtection="0">
      <alignment horizontal="center" vertical="center"/>
    </xf>
    <xf numFmtId="0" fontId="213" fillId="0" borderId="0" applyBorder="0" applyProtection="0">
      <alignment vertical="center"/>
    </xf>
    <xf numFmtId="278" fontId="213" fillId="0" borderId="8" applyBorder="0" applyProtection="0">
      <alignment horizontal="right" vertical="center"/>
    </xf>
    <xf numFmtId="0" fontId="214" fillId="67" borderId="0" applyBorder="0" applyProtection="0">
      <alignment horizontal="centerContinuous" vertical="center"/>
    </xf>
    <xf numFmtId="0" fontId="214" fillId="64" borderId="8" applyBorder="0" applyProtection="0">
      <alignment horizontal="centerContinuous" vertical="center"/>
    </xf>
    <xf numFmtId="0" fontId="28" fillId="0" borderId="0" applyBorder="0" applyProtection="0">
      <alignment vertical="center"/>
    </xf>
    <xf numFmtId="0" fontId="62" fillId="0" borderId="0" applyBorder="0" applyProtection="0">
      <alignment horizontal="left"/>
    </xf>
    <xf numFmtId="0" fontId="79" fillId="0" borderId="0" applyFill="0" applyBorder="0" applyProtection="0"/>
    <xf numFmtId="0" fontId="167" fillId="0" borderId="0"/>
    <xf numFmtId="0" fontId="215" fillId="0" borderId="0" applyFill="0" applyBorder="0" applyProtection="0">
      <alignment horizontal="left"/>
    </xf>
    <xf numFmtId="0" fontId="118" fillId="0" borderId="57" applyFill="0" applyBorder="0" applyProtection="0">
      <alignment horizontal="left" vertical="top"/>
    </xf>
    <xf numFmtId="0" fontId="180" fillId="0" borderId="0">
      <alignment horizontal="centerContinuous"/>
    </xf>
    <xf numFmtId="0" fontId="71" fillId="25" borderId="7" applyNumberFormat="0" applyFont="0" applyFill="0" applyAlignment="0" applyProtection="0">
      <protection locked="0"/>
    </xf>
    <xf numFmtId="291" fontId="11" fillId="25" borderId="75" applyNumberFormat="0" applyAlignment="0">
      <alignment vertical="center"/>
    </xf>
    <xf numFmtId="291" fontId="216" fillId="8" borderId="76" applyNumberFormat="0" applyBorder="0" applyAlignment="0" applyProtection="0">
      <alignment vertical="center"/>
    </xf>
    <xf numFmtId="291" fontId="53" fillId="0" borderId="0" applyNumberFormat="0" applyBorder="0" applyProtection="0">
      <alignment vertical="center"/>
    </xf>
    <xf numFmtId="291" fontId="59" fillId="0" borderId="0" applyNumberFormat="0" applyBorder="0" applyProtection="0">
      <alignment vertical="center"/>
    </xf>
    <xf numFmtId="353" fontId="11" fillId="0" borderId="0" applyNumberFormat="0" applyBorder="0" applyProtection="0">
      <alignment horizontal="right" vertical="center"/>
    </xf>
    <xf numFmtId="0" fontId="71" fillId="25" borderId="77" applyNumberFormat="0" applyFont="0" applyFill="0" applyAlignment="0" applyProtection="0">
      <protection locked="0"/>
    </xf>
    <xf numFmtId="291" fontId="217" fillId="0" borderId="0" applyNumberFormat="0" applyFill="0">
      <alignment horizontal="centerContinuous" vertical="top"/>
    </xf>
    <xf numFmtId="291" fontId="216" fillId="0" borderId="0" applyNumberFormat="0" applyFill="0" applyBorder="0">
      <alignment horizontal="center" vertical="top"/>
    </xf>
    <xf numFmtId="291" fontId="218" fillId="0" borderId="0" applyNumberFormat="0" applyFill="0">
      <alignment horizontal="center" vertical="top"/>
    </xf>
    <xf numFmtId="291" fontId="11" fillId="25" borderId="75" applyNumberFormat="0" applyProtection="0">
      <alignment horizontal="centerContinuous" vertical="center"/>
    </xf>
    <xf numFmtId="291" fontId="216" fillId="0" borderId="0" applyNumberFormat="0" applyBorder="0">
      <alignment horizontal="left" vertical="center"/>
    </xf>
    <xf numFmtId="291" fontId="219" fillId="0" borderId="0" applyNumberFormat="0" applyAlignment="0">
      <alignment vertical="center"/>
    </xf>
    <xf numFmtId="291" fontId="59" fillId="0" borderId="17" applyNumberFormat="0" applyFont="0" applyFill="0" applyAlignment="0">
      <alignment vertical="center"/>
    </xf>
    <xf numFmtId="291" fontId="53" fillId="0" borderId="8" applyNumberFormat="0" applyFont="0" applyFill="0" applyAlignment="0">
      <alignment vertical="center"/>
    </xf>
    <xf numFmtId="291" fontId="11" fillId="8" borderId="0" applyBorder="0" applyAlignment="0" applyProtection="0">
      <alignment vertical="center"/>
    </xf>
    <xf numFmtId="354" fontId="11" fillId="0" borderId="0" applyFill="0" applyBorder="0" applyProtection="0">
      <alignment horizontal="left" vertical="center"/>
    </xf>
    <xf numFmtId="291" fontId="220" fillId="0" borderId="0" applyNumberFormat="0" applyFill="0" applyBorder="0">
      <alignment vertical="center"/>
    </xf>
    <xf numFmtId="291" fontId="221" fillId="0" borderId="0" applyNumberFormat="0" applyFill="0" applyBorder="0" applyAlignment="0">
      <alignment vertical="center"/>
    </xf>
    <xf numFmtId="291" fontId="222" fillId="0" borderId="0" applyNumberFormat="0" applyFill="0" applyBorder="0" applyAlignment="0">
      <alignment vertical="center"/>
    </xf>
    <xf numFmtId="291" fontId="216" fillId="0" borderId="0" applyNumberFormat="0" applyFill="0" applyBorder="0">
      <alignment vertical="center"/>
    </xf>
    <xf numFmtId="291" fontId="216" fillId="0" borderId="0" applyNumberFormat="0" applyFill="0" applyBorder="0">
      <alignment vertical="center"/>
    </xf>
    <xf numFmtId="291" fontId="223" fillId="0" borderId="0" applyNumberFormat="0" applyFill="0" applyBorder="0" applyProtection="0">
      <alignment horizontal="left"/>
    </xf>
    <xf numFmtId="291" fontId="223" fillId="0" borderId="0" applyNumberFormat="0" applyFill="0" applyBorder="0" applyProtection="0">
      <alignment horizontal="left" vertical="top"/>
    </xf>
    <xf numFmtId="291" fontId="224" fillId="0" borderId="0" applyNumberFormat="0" applyFill="0">
      <alignment vertical="center"/>
    </xf>
    <xf numFmtId="291" fontId="224" fillId="0" borderId="0" applyNumberFormat="0" applyFill="0" applyBorder="0">
      <alignment vertical="center"/>
    </xf>
    <xf numFmtId="1" fontId="225" fillId="0" borderId="0"/>
    <xf numFmtId="0" fontId="87" fillId="0" borderId="0"/>
    <xf numFmtId="49" fontId="226" fillId="0" borderId="0"/>
    <xf numFmtId="0" fontId="60" fillId="0" borderId="0"/>
    <xf numFmtId="244" fontId="11" fillId="68" borderId="0" applyNumberFormat="0" applyFont="0" applyBorder="0" applyAlignment="0" applyProtection="0"/>
    <xf numFmtId="49" fontId="26" fillId="0" borderId="8">
      <alignment vertical="center"/>
    </xf>
    <xf numFmtId="0" fontId="20" fillId="0" borderId="0"/>
    <xf numFmtId="0" fontId="62" fillId="0" borderId="0" applyNumberFormat="0" applyFill="0" applyBorder="0" applyAlignment="0" applyProtection="0"/>
    <xf numFmtId="0" fontId="227" fillId="0" borderId="0"/>
    <xf numFmtId="0" fontId="228" fillId="0" borderId="0" applyFill="0" applyBorder="0" applyProtection="0"/>
    <xf numFmtId="0" fontId="229" fillId="0" borderId="0"/>
    <xf numFmtId="49" fontId="54" fillId="0" borderId="0" applyFill="0" applyBorder="0" applyAlignment="0"/>
    <xf numFmtId="355" fontId="60" fillId="0" borderId="0" applyFill="0" applyBorder="0" applyAlignment="0"/>
    <xf numFmtId="356" fontId="60" fillId="0" borderId="0" applyFill="0" applyBorder="0" applyAlignment="0"/>
    <xf numFmtId="0" fontId="227" fillId="0" borderId="57" applyFill="0" applyBorder="0" applyProtection="0"/>
    <xf numFmtId="0" fontId="230" fillId="0" borderId="0" applyNumberFormat="0" applyFill="0" applyBorder="0" applyProtection="0">
      <alignment vertical="top"/>
    </xf>
    <xf numFmtId="0" fontId="231" fillId="0" borderId="78" applyNumberFormat="0" applyFill="0" applyProtection="0">
      <alignment horizontal="center" vertical="top"/>
    </xf>
    <xf numFmtId="0" fontId="230" fillId="0" borderId="0" applyNumberFormat="0" applyFill="0" applyBorder="0" applyProtection="0">
      <alignment vertical="top" wrapText="1"/>
    </xf>
    <xf numFmtId="357" fontId="119" fillId="0" borderId="0" applyFill="0" applyBorder="0" applyAlignment="0" applyProtection="0">
      <alignment horizontal="right"/>
    </xf>
    <xf numFmtId="0" fontId="11" fillId="25" borderId="0"/>
    <xf numFmtId="39" fontId="11" fillId="22" borderId="29" applyFont="0" applyFill="0" applyBorder="0" applyAlignment="0" applyProtection="0">
      <alignment horizontal="center"/>
      <protection locked="0"/>
    </xf>
    <xf numFmtId="18" fontId="71" fillId="25" borderId="0" applyFont="0" applyFill="0" applyBorder="0" applyAlignment="0" applyProtection="0">
      <protection locked="0"/>
    </xf>
    <xf numFmtId="217" fontId="11" fillId="0" borderId="0"/>
    <xf numFmtId="0" fontId="28" fillId="0" borderId="0" applyNumberFormat="0" applyFill="0" applyBorder="0" applyAlignment="0" applyProtection="0"/>
    <xf numFmtId="40" fontId="166" fillId="0" borderId="0"/>
    <xf numFmtId="217" fontId="11" fillId="0" borderId="0"/>
    <xf numFmtId="0" fontId="232" fillId="0" borderId="8" applyFill="0" applyAlignment="0" applyProtection="0">
      <alignment horizontal="left"/>
    </xf>
    <xf numFmtId="0" fontId="1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" fontId="233" fillId="0" borderId="0"/>
    <xf numFmtId="0" fontId="232" fillId="0" borderId="8" applyFill="0" applyAlignment="0" applyProtection="0">
      <alignment horizontal="left"/>
    </xf>
    <xf numFmtId="358" fontId="53" fillId="64" borderId="0" applyNumberFormat="0" applyProtection="0">
      <alignment horizontal="left" vertical="center"/>
    </xf>
    <xf numFmtId="0" fontId="11" fillId="0" borderId="0" applyNumberFormat="0" applyProtection="0">
      <alignment horizontal="left" vertical="center"/>
    </xf>
    <xf numFmtId="0" fontId="11" fillId="0" borderId="0">
      <alignment horizontal="centerContinuous"/>
      <protection locked="0"/>
    </xf>
    <xf numFmtId="244" fontId="234" fillId="0" borderId="0" applyNumberFormat="0" applyFill="0" applyBorder="0" applyAlignment="0" applyProtection="0"/>
    <xf numFmtId="0" fontId="28" fillId="67" borderId="0" applyBorder="0"/>
    <xf numFmtId="0" fontId="2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28" fillId="67" borderId="0" applyBorder="0"/>
    <xf numFmtId="0" fontId="235" fillId="0" borderId="0" applyNumberFormat="0" applyFill="0" applyBorder="0" applyProtection="0">
      <alignment horizontal="center" textRotation="90"/>
    </xf>
    <xf numFmtId="3" fontId="236" fillId="61" borderId="0">
      <alignment horizontal="center"/>
    </xf>
    <xf numFmtId="0" fontId="28" fillId="0" borderId="79"/>
    <xf numFmtId="0" fontId="28" fillId="0" borderId="0">
      <protection locked="0"/>
    </xf>
    <xf numFmtId="0" fontId="28" fillId="0" borderId="0">
      <protection locked="0"/>
    </xf>
    <xf numFmtId="3" fontId="161" fillId="25" borderId="8">
      <alignment horizontal="center" vertical="center"/>
    </xf>
    <xf numFmtId="0" fontId="237" fillId="0" borderId="0"/>
    <xf numFmtId="359" fontId="53" fillId="0" borderId="0" applyNumberFormat="0" applyFill="0" applyBorder="0" applyProtection="0">
      <alignment vertical="top"/>
    </xf>
    <xf numFmtId="3" fontId="238" fillId="61" borderId="0">
      <alignment horizontal="left"/>
    </xf>
    <xf numFmtId="0" fontId="239" fillId="0" borderId="0" applyFill="0" applyBorder="0" applyAlignment="0" applyProtection="0"/>
    <xf numFmtId="0" fontId="131" fillId="0" borderId="1">
      <alignment horizontal="right" wrapText="1"/>
    </xf>
    <xf numFmtId="0" fontId="11" fillId="65" borderId="0"/>
    <xf numFmtId="0" fontId="48" fillId="23" borderId="11"/>
    <xf numFmtId="175" fontId="11" fillId="0" borderId="7" applyNumberFormat="0" applyFont="0" applyFill="0" applyAlignment="0"/>
    <xf numFmtId="3" fontId="131" fillId="0" borderId="8" applyNumberFormat="0"/>
    <xf numFmtId="3" fontId="21" fillId="69" borderId="0">
      <alignment horizontal="right"/>
    </xf>
    <xf numFmtId="0" fontId="240" fillId="0" borderId="28" applyFill="0" applyBorder="0" applyProtection="0">
      <alignment vertical="center"/>
    </xf>
    <xf numFmtId="0" fontId="28" fillId="0" borderId="0">
      <alignment horizontal="left"/>
    </xf>
    <xf numFmtId="0" fontId="241" fillId="0" borderId="0">
      <alignment horizontal="left"/>
      <protection locked="0"/>
    </xf>
    <xf numFmtId="360" fontId="11" fillId="0" borderId="0"/>
    <xf numFmtId="38" fontId="60" fillId="26" borderId="0" applyNumberFormat="0" applyBorder="0" applyAlignment="0" applyProtection="0"/>
    <xf numFmtId="0" fontId="242" fillId="0" borderId="0">
      <alignment horizontal="fill"/>
    </xf>
    <xf numFmtId="361" fontId="11" fillId="0" borderId="25" applyFont="0" applyFill="0" applyBorder="0" applyProtection="0">
      <alignment horizontal="center"/>
      <protection locked="0"/>
    </xf>
    <xf numFmtId="362" fontId="14" fillId="0" borderId="7" applyFont="0" applyFill="0" applyBorder="0" applyProtection="0">
      <alignment horizontal="center"/>
    </xf>
    <xf numFmtId="38" fontId="11" fillId="0" borderId="29" applyFont="0" applyFill="0" applyBorder="0" applyAlignment="0" applyProtection="0">
      <protection locked="0"/>
    </xf>
    <xf numFmtId="15" fontId="11" fillId="0" borderId="29" applyFont="0" applyFill="0" applyBorder="0" applyProtection="0">
      <alignment horizontal="center"/>
      <protection locked="0"/>
    </xf>
    <xf numFmtId="10" fontId="11" fillId="0" borderId="29" applyFont="0" applyFill="0" applyBorder="0" applyProtection="0">
      <alignment horizontal="center"/>
      <protection locked="0"/>
    </xf>
    <xf numFmtId="337" fontId="11" fillId="0" borderId="29" applyFont="0" applyFill="0" applyBorder="0" applyProtection="0">
      <alignment horizontal="center"/>
    </xf>
    <xf numFmtId="38" fontId="54" fillId="0" borderId="11" applyFill="0" applyBorder="0" applyAlignment="0" applyProtection="0">
      <protection locked="0"/>
    </xf>
    <xf numFmtId="37" fontId="60" fillId="26" borderId="0" applyNumberFormat="0" applyBorder="0" applyAlignment="0" applyProtection="0"/>
    <xf numFmtId="37" fontId="60" fillId="0" borderId="0"/>
    <xf numFmtId="37" fontId="60" fillId="26" borderId="0" applyNumberFormat="0" applyBorder="0" applyAlignment="0" applyProtection="0"/>
    <xf numFmtId="3" fontId="28" fillId="0" borderId="55" applyProtection="0"/>
    <xf numFmtId="37" fontId="243" fillId="0" borderId="0">
      <protection locked="0"/>
    </xf>
    <xf numFmtId="363" fontId="11" fillId="0" borderId="0" applyFont="0" applyFill="0" applyBorder="0" applyAlignment="0" applyProtection="0"/>
    <xf numFmtId="249" fontId="28" fillId="0" borderId="0" applyFont="0" applyFill="0" applyBorder="0" applyAlignment="0" applyProtection="0"/>
    <xf numFmtId="363" fontId="11" fillId="0" borderId="0" applyFont="0" applyFill="0" applyBorder="0" applyAlignment="0" applyProtection="0"/>
    <xf numFmtId="2" fontId="116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1" fillId="0" borderId="0" applyNumberFormat="0" applyBorder="0" applyProtection="0">
      <alignment horizontal="centerContinuous" vertical="center"/>
    </xf>
    <xf numFmtId="0" fontId="28" fillId="0" borderId="0" applyNumberFormat="0" applyFill="0" applyBorder="0" applyAlignment="0" applyProtection="0"/>
    <xf numFmtId="244" fontId="244" fillId="0" borderId="0" applyNumberFormat="0" applyFill="0" applyBorder="0" applyAlignment="0" applyProtection="0"/>
    <xf numFmtId="0" fontId="62" fillId="25" borderId="0" applyNumberFormat="0" applyFont="0" applyAlignment="0" applyProtection="0"/>
    <xf numFmtId="0" fontId="62" fillId="25" borderId="7" applyNumberFormat="0" applyFont="0" applyAlignment="0" applyProtection="0">
      <protection locked="0"/>
    </xf>
    <xf numFmtId="0" fontId="244" fillId="0" borderId="0" applyNumberFormat="0" applyFill="0" applyBorder="0" applyAlignment="0" applyProtection="0"/>
    <xf numFmtId="1" fontId="31" fillId="0" borderId="0" applyFont="0" applyFill="0" applyBorder="0" applyAlignment="0" applyProtection="0"/>
    <xf numFmtId="49" fontId="245" fillId="0" borderId="0" applyFill="0" applyBorder="0" applyAlignment="0" applyProtection="0">
      <alignment vertical="center"/>
    </xf>
    <xf numFmtId="40" fontId="11" fillId="0" borderId="0">
      <alignment horizontal="left" wrapText="1"/>
    </xf>
    <xf numFmtId="303" fontId="30" fillId="0" borderId="0"/>
    <xf numFmtId="330" fontId="60" fillId="0" borderId="0" applyFont="0" applyFill="0" applyBorder="0" applyAlignment="0" applyProtection="0"/>
    <xf numFmtId="303" fontId="30" fillId="0" borderId="0"/>
    <xf numFmtId="364" fontId="69" fillId="0" borderId="0" applyFont="0" applyFill="0" applyBorder="0" applyAlignment="0" applyProtection="0"/>
    <xf numFmtId="239" fontId="6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65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365" fontId="11" fillId="0" borderId="0" applyFont="0" applyFill="0" applyBorder="0" applyAlignment="0" applyProtection="0"/>
    <xf numFmtId="365" fontId="11" fillId="0" borderId="0" applyFont="0" applyFill="0" applyBorder="0" applyAlignment="0" applyProtection="0"/>
    <xf numFmtId="365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366" fontId="11" fillId="0" borderId="0" applyFont="0" applyFill="0" applyBorder="0" applyAlignment="0" applyProtection="0"/>
    <xf numFmtId="366" fontId="11" fillId="0" borderId="0" applyFont="0" applyFill="0" applyBorder="0" applyAlignment="0" applyProtection="0"/>
    <xf numFmtId="366" fontId="11" fillId="0" borderId="0" applyFont="0" applyFill="0" applyBorder="0" applyAlignment="0" applyProtection="0"/>
    <xf numFmtId="366" fontId="11" fillId="0" borderId="0" applyFont="0" applyFill="0" applyBorder="0" applyAlignment="0" applyProtection="0"/>
    <xf numFmtId="366" fontId="11" fillId="0" borderId="0" applyFont="0" applyFill="0" applyBorder="0" applyAlignment="0" applyProtection="0"/>
    <xf numFmtId="366" fontId="11" fillId="0" borderId="0" applyFont="0" applyFill="0" applyBorder="0" applyAlignment="0" applyProtection="0"/>
    <xf numFmtId="366" fontId="11" fillId="0" borderId="0" applyFont="0" applyFill="0" applyBorder="0" applyAlignment="0" applyProtection="0"/>
    <xf numFmtId="366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21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" fillId="5" borderId="0" applyNumberFormat="0" applyFont="0" applyAlignment="0" applyProtection="0"/>
    <xf numFmtId="0" fontId="11" fillId="5" borderId="0" applyNumberFormat="0" applyFont="0" applyAlignment="0" applyProtection="0"/>
    <xf numFmtId="0" fontId="11" fillId="6" borderId="0" applyNumberFormat="0" applyFont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22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1" fillId="0" borderId="0"/>
    <xf numFmtId="0" fontId="1" fillId="0" borderId="0"/>
    <xf numFmtId="164" fontId="1" fillId="0" borderId="0" applyFont="0" applyFill="0" applyBorder="0" applyAlignment="0" applyProtection="0"/>
  </cellStyleXfs>
  <cellXfs count="326">
    <xf numFmtId="0" fontId="0" fillId="0" borderId="0" xfId="0"/>
    <xf numFmtId="9" fontId="246" fillId="0" borderId="5" xfId="7" applyFont="1" applyFill="1" applyBorder="1" applyAlignment="1">
      <alignment horizontal="right"/>
    </xf>
    <xf numFmtId="0" fontId="248" fillId="70" borderId="0" xfId="0" applyFont="1" applyFill="1" applyAlignment="1">
      <alignment horizontal="center" vertical="center" wrapText="1"/>
    </xf>
    <xf numFmtId="0" fontId="249" fillId="71" borderId="5" xfId="0" applyFont="1" applyFill="1" applyBorder="1" applyAlignment="1">
      <alignment horizontal="left" vertical="center"/>
    </xf>
    <xf numFmtId="0" fontId="249" fillId="71" borderId="5" xfId="0" applyFont="1" applyFill="1" applyBorder="1" applyAlignment="1">
      <alignment horizontal="center" vertical="center"/>
    </xf>
    <xf numFmtId="0" fontId="249" fillId="71" borderId="4" xfId="0" applyFont="1" applyFill="1" applyBorder="1" applyAlignment="1">
      <alignment horizontal="center" vertical="center"/>
    </xf>
    <xf numFmtId="169" fontId="249" fillId="71" borderId="5" xfId="1" applyNumberFormat="1" applyFont="1" applyFill="1" applyBorder="1" applyAlignment="1">
      <alignment horizontal="center" vertical="center"/>
    </xf>
    <xf numFmtId="166" fontId="249" fillId="71" borderId="6" xfId="1" applyNumberFormat="1" applyFont="1" applyFill="1" applyBorder="1" applyAlignment="1">
      <alignment vertical="center"/>
    </xf>
    <xf numFmtId="0" fontId="250" fillId="0" borderId="5" xfId="0" applyFont="1" applyBorder="1" applyAlignment="1">
      <alignment horizontal="left"/>
    </xf>
    <xf numFmtId="0" fontId="250" fillId="0" borderId="5" xfId="0" applyFont="1" applyBorder="1" applyAlignment="1">
      <alignment horizontal="center"/>
    </xf>
    <xf numFmtId="169" fontId="250" fillId="0" borderId="5" xfId="0" applyNumberFormat="1" applyFont="1" applyBorder="1" applyAlignment="1">
      <alignment horizontal="center"/>
    </xf>
    <xf numFmtId="166" fontId="250" fillId="0" borderId="6" xfId="1" applyNumberFormat="1" applyFont="1" applyBorder="1"/>
    <xf numFmtId="0" fontId="251" fillId="0" borderId="82" xfId="0" applyFont="1" applyBorder="1" applyAlignment="1">
      <alignment horizontal="left" vertical="center"/>
    </xf>
    <xf numFmtId="0" fontId="251" fillId="0" borderId="82" xfId="0" applyFont="1" applyBorder="1" applyAlignment="1">
      <alignment horizontal="center" vertical="center"/>
    </xf>
    <xf numFmtId="3" fontId="251" fillId="0" borderId="82" xfId="0" applyNumberFormat="1" applyFont="1" applyBorder="1" applyAlignment="1">
      <alignment horizontal="right" vertical="center"/>
    </xf>
    <xf numFmtId="0" fontId="247" fillId="0" borderId="0" xfId="0" applyFont="1" applyAlignment="1">
      <alignment horizontal="center"/>
    </xf>
    <xf numFmtId="3" fontId="247" fillId="0" borderId="1" xfId="1" applyNumberFormat="1" applyFont="1" applyBorder="1" applyAlignment="1">
      <alignment horizontal="right"/>
    </xf>
    <xf numFmtId="0" fontId="251" fillId="0" borderId="83" xfId="0" applyFont="1" applyBorder="1" applyAlignment="1">
      <alignment vertical="center"/>
    </xf>
    <xf numFmtId="0" fontId="251" fillId="0" borderId="83" xfId="0" applyFont="1" applyBorder="1" applyAlignment="1">
      <alignment horizontal="center" vertical="center"/>
    </xf>
    <xf numFmtId="3" fontId="251" fillId="0" borderId="83" xfId="0" applyNumberFormat="1" applyFont="1" applyBorder="1" applyAlignment="1">
      <alignment horizontal="right" vertical="center"/>
    </xf>
    <xf numFmtId="0" fontId="250" fillId="0" borderId="0" xfId="0" applyFont="1"/>
    <xf numFmtId="0" fontId="252" fillId="0" borderId="0" xfId="0" applyFont="1"/>
    <xf numFmtId="0" fontId="248" fillId="3" borderId="0" xfId="0" applyFont="1" applyFill="1" applyBorder="1"/>
    <xf numFmtId="0" fontId="248" fillId="3" borderId="0" xfId="0" applyFont="1" applyFill="1" applyBorder="1" applyAlignment="1">
      <alignment horizontal="center" vertical="center"/>
    </xf>
    <xf numFmtId="0" fontId="253" fillId="0" borderId="8" xfId="0" applyFont="1" applyFill="1" applyBorder="1"/>
    <xf numFmtId="166" fontId="253" fillId="0" borderId="8" xfId="1" applyNumberFormat="1" applyFont="1" applyFill="1" applyBorder="1" applyAlignment="1">
      <alignment horizontal="center"/>
    </xf>
    <xf numFmtId="0" fontId="253" fillId="2" borderId="0" xfId="0" applyFont="1" applyFill="1"/>
    <xf numFmtId="166" fontId="253" fillId="2" borderId="0" xfId="1" applyNumberFormat="1" applyFont="1" applyFill="1" applyAlignment="1">
      <alignment horizontal="center"/>
    </xf>
    <xf numFmtId="0" fontId="250" fillId="0" borderId="0" xfId="0" applyFont="1" applyFill="1"/>
    <xf numFmtId="166" fontId="250" fillId="0" borderId="0" xfId="1" applyNumberFormat="1" applyFont="1" applyFill="1" applyAlignment="1">
      <alignment horizontal="center"/>
    </xf>
    <xf numFmtId="0" fontId="250" fillId="2" borderId="0" xfId="0" applyFont="1" applyFill="1"/>
    <xf numFmtId="166" fontId="250" fillId="2" borderId="0" xfId="1" applyNumberFormat="1" applyFont="1" applyFill="1" applyBorder="1" applyAlignment="1">
      <alignment horizontal="center"/>
    </xf>
    <xf numFmtId="166" fontId="250" fillId="0" borderId="0" xfId="1" applyNumberFormat="1" applyFont="1" applyFill="1" applyBorder="1" applyAlignment="1">
      <alignment horizontal="center"/>
    </xf>
    <xf numFmtId="0" fontId="250" fillId="0" borderId="81" xfId="0" applyFont="1" applyFill="1" applyBorder="1"/>
    <xf numFmtId="166" fontId="250" fillId="0" borderId="81" xfId="1" applyNumberFormat="1" applyFont="1" applyFill="1" applyBorder="1" applyAlignment="1">
      <alignment horizontal="center"/>
    </xf>
    <xf numFmtId="166" fontId="250" fillId="2" borderId="0" xfId="1" applyNumberFormat="1" applyFont="1" applyFill="1" applyAlignment="1">
      <alignment horizontal="center"/>
    </xf>
    <xf numFmtId="0" fontId="253" fillId="0" borderId="1" xfId="0" applyFont="1" applyFill="1" applyBorder="1"/>
    <xf numFmtId="166" fontId="253" fillId="0" borderId="1" xfId="1" applyNumberFormat="1" applyFont="1" applyFill="1" applyBorder="1" applyAlignment="1">
      <alignment horizontal="center"/>
    </xf>
    <xf numFmtId="0" fontId="249" fillId="2" borderId="0" xfId="0" applyFont="1" applyFill="1"/>
    <xf numFmtId="166" fontId="249" fillId="2" borderId="0" xfId="1" applyNumberFormat="1" applyFont="1" applyFill="1" applyBorder="1" applyAlignment="1">
      <alignment horizontal="center"/>
    </xf>
    <xf numFmtId="0" fontId="248" fillId="0" borderId="0" xfId="2" applyFont="1" applyFill="1" applyBorder="1" applyAlignment="1">
      <alignment horizontal="center" vertical="center"/>
    </xf>
    <xf numFmtId="0" fontId="250" fillId="0" borderId="0" xfId="2" applyFont="1" applyFill="1" applyAlignment="1">
      <alignment horizontal="center"/>
    </xf>
    <xf numFmtId="0" fontId="250" fillId="0" borderId="0" xfId="2" applyFont="1"/>
    <xf numFmtId="0" fontId="253" fillId="2" borderId="0" xfId="2" applyFont="1" applyFill="1" applyAlignment="1">
      <alignment horizontal="left"/>
    </xf>
    <xf numFmtId="0" fontId="253" fillId="2" borderId="0" xfId="2" applyFont="1" applyFill="1" applyAlignment="1">
      <alignment horizontal="center"/>
    </xf>
    <xf numFmtId="165" fontId="255" fillId="0" borderId="0" xfId="1" applyNumberFormat="1" applyFont="1"/>
    <xf numFmtId="0" fontId="249" fillId="0" borderId="0" xfId="2" applyFont="1" applyFill="1" applyBorder="1"/>
    <xf numFmtId="0" fontId="249" fillId="0" borderId="0" xfId="2" applyFont="1" applyFill="1" applyBorder="1" applyAlignment="1">
      <alignment horizontal="center"/>
    </xf>
    <xf numFmtId="166" fontId="249" fillId="0" borderId="0" xfId="3" applyNumberFormat="1" applyFont="1" applyFill="1" applyBorder="1"/>
    <xf numFmtId="165" fontId="250" fillId="0" borderId="0" xfId="1" applyNumberFormat="1" applyFont="1"/>
    <xf numFmtId="43" fontId="249" fillId="0" borderId="0" xfId="1" applyFont="1" applyFill="1" applyBorder="1" applyAlignment="1">
      <alignment horizontal="center"/>
    </xf>
    <xf numFmtId="43" fontId="255" fillId="0" borderId="0" xfId="1" applyFont="1" applyFill="1" applyBorder="1" applyAlignment="1">
      <alignment horizontal="center"/>
    </xf>
    <xf numFmtId="43" fontId="255" fillId="0" borderId="0" xfId="1" applyFont="1" applyFill="1" applyBorder="1"/>
    <xf numFmtId="43" fontId="255" fillId="0" borderId="0" xfId="1" applyFont="1" applyFill="1"/>
    <xf numFmtId="43" fontId="249" fillId="0" borderId="0" xfId="1" applyFont="1" applyFill="1"/>
    <xf numFmtId="165" fontId="255" fillId="0" borderId="0" xfId="1" applyNumberFormat="1" applyFont="1" applyFill="1"/>
    <xf numFmtId="166" fontId="255" fillId="0" borderId="5" xfId="1" applyNumberFormat="1" applyFont="1" applyFill="1" applyBorder="1"/>
    <xf numFmtId="166" fontId="255" fillId="0" borderId="0" xfId="1" applyNumberFormat="1" applyFont="1" applyFill="1" applyBorder="1"/>
    <xf numFmtId="0" fontId="250" fillId="0" borderId="0" xfId="0" applyFont="1" applyFill="1" applyBorder="1"/>
    <xf numFmtId="166" fontId="250" fillId="0" borderId="0" xfId="1" applyNumberFormat="1" applyFont="1" applyFill="1" applyBorder="1"/>
    <xf numFmtId="166" fontId="249" fillId="0" borderId="0" xfId="1" applyNumberFormat="1" applyFont="1" applyFill="1" applyBorder="1"/>
    <xf numFmtId="0" fontId="253" fillId="0" borderId="0" xfId="2" applyFont="1" applyFill="1" applyAlignment="1">
      <alignment horizontal="center"/>
    </xf>
    <xf numFmtId="166" fontId="253" fillId="0" borderId="2" xfId="1" applyNumberFormat="1" applyFont="1" applyFill="1" applyBorder="1"/>
    <xf numFmtId="165" fontId="250" fillId="0" borderId="7" xfId="1" applyNumberFormat="1" applyFont="1" applyFill="1" applyBorder="1" applyAlignment="1">
      <alignment horizontal="center"/>
    </xf>
    <xf numFmtId="165" fontId="250" fillId="0" borderId="0" xfId="1" applyNumberFormat="1" applyFont="1" applyFill="1" applyAlignment="1">
      <alignment horizontal="center"/>
    </xf>
    <xf numFmtId="165" fontId="250" fillId="0" borderId="8" xfId="1" applyNumberFormat="1" applyFont="1" applyFill="1" applyBorder="1" applyAlignment="1">
      <alignment horizontal="center"/>
    </xf>
    <xf numFmtId="167" fontId="250" fillId="0" borderId="0" xfId="7" applyNumberFormat="1" applyFont="1"/>
    <xf numFmtId="0" fontId="250" fillId="0" borderId="0" xfId="2" applyFont="1" applyFill="1" applyBorder="1" applyAlignment="1">
      <alignment horizontal="center"/>
    </xf>
    <xf numFmtId="0" fontId="250" fillId="0" borderId="0" xfId="2" applyFont="1" applyFill="1" applyBorder="1"/>
    <xf numFmtId="0" fontId="250" fillId="0" borderId="0" xfId="0" applyFont="1" applyAlignment="1">
      <alignment horizontal="center"/>
    </xf>
    <xf numFmtId="0" fontId="248" fillId="3" borderId="0" xfId="2" applyFont="1" applyFill="1" applyBorder="1" applyAlignment="1">
      <alignment vertical="center" wrapText="1"/>
    </xf>
    <xf numFmtId="0" fontId="248" fillId="0" borderId="0" xfId="2" applyFont="1" applyFill="1" applyBorder="1" applyAlignment="1">
      <alignment vertical="center" wrapText="1"/>
    </xf>
    <xf numFmtId="0" fontId="248" fillId="0" borderId="0" xfId="0" applyFont="1" applyFill="1" applyBorder="1" applyAlignment="1">
      <alignment horizontal="center" vertical="center"/>
    </xf>
    <xf numFmtId="0" fontId="248" fillId="3" borderId="4" xfId="0" applyFont="1" applyFill="1" applyBorder="1" applyAlignment="1">
      <alignment horizontal="center" vertical="center"/>
    </xf>
    <xf numFmtId="0" fontId="248" fillId="3" borderId="5" xfId="0" applyFont="1" applyFill="1" applyBorder="1" applyAlignment="1">
      <alignment horizontal="center" vertical="center"/>
    </xf>
    <xf numFmtId="0" fontId="248" fillId="3" borderId="6" xfId="0" applyFont="1" applyFill="1" applyBorder="1" applyAlignment="1">
      <alignment horizontal="center" vertical="center"/>
    </xf>
    <xf numFmtId="0" fontId="253" fillId="0" borderId="0" xfId="2" applyFont="1" applyFill="1" applyBorder="1" applyAlignment="1">
      <alignment horizontal="center"/>
    </xf>
    <xf numFmtId="0" fontId="253" fillId="0" borderId="0" xfId="2" applyFont="1" applyFill="1" applyAlignment="1">
      <alignment horizontal="left"/>
    </xf>
    <xf numFmtId="0" fontId="253" fillId="0" borderId="0" xfId="2" applyFont="1" applyFill="1"/>
    <xf numFmtId="0" fontId="253" fillId="0" borderId="0" xfId="2" applyFont="1" applyFill="1" applyBorder="1"/>
    <xf numFmtId="0" fontId="256" fillId="0" borderId="0" xfId="2" applyFont="1" applyFill="1" applyBorder="1"/>
    <xf numFmtId="0" fontId="256" fillId="0" borderId="0" xfId="2" applyFont="1" applyFill="1" applyBorder="1" applyAlignment="1">
      <alignment horizontal="center"/>
    </xf>
    <xf numFmtId="165" fontId="256" fillId="0" borderId="0" xfId="1" applyNumberFormat="1" applyFont="1" applyFill="1" applyBorder="1" applyAlignment="1">
      <alignment horizontal="right"/>
    </xf>
    <xf numFmtId="0" fontId="253" fillId="0" borderId="0" xfId="0" applyFont="1"/>
    <xf numFmtId="165" fontId="249" fillId="0" borderId="0" xfId="1" applyNumberFormat="1" applyFont="1" applyFill="1" applyBorder="1" applyAlignment="1">
      <alignment horizontal="right"/>
    </xf>
    <xf numFmtId="165" fontId="249" fillId="0" borderId="0" xfId="1" applyNumberFormat="1" applyFont="1" applyFill="1" applyAlignment="1">
      <alignment horizontal="right"/>
    </xf>
    <xf numFmtId="166" fontId="250" fillId="0" borderId="0" xfId="1" applyNumberFormat="1" applyFont="1" applyFill="1"/>
    <xf numFmtId="9" fontId="249" fillId="0" borderId="0" xfId="7" applyFont="1" applyFill="1" applyBorder="1" applyAlignment="1">
      <alignment horizontal="right"/>
    </xf>
    <xf numFmtId="9" fontId="249" fillId="0" borderId="0" xfId="7" applyNumberFormat="1" applyFont="1" applyFill="1" applyBorder="1" applyAlignment="1">
      <alignment horizontal="right"/>
    </xf>
    <xf numFmtId="166" fontId="256" fillId="0" borderId="0" xfId="1" applyNumberFormat="1" applyFont="1" applyFill="1" applyAlignment="1">
      <alignment horizontal="right"/>
    </xf>
    <xf numFmtId="166" fontId="256" fillId="0" borderId="0" xfId="1" applyNumberFormat="1" applyFont="1" applyFill="1" applyBorder="1" applyAlignment="1">
      <alignment horizontal="right"/>
    </xf>
    <xf numFmtId="0" fontId="257" fillId="0" borderId="0" xfId="2" applyFont="1" applyFill="1" applyBorder="1"/>
    <xf numFmtId="0" fontId="257" fillId="0" borderId="0" xfId="2" applyFont="1" applyFill="1" applyBorder="1" applyAlignment="1">
      <alignment horizontal="center"/>
    </xf>
    <xf numFmtId="9" fontId="257" fillId="0" borderId="0" xfId="7" applyFont="1" applyFill="1" applyBorder="1" applyAlignment="1">
      <alignment horizontal="right"/>
    </xf>
    <xf numFmtId="0" fontId="258" fillId="0" borderId="0" xfId="0" applyFont="1"/>
    <xf numFmtId="165" fontId="253" fillId="0" borderId="0" xfId="2" applyNumberFormat="1" applyFont="1" applyFill="1" applyAlignment="1">
      <alignment horizontal="center"/>
    </xf>
    <xf numFmtId="165" fontId="253" fillId="0" borderId="0" xfId="2" applyNumberFormat="1" applyFont="1" applyFill="1" applyBorder="1" applyAlignment="1">
      <alignment horizontal="center"/>
    </xf>
    <xf numFmtId="165" fontId="253" fillId="0" borderId="0" xfId="1" applyNumberFormat="1" applyFont="1" applyFill="1" applyAlignment="1">
      <alignment horizontal="center"/>
    </xf>
    <xf numFmtId="165" fontId="253" fillId="0" borderId="0" xfId="1" applyNumberFormat="1" applyFont="1" applyFill="1" applyBorder="1" applyAlignment="1">
      <alignment horizontal="center"/>
    </xf>
    <xf numFmtId="165" fontId="256" fillId="0" borderId="0" xfId="1" applyNumberFormat="1" applyFont="1" applyFill="1" applyBorder="1" applyAlignment="1"/>
    <xf numFmtId="165" fontId="249" fillId="0" borderId="0" xfId="1" applyNumberFormat="1" applyFont="1" applyFill="1" applyBorder="1" applyAlignment="1"/>
    <xf numFmtId="166" fontId="250" fillId="0" borderId="0" xfId="2" applyNumberFormat="1" applyFont="1"/>
    <xf numFmtId="167" fontId="249" fillId="0" borderId="0" xfId="7" applyNumberFormat="1" applyFont="1" applyFill="1" applyBorder="1" applyAlignment="1"/>
    <xf numFmtId="166" fontId="250" fillId="0" borderId="0" xfId="0" applyNumberFormat="1" applyFont="1"/>
    <xf numFmtId="165" fontId="250" fillId="0" borderId="0" xfId="0" applyNumberFormat="1" applyFont="1"/>
    <xf numFmtId="0" fontId="248" fillId="3" borderId="0" xfId="0" applyFont="1" applyFill="1"/>
    <xf numFmtId="166" fontId="250" fillId="0" borderId="0" xfId="3" applyNumberFormat="1" applyFont="1" applyFill="1" applyBorder="1"/>
    <xf numFmtId="166" fontId="250" fillId="0" borderId="0" xfId="3" applyNumberFormat="1" applyFont="1" applyFill="1" applyBorder="1" applyAlignment="1">
      <alignment horizontal="right"/>
    </xf>
    <xf numFmtId="166" fontId="250" fillId="0" borderId="4" xfId="3" applyNumberFormat="1" applyFont="1" applyFill="1" applyBorder="1" applyAlignment="1">
      <alignment horizontal="right"/>
    </xf>
    <xf numFmtId="166" fontId="250" fillId="0" borderId="5" xfId="3" applyNumberFormat="1" applyFont="1" applyFill="1" applyBorder="1" applyAlignment="1">
      <alignment horizontal="right"/>
    </xf>
    <xf numFmtId="166" fontId="250" fillId="0" borderId="6" xfId="3" applyNumberFormat="1" applyFont="1" applyFill="1" applyBorder="1" applyAlignment="1">
      <alignment horizontal="right"/>
    </xf>
    <xf numFmtId="166" fontId="250" fillId="0" borderId="6" xfId="3" applyNumberFormat="1" applyFont="1" applyFill="1" applyBorder="1"/>
    <xf numFmtId="166" fontId="250" fillId="0" borderId="4" xfId="3" applyNumberFormat="1" applyFont="1" applyFill="1" applyBorder="1"/>
    <xf numFmtId="166" fontId="250" fillId="0" borderId="5" xfId="3" applyNumberFormat="1" applyFont="1" applyFill="1" applyBorder="1"/>
    <xf numFmtId="166" fontId="250" fillId="0" borderId="5" xfId="1" applyNumberFormat="1" applyFont="1" applyFill="1" applyBorder="1"/>
    <xf numFmtId="165" fontId="249" fillId="2" borderId="0" xfId="1" applyNumberFormat="1" applyFont="1" applyFill="1" applyBorder="1" applyAlignment="1">
      <alignment horizontal="right"/>
    </xf>
    <xf numFmtId="165" fontId="249" fillId="2" borderId="4" xfId="1" applyNumberFormat="1" applyFont="1" applyFill="1" applyBorder="1" applyAlignment="1">
      <alignment horizontal="right"/>
    </xf>
    <xf numFmtId="165" fontId="249" fillId="2" borderId="5" xfId="1" applyNumberFormat="1" applyFont="1" applyFill="1" applyBorder="1" applyAlignment="1">
      <alignment horizontal="right"/>
    </xf>
    <xf numFmtId="165" fontId="249" fillId="2" borderId="6" xfId="1" applyNumberFormat="1" applyFont="1" applyFill="1" applyBorder="1" applyAlignment="1">
      <alignment horizontal="right"/>
    </xf>
    <xf numFmtId="9" fontId="249" fillId="2" borderId="4" xfId="4" applyFont="1" applyFill="1" applyBorder="1" applyAlignment="1">
      <alignment horizontal="right"/>
    </xf>
    <xf numFmtId="9" fontId="249" fillId="2" borderId="5" xfId="4" applyFont="1" applyFill="1" applyBorder="1" applyAlignment="1">
      <alignment horizontal="right"/>
    </xf>
    <xf numFmtId="9" fontId="249" fillId="2" borderId="6" xfId="4" applyFont="1" applyFill="1" applyBorder="1" applyAlignment="1">
      <alignment horizontal="right"/>
    </xf>
    <xf numFmtId="9" fontId="249" fillId="0" borderId="0" xfId="4" applyFont="1" applyFill="1" applyBorder="1" applyAlignment="1">
      <alignment horizontal="right"/>
    </xf>
    <xf numFmtId="9" fontId="249" fillId="2" borderId="0" xfId="7" applyFont="1" applyFill="1" applyBorder="1" applyAlignment="1">
      <alignment horizontal="right"/>
    </xf>
    <xf numFmtId="9" fontId="249" fillId="2" borderId="5" xfId="7" applyFont="1" applyFill="1" applyBorder="1" applyAlignment="1">
      <alignment horizontal="right"/>
    </xf>
    <xf numFmtId="165" fontId="249" fillId="0" borderId="4" xfId="1" applyNumberFormat="1" applyFont="1" applyFill="1" applyBorder="1" applyAlignment="1">
      <alignment horizontal="right"/>
    </xf>
    <xf numFmtId="165" fontId="249" fillId="0" borderId="5" xfId="1" applyNumberFormat="1" applyFont="1" applyFill="1" applyBorder="1" applyAlignment="1">
      <alignment horizontal="right"/>
    </xf>
    <xf numFmtId="165" fontId="249" fillId="0" borderId="6" xfId="1" applyNumberFormat="1" applyFont="1" applyFill="1" applyBorder="1" applyAlignment="1">
      <alignment horizontal="right"/>
    </xf>
    <xf numFmtId="164" fontId="249" fillId="0" borderId="4" xfId="3" applyNumberFormat="1" applyFont="1" applyFill="1" applyBorder="1" applyAlignment="1">
      <alignment horizontal="center"/>
    </xf>
    <xf numFmtId="164" fontId="249" fillId="0" borderId="5" xfId="3" applyNumberFormat="1" applyFont="1" applyFill="1" applyBorder="1" applyAlignment="1">
      <alignment horizontal="center"/>
    </xf>
    <xf numFmtId="164" fontId="249" fillId="0" borderId="6" xfId="3" applyNumberFormat="1" applyFont="1" applyFill="1" applyBorder="1" applyAlignment="1">
      <alignment horizontal="center"/>
    </xf>
    <xf numFmtId="164" fontId="249" fillId="0" borderId="0" xfId="3" applyNumberFormat="1" applyFont="1" applyFill="1" applyBorder="1" applyAlignment="1">
      <alignment horizontal="center"/>
    </xf>
    <xf numFmtId="164" fontId="249" fillId="0" borderId="0" xfId="1" applyNumberFormat="1" applyFont="1" applyFill="1" applyBorder="1"/>
    <xf numFmtId="164" fontId="249" fillId="0" borderId="5" xfId="1" applyNumberFormat="1" applyFont="1" applyFill="1" applyBorder="1"/>
    <xf numFmtId="164" fontId="249" fillId="2" borderId="4" xfId="3" applyNumberFormat="1" applyFont="1" applyFill="1" applyBorder="1" applyAlignment="1">
      <alignment horizontal="center"/>
    </xf>
    <xf numFmtId="164" fontId="249" fillId="2" borderId="5" xfId="3" applyNumberFormat="1" applyFont="1" applyFill="1" applyBorder="1" applyAlignment="1">
      <alignment horizontal="center"/>
    </xf>
    <xf numFmtId="164" fontId="249" fillId="2" borderId="6" xfId="3" applyNumberFormat="1" applyFont="1" applyFill="1" applyBorder="1" applyAlignment="1">
      <alignment horizontal="center"/>
    </xf>
    <xf numFmtId="164" fontId="249" fillId="2" borderId="0" xfId="1" applyNumberFormat="1" applyFont="1" applyFill="1" applyBorder="1"/>
    <xf numFmtId="164" fontId="249" fillId="2" borderId="5" xfId="1" applyNumberFormat="1" applyFont="1" applyFill="1" applyBorder="1"/>
    <xf numFmtId="172" fontId="249" fillId="0" borderId="4" xfId="3" applyNumberFormat="1" applyFont="1" applyFill="1" applyBorder="1"/>
    <xf numFmtId="172" fontId="249" fillId="0" borderId="5" xfId="3" applyNumberFormat="1" applyFont="1" applyFill="1" applyBorder="1"/>
    <xf numFmtId="172" fontId="249" fillId="0" borderId="6" xfId="3" applyNumberFormat="1" applyFont="1" applyFill="1" applyBorder="1"/>
    <xf numFmtId="172" fontId="249" fillId="0" borderId="0" xfId="3" applyNumberFormat="1" applyFont="1" applyFill="1" applyBorder="1"/>
    <xf numFmtId="166" fontId="249" fillId="0" borderId="5" xfId="1" applyNumberFormat="1" applyFont="1" applyFill="1" applyBorder="1"/>
    <xf numFmtId="166" fontId="249" fillId="0" borderId="4" xfId="3" applyNumberFormat="1" applyFont="1" applyFill="1" applyBorder="1" applyAlignment="1">
      <alignment horizontal="center"/>
    </xf>
    <xf numFmtId="166" fontId="249" fillId="0" borderId="5" xfId="3" applyNumberFormat="1" applyFont="1" applyFill="1" applyBorder="1" applyAlignment="1">
      <alignment horizontal="center"/>
    </xf>
    <xf numFmtId="166" fontId="249" fillId="0" borderId="6" xfId="3" applyNumberFormat="1" applyFont="1" applyFill="1" applyBorder="1" applyAlignment="1">
      <alignment horizontal="center"/>
    </xf>
    <xf numFmtId="166" fontId="249" fillId="0" borderId="0" xfId="3" applyNumberFormat="1" applyFont="1" applyFill="1" applyBorder="1" applyAlignment="1">
      <alignment horizontal="center"/>
    </xf>
    <xf numFmtId="166" fontId="249" fillId="2" borderId="0" xfId="1" applyNumberFormat="1" applyFont="1" applyFill="1" applyBorder="1"/>
    <xf numFmtId="166" fontId="249" fillId="2" borderId="6" xfId="1" applyNumberFormat="1" applyFont="1" applyFill="1" applyBorder="1"/>
    <xf numFmtId="0" fontId="250" fillId="0" borderId="0" xfId="0" applyFont="1" applyBorder="1"/>
    <xf numFmtId="165" fontId="250" fillId="0" borderId="0" xfId="0" applyNumberFormat="1" applyFont="1" applyFill="1" applyBorder="1"/>
    <xf numFmtId="14" fontId="248" fillId="3" borderId="5" xfId="0" applyNumberFormat="1" applyFont="1" applyFill="1" applyBorder="1" applyAlignment="1">
      <alignment horizontal="center"/>
    </xf>
    <xf numFmtId="0" fontId="249" fillId="0" borderId="4" xfId="0" applyFont="1" applyFill="1" applyBorder="1" applyAlignment="1">
      <alignment vertical="center"/>
    </xf>
    <xf numFmtId="0" fontId="249" fillId="0" borderId="4" xfId="0" applyFont="1" applyFill="1" applyBorder="1" applyAlignment="1">
      <alignment horizontal="center" vertical="center"/>
    </xf>
    <xf numFmtId="0" fontId="249" fillId="0" borderId="5" xfId="0" applyFont="1" applyFill="1" applyBorder="1" applyAlignment="1">
      <alignment horizontal="center" vertical="center"/>
    </xf>
    <xf numFmtId="10" fontId="249" fillId="0" borderId="5" xfId="7" applyNumberFormat="1" applyFont="1" applyFill="1" applyBorder="1" applyAlignment="1">
      <alignment horizontal="center" vertical="center"/>
    </xf>
    <xf numFmtId="171" fontId="249" fillId="0" borderId="5" xfId="7" applyNumberFormat="1" applyFont="1" applyFill="1" applyBorder="1" applyAlignment="1">
      <alignment horizontal="center" vertical="center"/>
    </xf>
    <xf numFmtId="169" fontId="249" fillId="0" borderId="5" xfId="1" applyNumberFormat="1" applyFont="1" applyFill="1" applyBorder="1" applyAlignment="1">
      <alignment horizontal="center" vertical="center"/>
    </xf>
    <xf numFmtId="166" fontId="249" fillId="0" borderId="5" xfId="1" applyNumberFormat="1" applyFont="1" applyFill="1" applyBorder="1" applyAlignment="1">
      <alignment vertical="center"/>
    </xf>
    <xf numFmtId="166" fontId="249" fillId="0" borderId="0" xfId="1" applyNumberFormat="1" applyFont="1" applyFill="1" applyBorder="1" applyAlignment="1">
      <alignment vertical="center"/>
    </xf>
    <xf numFmtId="0" fontId="249" fillId="2" borderId="4" xfId="0" applyFont="1" applyFill="1" applyBorder="1" applyAlignment="1">
      <alignment vertical="center"/>
    </xf>
    <xf numFmtId="0" fontId="249" fillId="2" borderId="4" xfId="0" applyFont="1" applyFill="1" applyBorder="1" applyAlignment="1">
      <alignment horizontal="center" vertical="center"/>
    </xf>
    <xf numFmtId="0" fontId="249" fillId="2" borderId="5" xfId="0" applyFont="1" applyFill="1" applyBorder="1" applyAlignment="1">
      <alignment horizontal="center" vertical="center"/>
    </xf>
    <xf numFmtId="10" fontId="249" fillId="2" borderId="5" xfId="7" applyNumberFormat="1" applyFont="1" applyFill="1" applyBorder="1" applyAlignment="1">
      <alignment horizontal="center" vertical="center"/>
    </xf>
    <xf numFmtId="171" fontId="249" fillId="2" borderId="5" xfId="7" applyNumberFormat="1" applyFont="1" applyFill="1" applyBorder="1" applyAlignment="1">
      <alignment horizontal="center" vertical="center"/>
    </xf>
    <xf numFmtId="169" fontId="249" fillId="2" borderId="5" xfId="1" applyNumberFormat="1" applyFont="1" applyFill="1" applyBorder="1" applyAlignment="1">
      <alignment horizontal="center" vertical="center"/>
    </xf>
    <xf numFmtId="166" fontId="249" fillId="2" borderId="5" xfId="1" applyNumberFormat="1" applyFont="1" applyFill="1" applyBorder="1" applyAlignment="1">
      <alignment vertical="center"/>
    </xf>
    <xf numFmtId="166" fontId="249" fillId="2" borderId="0" xfId="1" applyNumberFormat="1" applyFont="1" applyFill="1" applyBorder="1" applyAlignment="1">
      <alignment vertical="center"/>
    </xf>
    <xf numFmtId="0" fontId="256" fillId="0" borderId="1" xfId="0" applyFont="1" applyFill="1" applyBorder="1" applyAlignment="1">
      <alignment horizontal="center" vertical="center"/>
    </xf>
    <xf numFmtId="0" fontId="256" fillId="0" borderId="1" xfId="0" applyFont="1" applyFill="1" applyBorder="1" applyAlignment="1">
      <alignment vertical="center"/>
    </xf>
    <xf numFmtId="10" fontId="256" fillId="0" borderId="1" xfId="7" applyNumberFormat="1" applyFont="1" applyFill="1" applyBorder="1" applyAlignment="1">
      <alignment horizontal="center" vertical="center"/>
    </xf>
    <xf numFmtId="14" fontId="256" fillId="0" borderId="1" xfId="0" applyNumberFormat="1" applyFont="1" applyFill="1" applyBorder="1" applyAlignment="1">
      <alignment horizontal="center" vertical="center"/>
    </xf>
    <xf numFmtId="166" fontId="256" fillId="0" borderId="1" xfId="1" applyNumberFormat="1" applyFont="1" applyFill="1" applyBorder="1" applyAlignment="1">
      <alignment vertical="center"/>
    </xf>
    <xf numFmtId="14" fontId="248" fillId="3" borderId="34" xfId="0" applyNumberFormat="1" applyFont="1" applyFill="1" applyBorder="1" applyAlignment="1">
      <alignment horizontal="left"/>
    </xf>
    <xf numFmtId="14" fontId="248" fillId="3" borderId="80" xfId="0" applyNumberFormat="1" applyFont="1" applyFill="1" applyBorder="1" applyAlignment="1">
      <alignment horizontal="center"/>
    </xf>
    <xf numFmtId="166" fontId="253" fillId="0" borderId="8" xfId="1" applyNumberFormat="1" applyFont="1" applyFill="1" applyBorder="1"/>
    <xf numFmtId="166" fontId="253" fillId="0" borderId="0" xfId="1" applyNumberFormat="1" applyFont="1" applyFill="1" applyBorder="1"/>
    <xf numFmtId="166" fontId="250" fillId="2" borderId="0" xfId="1" applyNumberFormat="1" applyFont="1" applyFill="1"/>
    <xf numFmtId="166" fontId="253" fillId="0" borderId="1" xfId="1" applyNumberFormat="1" applyFont="1" applyFill="1" applyBorder="1"/>
    <xf numFmtId="0" fontId="250" fillId="2" borderId="0" xfId="0" applyFont="1" applyFill="1" applyAlignment="1">
      <alignment vertical="center"/>
    </xf>
    <xf numFmtId="0" fontId="253" fillId="0" borderId="3" xfId="0" applyFont="1" applyFill="1" applyBorder="1"/>
    <xf numFmtId="166" fontId="253" fillId="0" borderId="3" xfId="1" applyNumberFormat="1" applyFont="1" applyBorder="1"/>
    <xf numFmtId="0" fontId="248" fillId="3" borderId="34" xfId="0" applyFont="1" applyFill="1" applyBorder="1" applyAlignment="1">
      <alignment horizontal="left"/>
    </xf>
    <xf numFmtId="0" fontId="260" fillId="2" borderId="0" xfId="3889" applyFont="1" applyFill="1" applyAlignment="1" applyProtection="1">
      <alignment vertical="center" wrapText="1"/>
    </xf>
    <xf numFmtId="0" fontId="260" fillId="0" borderId="0" xfId="3889" applyFont="1" applyFill="1" applyAlignment="1" applyProtection="1">
      <alignment vertical="center" wrapText="1"/>
    </xf>
    <xf numFmtId="166" fontId="253" fillId="0" borderId="3" xfId="1" applyNumberFormat="1" applyFont="1" applyFill="1" applyBorder="1" applyAlignment="1">
      <alignment vertical="center"/>
    </xf>
    <xf numFmtId="0" fontId="250" fillId="0" borderId="0" xfId="0" applyFont="1" applyFill="1" applyAlignment="1">
      <alignment horizontal="center"/>
    </xf>
    <xf numFmtId="0" fontId="250" fillId="0" borderId="0" xfId="0" applyFont="1" applyAlignment="1"/>
    <xf numFmtId="0" fontId="248" fillId="3" borderId="0" xfId="2" applyFont="1" applyFill="1" applyBorder="1" applyAlignment="1">
      <alignment horizontal="center" vertical="center" wrapText="1"/>
    </xf>
    <xf numFmtId="0" fontId="248" fillId="0" borderId="0" xfId="2" applyFont="1" applyFill="1" applyBorder="1" applyAlignment="1">
      <alignment horizontal="center" vertical="center" wrapText="1"/>
    </xf>
    <xf numFmtId="9" fontId="250" fillId="0" borderId="0" xfId="7" applyFont="1"/>
    <xf numFmtId="9" fontId="250" fillId="0" borderId="0" xfId="7" applyFont="1" applyFill="1"/>
    <xf numFmtId="166" fontId="253" fillId="0" borderId="0" xfId="1" applyNumberFormat="1" applyFont="1" applyFill="1"/>
    <xf numFmtId="166" fontId="250" fillId="0" borderId="0" xfId="1" applyNumberFormat="1" applyFont="1" applyFill="1" applyAlignment="1">
      <alignment horizontal="right"/>
    </xf>
    <xf numFmtId="172" fontId="253" fillId="0" borderId="1" xfId="1" applyNumberFormat="1" applyFont="1" applyFill="1" applyBorder="1"/>
    <xf numFmtId="165" fontId="250" fillId="0" borderId="0" xfId="1" applyNumberFormat="1" applyFont="1" applyFill="1"/>
    <xf numFmtId="166" fontId="250" fillId="0" borderId="0" xfId="7" applyNumberFormat="1" applyFont="1"/>
    <xf numFmtId="0" fontId="248" fillId="3" borderId="80" xfId="1" applyNumberFormat="1" applyFont="1" applyFill="1" applyBorder="1" applyAlignment="1">
      <alignment horizontal="center" vertical="center"/>
    </xf>
    <xf numFmtId="0" fontId="248" fillId="3" borderId="1" xfId="0" applyFont="1" applyFill="1" applyBorder="1" applyAlignment="1">
      <alignment vertical="center"/>
    </xf>
    <xf numFmtId="0" fontId="261" fillId="0" borderId="0" xfId="3887" applyFont="1"/>
    <xf numFmtId="49" fontId="253" fillId="0" borderId="8" xfId="1" applyNumberFormat="1" applyFont="1" applyFill="1" applyBorder="1" applyAlignment="1">
      <alignment horizontal="center" vertical="top" wrapText="1"/>
    </xf>
    <xf numFmtId="0" fontId="253" fillId="0" borderId="8" xfId="0" applyFont="1" applyFill="1" applyBorder="1" applyAlignment="1">
      <alignment vertical="center"/>
    </xf>
    <xf numFmtId="166" fontId="253" fillId="0" borderId="8" xfId="1" applyNumberFormat="1" applyFont="1" applyFill="1" applyBorder="1" applyAlignment="1">
      <alignment vertical="center"/>
    </xf>
    <xf numFmtId="49" fontId="256" fillId="2" borderId="0" xfId="1" applyNumberFormat="1" applyFont="1" applyFill="1" applyBorder="1" applyAlignment="1">
      <alignment horizontal="center" vertical="center"/>
    </xf>
    <xf numFmtId="0" fontId="253" fillId="2" borderId="0" xfId="0" applyFont="1" applyFill="1" applyAlignment="1">
      <alignment vertical="center"/>
    </xf>
    <xf numFmtId="166" fontId="256" fillId="2" borderId="0" xfId="1" applyNumberFormat="1" applyFont="1" applyFill="1" applyBorder="1" applyAlignment="1">
      <alignment vertical="center"/>
    </xf>
    <xf numFmtId="49" fontId="250" fillId="0" borderId="0" xfId="1" applyNumberFormat="1" applyFont="1" applyFill="1" applyBorder="1" applyAlignment="1">
      <alignment horizontal="center" vertical="center"/>
    </xf>
    <xf numFmtId="0" fontId="250" fillId="0" borderId="0" xfId="0" applyFont="1" applyFill="1" applyAlignment="1">
      <alignment vertical="center"/>
    </xf>
    <xf numFmtId="166" fontId="250" fillId="0" borderId="0" xfId="1" applyNumberFormat="1" applyFont="1" applyFill="1" applyBorder="1" applyAlignment="1">
      <alignment vertical="center"/>
    </xf>
    <xf numFmtId="166" fontId="261" fillId="0" borderId="0" xfId="3887" applyNumberFormat="1" applyFont="1"/>
    <xf numFmtId="49" fontId="249" fillId="2" borderId="0" xfId="1" applyNumberFormat="1" applyFont="1" applyFill="1" applyBorder="1" applyAlignment="1">
      <alignment horizontal="center" vertical="center"/>
    </xf>
    <xf numFmtId="49" fontId="256" fillId="0" borderId="1" xfId="1" applyNumberFormat="1" applyFont="1" applyFill="1" applyBorder="1" applyAlignment="1">
      <alignment horizontal="center" vertical="center"/>
    </xf>
    <xf numFmtId="0" fontId="253" fillId="0" borderId="1" xfId="0" applyFont="1" applyFill="1" applyBorder="1" applyAlignment="1">
      <alignment vertical="center"/>
    </xf>
    <xf numFmtId="166" fontId="253" fillId="0" borderId="1" xfId="1" applyNumberFormat="1" applyFont="1" applyFill="1" applyBorder="1" applyAlignment="1">
      <alignment vertical="center"/>
    </xf>
    <xf numFmtId="49" fontId="250" fillId="2" borderId="7" xfId="1" applyNumberFormat="1" applyFont="1" applyFill="1" applyBorder="1" applyAlignment="1">
      <alignment horizontal="center" vertical="center"/>
    </xf>
    <xf numFmtId="166" fontId="250" fillId="2" borderId="7" xfId="1" applyNumberFormat="1" applyFont="1" applyFill="1" applyBorder="1" applyAlignment="1">
      <alignment vertical="center"/>
    </xf>
    <xf numFmtId="49" fontId="253" fillId="2" borderId="0" xfId="1" applyNumberFormat="1" applyFont="1" applyFill="1" applyBorder="1" applyAlignment="1">
      <alignment horizontal="center" vertical="center"/>
    </xf>
    <xf numFmtId="166" fontId="253" fillId="2" borderId="0" xfId="1" applyNumberFormat="1" applyFont="1" applyFill="1" applyBorder="1" applyAlignment="1">
      <alignment vertical="center"/>
    </xf>
    <xf numFmtId="166" fontId="250" fillId="2" borderId="0" xfId="1" applyNumberFormat="1" applyFont="1" applyFill="1" applyBorder="1" applyAlignment="1">
      <alignment vertical="center"/>
    </xf>
    <xf numFmtId="49" fontId="256" fillId="0" borderId="0" xfId="1" applyNumberFormat="1" applyFont="1" applyFill="1" applyBorder="1" applyAlignment="1">
      <alignment horizontal="center" vertical="center"/>
    </xf>
    <xf numFmtId="0" fontId="253" fillId="0" borderId="0" xfId="0" applyFont="1" applyFill="1" applyAlignment="1">
      <alignment vertical="center"/>
    </xf>
    <xf numFmtId="166" fontId="253" fillId="0" borderId="0" xfId="1" applyNumberFormat="1" applyFont="1" applyFill="1" applyBorder="1" applyAlignment="1">
      <alignment vertical="center"/>
    </xf>
    <xf numFmtId="49" fontId="250" fillId="2" borderId="0" xfId="1" applyNumberFormat="1" applyFont="1" applyFill="1" applyBorder="1" applyAlignment="1">
      <alignment horizontal="center" vertical="center"/>
    </xf>
    <xf numFmtId="49" fontId="256" fillId="0" borderId="3" xfId="1" applyNumberFormat="1" applyFont="1" applyFill="1" applyBorder="1" applyAlignment="1">
      <alignment horizontal="center" vertical="center"/>
    </xf>
    <xf numFmtId="0" fontId="253" fillId="0" borderId="3" xfId="0" applyFont="1" applyFill="1" applyBorder="1" applyAlignment="1">
      <alignment vertical="center"/>
    </xf>
    <xf numFmtId="166" fontId="250" fillId="0" borderId="0" xfId="1" applyNumberFormat="1" applyFont="1" applyAlignment="1">
      <alignment horizontal="right" vertical="center"/>
    </xf>
    <xf numFmtId="0" fontId="250" fillId="0" borderId="0" xfId="0" applyFont="1" applyAlignment="1">
      <alignment vertical="center"/>
    </xf>
    <xf numFmtId="172" fontId="250" fillId="0" borderId="0" xfId="1" applyNumberFormat="1" applyFont="1" applyAlignment="1">
      <alignment horizontal="right" vertical="center"/>
    </xf>
    <xf numFmtId="166" fontId="253" fillId="0" borderId="1" xfId="1" applyNumberFormat="1" applyFont="1" applyFill="1" applyBorder="1" applyAlignment="1">
      <alignment horizontal="center" vertical="center"/>
    </xf>
    <xf numFmtId="166" fontId="250" fillId="2" borderId="0" xfId="1" applyNumberFormat="1" applyFont="1" applyFill="1" applyBorder="1" applyAlignment="1">
      <alignment horizontal="center" vertical="center"/>
    </xf>
    <xf numFmtId="166" fontId="250" fillId="2" borderId="0" xfId="1" applyNumberFormat="1" applyFont="1" applyFill="1" applyAlignment="1">
      <alignment vertical="center"/>
    </xf>
    <xf numFmtId="166" fontId="250" fillId="0" borderId="0" xfId="1" applyNumberFormat="1" applyFont="1" applyFill="1" applyBorder="1" applyAlignment="1">
      <alignment horizontal="center" vertical="center"/>
    </xf>
    <xf numFmtId="166" fontId="250" fillId="0" borderId="0" xfId="1" applyNumberFormat="1" applyFont="1" applyAlignment="1">
      <alignment vertical="center"/>
    </xf>
    <xf numFmtId="49" fontId="253" fillId="0" borderId="7" xfId="1" applyNumberFormat="1" applyFont="1" applyFill="1" applyBorder="1" applyAlignment="1">
      <alignment horizontal="center" vertical="center"/>
    </xf>
    <xf numFmtId="0" fontId="253" fillId="0" borderId="7" xfId="0" applyFont="1" applyFill="1" applyBorder="1" applyAlignment="1">
      <alignment vertical="center"/>
    </xf>
    <xf numFmtId="166" fontId="253" fillId="0" borderId="7" xfId="1" applyNumberFormat="1" applyFont="1" applyFill="1" applyBorder="1" applyAlignment="1">
      <alignment vertical="center"/>
    </xf>
    <xf numFmtId="49" fontId="253" fillId="0" borderId="8" xfId="7" applyNumberFormat="1" applyFont="1" applyFill="1" applyBorder="1" applyAlignment="1">
      <alignment horizontal="center" vertical="center"/>
    </xf>
    <xf numFmtId="9" fontId="253" fillId="0" borderId="8" xfId="7" applyFont="1" applyFill="1" applyBorder="1" applyAlignment="1">
      <alignment vertical="center"/>
    </xf>
    <xf numFmtId="166" fontId="253" fillId="0" borderId="8" xfId="7" applyNumberFormat="1" applyFont="1" applyFill="1" applyBorder="1" applyAlignment="1">
      <alignment horizontal="center" vertical="center"/>
    </xf>
    <xf numFmtId="166" fontId="253" fillId="0" borderId="8" xfId="7" applyNumberFormat="1" applyFont="1" applyFill="1" applyBorder="1" applyAlignment="1">
      <alignment vertical="center"/>
    </xf>
    <xf numFmtId="166" fontId="250" fillId="2" borderId="0" xfId="7" applyNumberFormat="1" applyFont="1" applyFill="1" applyBorder="1" applyAlignment="1">
      <alignment horizontal="center" vertical="center"/>
    </xf>
    <xf numFmtId="0" fontId="250" fillId="2" borderId="0" xfId="0" applyFont="1" applyFill="1" applyBorder="1" applyAlignment="1">
      <alignment vertical="center"/>
    </xf>
    <xf numFmtId="166" fontId="250" fillId="2" borderId="0" xfId="7" applyNumberFormat="1" applyFont="1" applyFill="1" applyBorder="1" applyAlignment="1">
      <alignment vertical="center"/>
    </xf>
    <xf numFmtId="166" fontId="249" fillId="0" borderId="0" xfId="7" applyNumberFormat="1" applyFont="1" applyFill="1" applyBorder="1" applyAlignment="1">
      <alignment horizontal="center" vertical="center"/>
    </xf>
    <xf numFmtId="0" fontId="250" fillId="0" borderId="0" xfId="0" applyFont="1" applyFill="1" applyBorder="1" applyAlignment="1">
      <alignment vertical="center"/>
    </xf>
    <xf numFmtId="166" fontId="249" fillId="0" borderId="0" xfId="7" applyNumberFormat="1" applyFont="1" applyFill="1" applyBorder="1" applyAlignment="1">
      <alignment vertical="center"/>
    </xf>
    <xf numFmtId="166" fontId="253" fillId="0" borderId="7" xfId="7" applyNumberFormat="1" applyFont="1" applyFill="1" applyBorder="1" applyAlignment="1">
      <alignment vertical="center"/>
    </xf>
    <xf numFmtId="165" fontId="250" fillId="0" borderId="0" xfId="1" applyNumberFormat="1" applyFont="1" applyAlignment="1"/>
    <xf numFmtId="165" fontId="250" fillId="0" borderId="0" xfId="1" applyNumberFormat="1" applyFont="1" applyFill="1" applyBorder="1"/>
    <xf numFmtId="166" fontId="256" fillId="0" borderId="1" xfId="1" applyNumberFormat="1" applyFont="1" applyFill="1" applyBorder="1"/>
    <xf numFmtId="166" fontId="256" fillId="0" borderId="0" xfId="1" applyNumberFormat="1" applyFont="1" applyFill="1" applyBorder="1"/>
    <xf numFmtId="3" fontId="250" fillId="0" borderId="0" xfId="0" applyNumberFormat="1" applyFont="1"/>
    <xf numFmtId="43" fontId="250" fillId="0" borderId="0" xfId="1" applyFont="1"/>
    <xf numFmtId="0" fontId="253" fillId="0" borderId="0" xfId="0" applyFont="1" applyFill="1"/>
    <xf numFmtId="41" fontId="253" fillId="0" borderId="0" xfId="1" applyNumberFormat="1" applyFont="1" applyFill="1"/>
    <xf numFmtId="41" fontId="250" fillId="0" borderId="0" xfId="1" applyNumberFormat="1" applyFont="1" applyFill="1"/>
    <xf numFmtId="0" fontId="250" fillId="0" borderId="0" xfId="0" applyFont="1" applyAlignment="1">
      <alignment horizontal="left"/>
    </xf>
    <xf numFmtId="41" fontId="255" fillId="0" borderId="0" xfId="1" applyNumberFormat="1" applyFont="1" applyFill="1"/>
    <xf numFmtId="166" fontId="250" fillId="0" borderId="0" xfId="0" applyNumberFormat="1" applyFont="1" applyFill="1"/>
    <xf numFmtId="165" fontId="253" fillId="0" borderId="0" xfId="1" applyNumberFormat="1" applyFont="1" applyFill="1"/>
    <xf numFmtId="0" fontId="259" fillId="70" borderId="0" xfId="0" applyFont="1" applyFill="1" applyAlignment="1">
      <alignment horizontal="center" vertical="center" wrapText="1"/>
    </xf>
    <xf numFmtId="167" fontId="263" fillId="71" borderId="0" xfId="7" applyNumberFormat="1" applyFont="1" applyFill="1" applyBorder="1" applyAlignment="1">
      <alignment horizontal="center" vertical="center"/>
    </xf>
    <xf numFmtId="167" fontId="264" fillId="0" borderId="82" xfId="7" applyNumberFormat="1" applyFont="1" applyBorder="1" applyAlignment="1">
      <alignment horizontal="center" vertical="center"/>
    </xf>
    <xf numFmtId="0" fontId="259" fillId="70" borderId="0" xfId="0" applyFont="1" applyFill="1" applyAlignment="1">
      <alignment vertical="center" wrapText="1"/>
    </xf>
    <xf numFmtId="0" fontId="263" fillId="71" borderId="0" xfId="0" applyFont="1" applyFill="1" applyAlignment="1">
      <alignment vertical="center"/>
    </xf>
    <xf numFmtId="0" fontId="264" fillId="0" borderId="82" xfId="0" applyFont="1" applyBorder="1" applyAlignment="1">
      <alignment vertical="center"/>
    </xf>
    <xf numFmtId="0" fontId="264" fillId="0" borderId="82" xfId="0" applyFont="1" applyBorder="1" applyAlignment="1">
      <alignment vertical="center" wrapText="1"/>
    </xf>
    <xf numFmtId="166" fontId="250" fillId="0" borderId="0" xfId="1" applyNumberFormat="1" applyFont="1" applyFill="1" applyAlignment="1">
      <alignment wrapText="1"/>
    </xf>
    <xf numFmtId="167" fontId="250" fillId="0" borderId="0" xfId="0" applyNumberFormat="1" applyFont="1"/>
    <xf numFmtId="0" fontId="247" fillId="0" borderId="0" xfId="0" applyFont="1"/>
    <xf numFmtId="0" fontId="8" fillId="0" borderId="0" xfId="0" applyFont="1" applyAlignment="1">
      <alignment horizontal="center"/>
    </xf>
    <xf numFmtId="166" fontId="8" fillId="0" borderId="0" xfId="1" applyNumberFormat="1" applyFont="1"/>
    <xf numFmtId="0" fontId="250" fillId="0" borderId="0" xfId="0" applyFont="1" applyAlignment="1">
      <alignment horizontal="center"/>
    </xf>
    <xf numFmtId="9" fontId="261" fillId="0" borderId="0" xfId="3887" applyNumberFormat="1" applyFont="1"/>
    <xf numFmtId="0" fontId="248" fillId="3" borderId="0" xfId="2" applyFont="1" applyFill="1" applyAlignment="1">
      <alignment horizontal="center" vertical="center" wrapText="1"/>
    </xf>
    <xf numFmtId="0" fontId="248" fillId="3" borderId="0" xfId="0" applyFont="1" applyFill="1" applyAlignment="1">
      <alignment horizontal="center" vertical="center"/>
    </xf>
    <xf numFmtId="0" fontId="8" fillId="0" borderId="0" xfId="3890" applyFont="1" applyAlignment="1">
      <alignment horizontal="center"/>
    </xf>
    <xf numFmtId="166" fontId="8" fillId="0" borderId="0" xfId="3891" applyNumberFormat="1" applyFont="1"/>
    <xf numFmtId="0" fontId="8" fillId="0" borderId="0" xfId="3890" applyFont="1"/>
    <xf numFmtId="0" fontId="9" fillId="0" borderId="0" xfId="3890" applyFont="1"/>
    <xf numFmtId="0" fontId="10" fillId="0" borderId="0" xfId="3890" applyFont="1" applyAlignment="1">
      <alignment horizontal="center" vertical="center"/>
    </xf>
    <xf numFmtId="0" fontId="250" fillId="0" borderId="0" xfId="3890" applyFont="1"/>
    <xf numFmtId="0" fontId="250" fillId="0" borderId="0" xfId="3890" applyFont="1" applyAlignment="1">
      <alignment horizontal="center"/>
    </xf>
    <xf numFmtId="3" fontId="250" fillId="0" borderId="0" xfId="3890" applyNumberFormat="1" applyFont="1"/>
    <xf numFmtId="165" fontId="250" fillId="0" borderId="0" xfId="3890" applyNumberFormat="1" applyFont="1"/>
    <xf numFmtId="0" fontId="255" fillId="0" borderId="0" xfId="3890" applyFont="1" applyAlignment="1">
      <alignment horizontal="left"/>
    </xf>
    <xf numFmtId="0" fontId="249" fillId="0" borderId="0" xfId="3890" applyFont="1"/>
    <xf numFmtId="0" fontId="253" fillId="0" borderId="0" xfId="3890" applyFont="1"/>
    <xf numFmtId="0" fontId="253" fillId="0" borderId="0" xfId="3890" applyFont="1" applyAlignment="1">
      <alignment horizontal="center"/>
    </xf>
    <xf numFmtId="0" fontId="249" fillId="0" borderId="0" xfId="3890" applyFont="1" applyAlignment="1">
      <alignment horizontal="center"/>
    </xf>
    <xf numFmtId="0" fontId="255" fillId="0" borderId="0" xfId="3890" applyFont="1"/>
    <xf numFmtId="0" fontId="255" fillId="0" borderId="0" xfId="3890" applyFont="1" applyAlignment="1">
      <alignment horizontal="center"/>
    </xf>
    <xf numFmtId="0" fontId="255" fillId="0" borderId="0" xfId="0" applyFont="1"/>
    <xf numFmtId="0" fontId="255" fillId="0" borderId="4" xfId="0" applyFont="1" applyBorder="1"/>
    <xf numFmtId="166" fontId="255" fillId="0" borderId="0" xfId="3891" applyNumberFormat="1" applyFont="1" applyFill="1" applyBorder="1"/>
    <xf numFmtId="166" fontId="249" fillId="0" borderId="0" xfId="3891" applyNumberFormat="1" applyFont="1" applyFill="1" applyBorder="1"/>
    <xf numFmtId="165" fontId="255" fillId="0" borderId="0" xfId="3890" applyNumberFormat="1" applyFont="1"/>
    <xf numFmtId="0" fontId="253" fillId="2" borderId="0" xfId="3890" applyFont="1" applyFill="1" applyAlignment="1">
      <alignment horizontal="center"/>
    </xf>
    <xf numFmtId="0" fontId="253" fillId="2" borderId="0" xfId="3890" applyFont="1" applyFill="1" applyAlignment="1">
      <alignment horizontal="left"/>
    </xf>
    <xf numFmtId="168" fontId="248" fillId="3" borderId="0" xfId="3890" applyNumberFormat="1" applyFont="1" applyFill="1" applyAlignment="1">
      <alignment horizontal="center" vertical="center" wrapText="1"/>
    </xf>
    <xf numFmtId="0" fontId="254" fillId="0" borderId="0" xfId="3890" applyFont="1" applyAlignment="1">
      <alignment horizontal="left" vertical="center"/>
    </xf>
    <xf numFmtId="0" fontId="248" fillId="0" borderId="0" xfId="3890" applyFont="1" applyAlignment="1">
      <alignment horizontal="center" vertical="center"/>
    </xf>
    <xf numFmtId="167" fontId="253" fillId="0" borderId="8" xfId="7" applyNumberFormat="1" applyFont="1" applyFill="1" applyBorder="1" applyAlignment="1">
      <alignment vertical="center"/>
    </xf>
    <xf numFmtId="0" fontId="254" fillId="0" borderId="0" xfId="2" applyFont="1" applyFill="1" applyBorder="1" applyAlignment="1">
      <alignment horizontal="left" vertical="center"/>
    </xf>
    <xf numFmtId="0" fontId="250" fillId="0" borderId="0" xfId="0" applyFont="1" applyAlignment="1">
      <alignment horizontal="center"/>
    </xf>
    <xf numFmtId="0" fontId="249" fillId="2" borderId="4" xfId="0" applyFont="1" applyFill="1" applyBorder="1" applyAlignment="1">
      <alignment horizontal="left" vertical="center"/>
    </xf>
    <xf numFmtId="166" fontId="8" fillId="0" borderId="0" xfId="3890" applyNumberFormat="1" applyFont="1"/>
    <xf numFmtId="352" fontId="266" fillId="0" borderId="0" xfId="55" applyNumberFormat="1" applyFont="1" applyFill="1" applyAlignment="1">
      <alignment horizontal="center"/>
    </xf>
    <xf numFmtId="0" fontId="250" fillId="0" borderId="0" xfId="0" applyFont="1" applyAlignment="1">
      <alignment horizontal="center"/>
    </xf>
    <xf numFmtId="9" fontId="253" fillId="0" borderId="8" xfId="7" applyNumberFormat="1" applyFont="1" applyFill="1" applyBorder="1" applyAlignment="1">
      <alignment vertical="center"/>
    </xf>
    <xf numFmtId="0" fontId="259" fillId="70" borderId="0" xfId="0" applyFont="1" applyFill="1" applyBorder="1" applyAlignment="1">
      <alignment horizontal="center" vertical="center" wrapText="1"/>
    </xf>
    <xf numFmtId="0" fontId="259" fillId="70" borderId="84" xfId="0" applyFont="1" applyFill="1" applyBorder="1" applyAlignment="1">
      <alignment horizontal="center" vertical="center" wrapText="1"/>
    </xf>
    <xf numFmtId="167" fontId="263" fillId="71" borderId="85" xfId="7" applyNumberFormat="1" applyFont="1" applyFill="1" applyBorder="1" applyAlignment="1">
      <alignment horizontal="center" vertical="center"/>
    </xf>
    <xf numFmtId="167" fontId="264" fillId="0" borderId="86" xfId="7" applyNumberFormat="1" applyFont="1" applyBorder="1" applyAlignment="1">
      <alignment horizontal="center" vertical="center"/>
    </xf>
    <xf numFmtId="167" fontId="264" fillId="0" borderId="87" xfId="7" applyNumberFormat="1" applyFont="1" applyBorder="1" applyAlignment="1">
      <alignment horizontal="center" vertical="center"/>
    </xf>
    <xf numFmtId="0" fontId="250" fillId="0" borderId="0" xfId="0" applyFont="1" applyAlignment="1">
      <alignment horizontal="center"/>
    </xf>
    <xf numFmtId="0" fontId="254" fillId="0" borderId="0" xfId="2" applyFont="1" applyFill="1" applyBorder="1" applyAlignment="1">
      <alignment horizontal="left" vertical="center"/>
    </xf>
    <xf numFmtId="0" fontId="250" fillId="0" borderId="0" xfId="0" applyFont="1" applyFill="1" applyAlignment="1">
      <alignment horizontal="center"/>
    </xf>
    <xf numFmtId="0" fontId="250" fillId="0" borderId="0" xfId="0" applyFont="1" applyFill="1" applyAlignment="1">
      <alignment horizontal="center" wrapText="1"/>
    </xf>
    <xf numFmtId="165" fontId="250" fillId="0" borderId="0" xfId="1" applyNumberFormat="1" applyFont="1" applyAlignment="1">
      <alignment horizontal="center"/>
    </xf>
    <xf numFmtId="0" fontId="12" fillId="0" borderId="0" xfId="3890" applyFont="1" applyAlignment="1">
      <alignment horizontal="left" vertical="center"/>
    </xf>
    <xf numFmtId="0" fontId="254" fillId="0" borderId="0" xfId="3890" applyFont="1" applyAlignment="1">
      <alignment horizontal="left" vertical="center"/>
    </xf>
    <xf numFmtId="0" fontId="248" fillId="3" borderId="0" xfId="3890" applyFont="1" applyFill="1" applyAlignment="1">
      <alignment horizontal="left" vertical="center" wrapText="1"/>
    </xf>
    <xf numFmtId="0" fontId="250" fillId="0" borderId="0" xfId="2" applyFont="1" applyFill="1" applyAlignment="1">
      <alignment horizontal="center"/>
    </xf>
    <xf numFmtId="0" fontId="250" fillId="0" borderId="0" xfId="2" applyFont="1" applyAlignment="1">
      <alignment horizontal="center"/>
    </xf>
  </cellXfs>
  <cellStyles count="3892">
    <cellStyle name="_x0013_" xfId="78" xr:uid="{00000000-0005-0000-0000-000000000000}"/>
    <cellStyle name="-" xfId="79" xr:uid="{00000000-0005-0000-0000-000001000000}"/>
    <cellStyle name="_x0013_ 2" xfId="80" xr:uid="{00000000-0005-0000-0000-000002000000}"/>
    <cellStyle name="_x0013_ 3" xfId="81" xr:uid="{00000000-0005-0000-0000-000003000000}"/>
    <cellStyle name="_x0013_ 4" xfId="82" xr:uid="{00000000-0005-0000-0000-000004000000}"/>
    <cellStyle name="_x000a_386grabber=M" xfId="83" xr:uid="{00000000-0005-0000-0000-000005000000}"/>
    <cellStyle name="_x000a_386grabber=M 2" xfId="84" xr:uid="{00000000-0005-0000-0000-000006000000}"/>
    <cellStyle name="_x000a_shell=progma" xfId="85" xr:uid="{00000000-0005-0000-0000-000007000000}"/>
    <cellStyle name="&quot;X&quot; MEN" xfId="86" xr:uid="{00000000-0005-0000-0000-000008000000}"/>
    <cellStyle name="#,##-" xfId="87" xr:uid="{00000000-0005-0000-0000-000009000000}"/>
    <cellStyle name="#,##- 2" xfId="88" xr:uid="{00000000-0005-0000-0000-00000A000000}"/>
    <cellStyle name="#,##0" xfId="89" xr:uid="{00000000-0005-0000-0000-00000B000000}"/>
    <cellStyle name="#,##0 2" xfId="90" xr:uid="{00000000-0005-0000-0000-00000C000000}"/>
    <cellStyle name="#,##0%" xfId="91" xr:uid="{00000000-0005-0000-0000-00000D000000}"/>
    <cellStyle name="#,##0% 2" xfId="92" xr:uid="{00000000-0005-0000-0000-00000E000000}"/>
    <cellStyle name="#,##0.0%" xfId="93" xr:uid="{00000000-0005-0000-0000-00000F000000}"/>
    <cellStyle name="#,##0.0% 2" xfId="94" xr:uid="{00000000-0005-0000-0000-000010000000}"/>
    <cellStyle name="#,##0_),(#,##0)" xfId="95" xr:uid="{00000000-0005-0000-0000-000011000000}"/>
    <cellStyle name="$" xfId="96" xr:uid="{00000000-0005-0000-0000-000012000000}"/>
    <cellStyle name="$ 2" xfId="97" xr:uid="{00000000-0005-0000-0000-000013000000}"/>
    <cellStyle name="$_01 AVP_ Project Infinitum" xfId="98" xr:uid="{00000000-0005-0000-0000-000014000000}"/>
    <cellStyle name="$_01_WACC Colombia_Analysis" xfId="99" xr:uid="{00000000-0005-0000-0000-000015000000}"/>
    <cellStyle name="$_04 WACC Vivax" xfId="100" xr:uid="{00000000-0005-0000-0000-000016000000}"/>
    <cellStyle name="$_avp" xfId="101" xr:uid="{00000000-0005-0000-0000-000017000000}"/>
    <cellStyle name="$_AVP_ NewCo" xfId="102" xr:uid="{00000000-0005-0000-0000-000018000000}"/>
    <cellStyle name="$_Método_Valuation Model_UBS Pactual_Reuniao WT" xfId="103" xr:uid="{00000000-0005-0000-0000-000019000000}"/>
    <cellStyle name="$_Sovereign Bonds 060705" xfId="104" xr:uid="{00000000-0005-0000-0000-00001A000000}"/>
    <cellStyle name="$_Sovereign Bonds 060705 (version 1)" xfId="105" xr:uid="{00000000-0005-0000-0000-00001B000000}"/>
    <cellStyle name="$_Sovereign Bonds 060705 (version 1) 2" xfId="106" xr:uid="{00000000-0005-0000-0000-00001C000000}"/>
    <cellStyle name="$_Sovereign Bonds 060705 (version 1)_01 NET DCF Model" xfId="107" xr:uid="{00000000-0005-0000-0000-00001D000000}"/>
    <cellStyle name="$_Sovereign Bonds 060705 (version 1)_03 Embratel DCF Model_Loscos" xfId="108" xr:uid="{00000000-0005-0000-0000-00001E000000}"/>
    <cellStyle name="$_Sovereign Bonds 060705 (version 1)_03 Embratel DCF Model_Loscos 2" xfId="109" xr:uid="{00000000-0005-0000-0000-00001F000000}"/>
    <cellStyle name="$_Sovereign Bonds 060705 (version 1)_05 NET DCF Model" xfId="110" xr:uid="{00000000-0005-0000-0000-000020000000}"/>
    <cellStyle name="$_Sovereign Bonds 060705 (version 1)_05 TMX Brazil DCF Model" xfId="111" xr:uid="{00000000-0005-0000-0000-000021000000}"/>
    <cellStyle name="$_Sovereign Bonds 060705 (version 1)_Consolidação" xfId="112" xr:uid="{00000000-0005-0000-0000-000022000000}"/>
    <cellStyle name="$_Sovereign Bonds 060705 (version 1)_Consolidação 2" xfId="113" xr:uid="{00000000-0005-0000-0000-000023000000}"/>
    <cellStyle name="$_Sovereign Bonds 060705 (version 1)_Consolidação IMOB" xfId="114" xr:uid="{00000000-0005-0000-0000-000024000000}"/>
    <cellStyle name="$_Sovereign Bonds 060705 (version 1)_Consolidação IMOB 2" xfId="115" xr:uid="{00000000-0005-0000-0000-000025000000}"/>
    <cellStyle name="$_Sovereign Bonds 060705 (version 1)_Estudo de Viabilidade -IMOB Henri" xfId="116" xr:uid="{00000000-0005-0000-0000-000026000000}"/>
    <cellStyle name="$_Sovereign Bonds 060705 (version 1)_Estudo de Viabilidade -IMOB Henri 2" xfId="117" xr:uid="{00000000-0005-0000-0000-000027000000}"/>
    <cellStyle name="$_Sovereign Bonds 060705 (version 1)_FP 100" xfId="118" xr:uid="{00000000-0005-0000-0000-000028000000}"/>
    <cellStyle name="$_Sovereign Bonds 060705 (version 1)_FP 100 2" xfId="119" xr:uid="{00000000-0005-0000-0000-000029000000}"/>
    <cellStyle name="$_Sovereign Bonds 060705 (version 1)_Península" xfId="120" xr:uid="{00000000-0005-0000-0000-00002A000000}"/>
    <cellStyle name="$_Sovereign Bonds 060705 (version 1)_Península 2" xfId="121" xr:uid="{00000000-0005-0000-0000-00002B000000}"/>
    <cellStyle name="$_Sovereign Bonds 060705 (version 1)_Peninsula_0510" xfId="122" xr:uid="{00000000-0005-0000-0000-00002C000000}"/>
    <cellStyle name="$_Sovereign Bonds 060705 (version 1)_Peninsula_0510 2" xfId="123" xr:uid="{00000000-0005-0000-0000-00002D000000}"/>
    <cellStyle name="$_Sovereign Bonds 060705 (version 1)_Resumo Juros e Variações" xfId="124" xr:uid="{00000000-0005-0000-0000-00002E000000}"/>
    <cellStyle name="$_Sovereign Bonds 060705 (version 1)_Resumo Juros e Variações 2" xfId="125" xr:uid="{00000000-0005-0000-0000-00002F000000}"/>
    <cellStyle name="$_Sovereign Bonds 060705 2" xfId="126" xr:uid="{00000000-0005-0000-0000-000030000000}"/>
    <cellStyle name="$_Sovereign Bonds 060705 3" xfId="127" xr:uid="{00000000-0005-0000-0000-000031000000}"/>
    <cellStyle name="$_Sovereign Bonds 060705 4" xfId="128" xr:uid="{00000000-0005-0000-0000-000032000000}"/>
    <cellStyle name="$_Sovereign Bonds 060705_1" xfId="129" xr:uid="{00000000-0005-0000-0000-000033000000}"/>
    <cellStyle name="$_Sovereign Bonds 060705_1 2" xfId="130" xr:uid="{00000000-0005-0000-0000-000034000000}"/>
    <cellStyle name="$_Sovereign Bonds 060705_1_01 NET DCF Model" xfId="131" xr:uid="{00000000-0005-0000-0000-000035000000}"/>
    <cellStyle name="$_Sovereign Bonds 060705_1_03 Embratel DCF Model_Loscos" xfId="132" xr:uid="{00000000-0005-0000-0000-000036000000}"/>
    <cellStyle name="$_Sovereign Bonds 060705_1_03 Embratel DCF Model_Loscos 2" xfId="133" xr:uid="{00000000-0005-0000-0000-000037000000}"/>
    <cellStyle name="$_Sovereign Bonds 060705_1_05 NET DCF Model" xfId="134" xr:uid="{00000000-0005-0000-0000-000038000000}"/>
    <cellStyle name="$_Sovereign Bonds 060705_1_05 TMX Brazil DCF Model" xfId="135" xr:uid="{00000000-0005-0000-0000-000039000000}"/>
    <cellStyle name="$_Sovereign Bonds 060705_1_Consolidação" xfId="136" xr:uid="{00000000-0005-0000-0000-00003A000000}"/>
    <cellStyle name="$_Sovereign Bonds 060705_1_Consolidação 2" xfId="137" xr:uid="{00000000-0005-0000-0000-00003B000000}"/>
    <cellStyle name="$_Sovereign Bonds 060705_1_Consolidação IMOB" xfId="138" xr:uid="{00000000-0005-0000-0000-00003C000000}"/>
    <cellStyle name="$_Sovereign Bonds 060705_1_Consolidação IMOB 2" xfId="139" xr:uid="{00000000-0005-0000-0000-00003D000000}"/>
    <cellStyle name="$_Sovereign Bonds 060705_1_Estudo de Viabilidade -IMOB Henri" xfId="140" xr:uid="{00000000-0005-0000-0000-00003E000000}"/>
    <cellStyle name="$_Sovereign Bonds 060705_1_Estudo de Viabilidade -IMOB Henri 2" xfId="141" xr:uid="{00000000-0005-0000-0000-00003F000000}"/>
    <cellStyle name="$_Sovereign Bonds 060705_1_FP 100" xfId="142" xr:uid="{00000000-0005-0000-0000-000040000000}"/>
    <cellStyle name="$_Sovereign Bonds 060705_1_FP 100 2" xfId="143" xr:uid="{00000000-0005-0000-0000-000041000000}"/>
    <cellStyle name="$_Sovereign Bonds 060705_1_Península" xfId="144" xr:uid="{00000000-0005-0000-0000-000042000000}"/>
    <cellStyle name="$_Sovereign Bonds 060705_1_Península 2" xfId="145" xr:uid="{00000000-0005-0000-0000-000043000000}"/>
    <cellStyle name="$_Sovereign Bonds 060705_1_Peninsula_0510" xfId="146" xr:uid="{00000000-0005-0000-0000-000044000000}"/>
    <cellStyle name="$_Sovereign Bonds 060705_1_Peninsula_0510 2" xfId="147" xr:uid="{00000000-0005-0000-0000-000045000000}"/>
    <cellStyle name="$_Sovereign Bonds 060705_1_Resumo Juros e Variações" xfId="148" xr:uid="{00000000-0005-0000-0000-000046000000}"/>
    <cellStyle name="$_Sovereign Bonds 060705_1_Resumo Juros e Variações 2" xfId="149" xr:uid="{00000000-0005-0000-0000-000047000000}"/>
    <cellStyle name="$_Suporte_B" xfId="150" xr:uid="{00000000-0005-0000-0000-000048000000}"/>
    <cellStyle name="$_WACC_AES Tiete_16Nov07" xfId="151" xr:uid="{00000000-0005-0000-0000-000049000000}"/>
    <cellStyle name="$0" xfId="152" xr:uid="{00000000-0005-0000-0000-00004A000000}"/>
    <cellStyle name="$0,000" xfId="153" xr:uid="{00000000-0005-0000-0000-00004B000000}"/>
    <cellStyle name="$0,000 2" xfId="154" xr:uid="{00000000-0005-0000-0000-00004C000000}"/>
    <cellStyle name="$0,000.0" xfId="155" xr:uid="{00000000-0005-0000-0000-00004D000000}"/>
    <cellStyle name="$0,000.0 2" xfId="156" xr:uid="{00000000-0005-0000-0000-00004E000000}"/>
    <cellStyle name="$0,000.00" xfId="157" xr:uid="{00000000-0005-0000-0000-00004F000000}"/>
    <cellStyle name="$0,000.00 2" xfId="158" xr:uid="{00000000-0005-0000-0000-000050000000}"/>
    <cellStyle name="$0,000.000" xfId="159" xr:uid="{00000000-0005-0000-0000-000051000000}"/>
    <cellStyle name="$0,000.0000" xfId="160" xr:uid="{00000000-0005-0000-0000-000052000000}"/>
    <cellStyle name="$0,000_Consolidação" xfId="161" xr:uid="{00000000-0005-0000-0000-000053000000}"/>
    <cellStyle name="$0.00" xfId="162" xr:uid="{00000000-0005-0000-0000-000054000000}"/>
    <cellStyle name="$0.000" xfId="163" xr:uid="{00000000-0005-0000-0000-000055000000}"/>
    <cellStyle name="$0.0000" xfId="164" xr:uid="{00000000-0005-0000-0000-000056000000}"/>
    <cellStyle name="$0_Consolidação" xfId="165" xr:uid="{00000000-0005-0000-0000-000057000000}"/>
    <cellStyle name="$m" xfId="166" xr:uid="{00000000-0005-0000-0000-000058000000}"/>
    <cellStyle name="$q" xfId="167" xr:uid="{00000000-0005-0000-0000-000059000000}"/>
    <cellStyle name="$q*" xfId="168" xr:uid="{00000000-0005-0000-0000-00005A000000}"/>
    <cellStyle name="$q_AVP" xfId="169" xr:uid="{00000000-0005-0000-0000-00005B000000}"/>
    <cellStyle name="$qA" xfId="170" xr:uid="{00000000-0005-0000-0000-00005C000000}"/>
    <cellStyle name="$qRange" xfId="171" xr:uid="{00000000-0005-0000-0000-00005D000000}"/>
    <cellStyle name="%" xfId="172" xr:uid="{00000000-0005-0000-0000-00005E000000}"/>
    <cellStyle name="% [2]" xfId="173" xr:uid="{00000000-0005-0000-0000-00005F000000}"/>
    <cellStyle name="% [2] 2" xfId="174" xr:uid="{00000000-0005-0000-0000-000060000000}"/>
    <cellStyle name="% 2" xfId="175" xr:uid="{00000000-0005-0000-0000-000061000000}"/>
    <cellStyle name="% 3" xfId="176" xr:uid="{00000000-0005-0000-0000-000062000000}"/>
    <cellStyle name="% 4" xfId="177" xr:uid="{00000000-0005-0000-0000-000063000000}"/>
    <cellStyle name="(0%) &quot; - &quot;" xfId="178" xr:uid="{00000000-0005-0000-0000-000064000000}"/>
    <cellStyle name="(0,000) &quot; - &quot;" xfId="179" xr:uid="{00000000-0005-0000-0000-000065000000}"/>
    <cellStyle name="******************************************" xfId="180" xr:uid="{00000000-0005-0000-0000-000066000000}"/>
    <cellStyle name=";;;" xfId="181" xr:uid="{00000000-0005-0000-0000-000067000000}"/>
    <cellStyle name=";ome" xfId="182" xr:uid="{00000000-0005-0000-0000-000068000000}"/>
    <cellStyle name="]_x000d__x000a_Zoomed=1_x000d__x000a_Row=0_x000d__x000a_Column=0_x000d__x000a_Height=0_x000d__x000a_Width=0_x000d__x000a_FontName=FoxFont_x000d__x000a_FontStyle=0_x000d__x000a_FontSize=9_x000d__x000a_PrtFontName=FoxPrin" xfId="183" xr:uid="{00000000-0005-0000-0000-000069000000}"/>
    <cellStyle name="]_x000d__x000a_Zoomed=1_x000d__x000a_Row=0_x000d__x000a_Column=0_x000d__x000a_Height=0_x000d__x000a_Width=0_x000d__x000a_FontName=FoxFont_x000d__x000a_FontStyle=0_x000d__x000a_FontSize=9_x000d__x000a_PrtFontName=FoxPrin 2" xfId="184" xr:uid="{00000000-0005-0000-0000-00006A000000}"/>
    <cellStyle name="_ heading$" xfId="185" xr:uid="{00000000-0005-0000-0000-00006B000000}"/>
    <cellStyle name="_ heading$ 2" xfId="186" xr:uid="{00000000-0005-0000-0000-00006C000000}"/>
    <cellStyle name="_ heading%" xfId="187" xr:uid="{00000000-0005-0000-0000-00006D000000}"/>
    <cellStyle name="_ heading% 2" xfId="188" xr:uid="{00000000-0005-0000-0000-00006E000000}"/>
    <cellStyle name="_ heading£" xfId="189" xr:uid="{00000000-0005-0000-0000-00006F000000}"/>
    <cellStyle name="_ heading£ 2" xfId="190" xr:uid="{00000000-0005-0000-0000-000070000000}"/>
    <cellStyle name="_ heading¥" xfId="191" xr:uid="{00000000-0005-0000-0000-000071000000}"/>
    <cellStyle name="_ heading¥ 2" xfId="192" xr:uid="{00000000-0005-0000-0000-000072000000}"/>
    <cellStyle name="_%(SignOnly)" xfId="193" xr:uid="{00000000-0005-0000-0000-000073000000}"/>
    <cellStyle name="_%(SignOnly) 2" xfId="194" xr:uid="{00000000-0005-0000-0000-000074000000}"/>
    <cellStyle name="_%(SignOnly)_AP Mobile Demand Check File 4Q w.Pakistan" xfId="195" xr:uid="{00000000-0005-0000-0000-000075000000}"/>
    <cellStyle name="_%(SignOnly)_Copy of AP Mobile Demand Check File 4Q2005 v.final" xfId="196" xr:uid="{00000000-0005-0000-0000-000076000000}"/>
    <cellStyle name="_%(SignOnly)_Definitions" xfId="197" xr:uid="{00000000-0005-0000-0000-000077000000}"/>
    <cellStyle name="_%(SignOnly)_PakistabMob2005" xfId="198" xr:uid="{00000000-0005-0000-0000-000078000000}"/>
    <cellStyle name="_%(SignOnly)_PakistabMob2005 2" xfId="199" xr:uid="{00000000-0005-0000-0000-000079000000}"/>
    <cellStyle name="_%(SignOnly)_Pyramid LA3Q05" xfId="200" xr:uid="{00000000-0005-0000-0000-00007A000000}"/>
    <cellStyle name="_%(SignOnly)_Pyramid LA3Q05 2" xfId="201" xr:uid="{00000000-0005-0000-0000-00007B000000}"/>
    <cellStyle name="_%(SignSpaceOnly)" xfId="202" xr:uid="{00000000-0005-0000-0000-00007C000000}"/>
    <cellStyle name="_%(SignSpaceOnly) 2" xfId="203" xr:uid="{00000000-0005-0000-0000-00007D000000}"/>
    <cellStyle name="_%(SignSpaceOnly)_AP Mobile Demand Check File 4Q w.Pakistan" xfId="204" xr:uid="{00000000-0005-0000-0000-00007E000000}"/>
    <cellStyle name="_%(SignSpaceOnly)_Copy of AP Mobile Demand Check File 4Q2005 v.final" xfId="205" xr:uid="{00000000-0005-0000-0000-00007F000000}"/>
    <cellStyle name="_%(SignSpaceOnly)_Definitions" xfId="206" xr:uid="{00000000-0005-0000-0000-000080000000}"/>
    <cellStyle name="_%(SignSpaceOnly)_PakistabMob2005" xfId="207" xr:uid="{00000000-0005-0000-0000-000081000000}"/>
    <cellStyle name="_%(SignSpaceOnly)_PakistabMob2005 2" xfId="208" xr:uid="{00000000-0005-0000-0000-000082000000}"/>
    <cellStyle name="_%(SignSpaceOnly)_Pyramid LA3Q05" xfId="209" xr:uid="{00000000-0005-0000-0000-000083000000}"/>
    <cellStyle name="_%(SignSpaceOnly)_Pyramid LA3Q05 2" xfId="210" xr:uid="{00000000-0005-0000-0000-000084000000}"/>
    <cellStyle name="_~1445599" xfId="211" xr:uid="{00000000-0005-0000-0000-000085000000}"/>
    <cellStyle name="_~1445599 2" xfId="212" xr:uid="{00000000-0005-0000-0000-000086000000}"/>
    <cellStyle name="_Add-in WS" xfId="213" xr:uid="{00000000-0005-0000-0000-000087000000}"/>
    <cellStyle name="_Add-in WS 2" xfId="214" xr:uid="{00000000-0005-0000-0000-000088000000}"/>
    <cellStyle name="_AllocInt" xfId="215" xr:uid="{00000000-0005-0000-0000-000089000000}"/>
    <cellStyle name="_AllocInt 2" xfId="216" xr:uid="{00000000-0005-0000-0000-00008A000000}"/>
    <cellStyle name="_AllocInt_Copy of CNL Consolidated model_v.FPL_v37" xfId="217" xr:uid="{00000000-0005-0000-0000-00008B000000}"/>
    <cellStyle name="_AllocInt_Copy of CNL Consolidated model_v.FPL_v37 2" xfId="218" xr:uid="{00000000-0005-0000-0000-00008C000000}"/>
    <cellStyle name="_AllocInt_Copy of CNL Consolidated model_v.FPL_v37_Exelon Power Fuel Forecast - Project P 6-11-2004 ver21" xfId="219" xr:uid="{00000000-0005-0000-0000-00008D000000}"/>
    <cellStyle name="_AllocInt_Copy of CNL Consolidated model_v.FPL_v37_Exelon Power Fuel Forecast - Project P 6-11-2004 ver21 2" xfId="220" xr:uid="{00000000-0005-0000-0000-00008E000000}"/>
    <cellStyle name="_AllocInt_Copy of CNL Consolidated model_v.FPL_v37_ML Outputs" xfId="221" xr:uid="{00000000-0005-0000-0000-00008F000000}"/>
    <cellStyle name="_AllocInt_Copy of CNL Consolidated model_v.FPL_v37_ML Outputs 2" xfId="222" xr:uid="{00000000-0005-0000-0000-000090000000}"/>
    <cellStyle name="_AllocInt_Copy of CNL Consolidated model_v.FPL_v37_Project Forest Pro Forma Model v58" xfId="223" xr:uid="{00000000-0005-0000-0000-000091000000}"/>
    <cellStyle name="_AllocInt_Copy of CNL Consolidated model_v.FPL_v37_Project Forest Pro Forma Model v58 2" xfId="224" xr:uid="{00000000-0005-0000-0000-000092000000}"/>
    <cellStyle name="_AllocInt_D_Consolidated2" xfId="225" xr:uid="{00000000-0005-0000-0000-000093000000}"/>
    <cellStyle name="_AllocInt_D_Consolidated2 2" xfId="226" xr:uid="{00000000-0005-0000-0000-000094000000}"/>
    <cellStyle name="_AllocInt_Model v9.8" xfId="227" xr:uid="{00000000-0005-0000-0000-000095000000}"/>
    <cellStyle name="_AllocInt_Model v9.8 2" xfId="228" xr:uid="{00000000-0005-0000-0000-000096000000}"/>
    <cellStyle name="_AllocInt_Mutilples Template2" xfId="229" xr:uid="{00000000-0005-0000-0000-000097000000}"/>
    <cellStyle name="_AllocInt_Mutilples Template2 2" xfId="230" xr:uid="{00000000-0005-0000-0000-000098000000}"/>
    <cellStyle name="_AllocInt_Mutilples Template2_Exelon Power Fuel Forecast - Project P 6-11-2004 ver21" xfId="231" xr:uid="{00000000-0005-0000-0000-000099000000}"/>
    <cellStyle name="_AllocInt_Mutilples Template2_Exelon Power Fuel Forecast - Project P 6-11-2004 ver21 2" xfId="232" xr:uid="{00000000-0005-0000-0000-00009A000000}"/>
    <cellStyle name="_AllocInt_Mutilples Template2_ML Outputs" xfId="233" xr:uid="{00000000-0005-0000-0000-00009B000000}"/>
    <cellStyle name="_AllocInt_Mutilples Template2_ML Outputs 2" xfId="234" xr:uid="{00000000-0005-0000-0000-00009C000000}"/>
    <cellStyle name="_AllocInt_Mutilples Template2_Project Forest Pro Forma Model v58" xfId="235" xr:uid="{00000000-0005-0000-0000-00009D000000}"/>
    <cellStyle name="_AllocInt_Mutilples Template2_Project Forest Pro Forma Model v58 2" xfId="236" xr:uid="{00000000-0005-0000-0000-00009E000000}"/>
    <cellStyle name="_AllocInt_pom consolidated v3" xfId="237" xr:uid="{00000000-0005-0000-0000-00009F000000}"/>
    <cellStyle name="_AllocInt_pom consolidated v3 2" xfId="238" xr:uid="{00000000-0005-0000-0000-0000A0000000}"/>
    <cellStyle name="_AllocInt_pom consolidated v3_Exelon Power Fuel Forecast - Project P 6-11-2004 ver21" xfId="239" xr:uid="{00000000-0005-0000-0000-0000A1000000}"/>
    <cellStyle name="_AllocInt_pom consolidated v3_Exelon Power Fuel Forecast - Project P 6-11-2004 ver21 2" xfId="240" xr:uid="{00000000-0005-0000-0000-0000A2000000}"/>
    <cellStyle name="_AllocInt_pom consolidated v3_ML Outputs" xfId="241" xr:uid="{00000000-0005-0000-0000-0000A3000000}"/>
    <cellStyle name="_AllocInt_pom consolidated v3_ML Outputs 2" xfId="242" xr:uid="{00000000-0005-0000-0000-0000A4000000}"/>
    <cellStyle name="_AllocInt_pom consolidated v3_Project Forest Pro Forma Model v58" xfId="243" xr:uid="{00000000-0005-0000-0000-0000A5000000}"/>
    <cellStyle name="_AllocInt_pom consolidated v3_Project Forest Pro Forma Model v58 2" xfId="244" xr:uid="{00000000-0005-0000-0000-0000A6000000}"/>
    <cellStyle name="_Apoio Jessyca" xfId="245" xr:uid="{00000000-0005-0000-0000-0000A7000000}"/>
    <cellStyle name="_Apoio Jessyca 2" xfId="246" xr:uid="{00000000-0005-0000-0000-0000A8000000}"/>
    <cellStyle name="_Apoio v3" xfId="247" xr:uid="{00000000-0005-0000-0000-0000A9000000}"/>
    <cellStyle name="_Archer TD 1000MW 05-15-00" xfId="248" xr:uid="{00000000-0005-0000-0000-0000AA000000}"/>
    <cellStyle name="_Archer TD 1000MW 05-15-00 2" xfId="249" xr:uid="{00000000-0005-0000-0000-0000AB000000}"/>
    <cellStyle name="_Archer TD 1000MW 05-15-00_Copy of CNL Consolidated model_v.FPL_v37" xfId="250" xr:uid="{00000000-0005-0000-0000-0000AC000000}"/>
    <cellStyle name="_Archer TD 1000MW 05-15-00_Copy of CNL Consolidated model_v.FPL_v37 2" xfId="251" xr:uid="{00000000-0005-0000-0000-0000AD000000}"/>
    <cellStyle name="_Archer TD 1000MW 05-15-00_Copy of CNL Consolidated model_v.FPL_v37_Exelon Power Fuel Forecast - Project P 6-11-2004 ver21" xfId="252" xr:uid="{00000000-0005-0000-0000-0000AE000000}"/>
    <cellStyle name="_Archer TD 1000MW 05-15-00_Copy of CNL Consolidated model_v.FPL_v37_Exelon Power Fuel Forecast - Project P 6-11-2004 ver21 2" xfId="253" xr:uid="{00000000-0005-0000-0000-0000AF000000}"/>
    <cellStyle name="_Archer TD 1000MW 05-15-00_Copy of CNL Consolidated model_v.FPL_v37_ML Outputs" xfId="254" xr:uid="{00000000-0005-0000-0000-0000B0000000}"/>
    <cellStyle name="_Archer TD 1000MW 05-15-00_Copy of CNL Consolidated model_v.FPL_v37_ML Outputs 2" xfId="255" xr:uid="{00000000-0005-0000-0000-0000B1000000}"/>
    <cellStyle name="_Archer TD 1000MW 05-15-00_Copy of CNL Consolidated model_v.FPL_v37_Project Forest Pro Forma Model v58" xfId="256" xr:uid="{00000000-0005-0000-0000-0000B2000000}"/>
    <cellStyle name="_Archer TD 1000MW 05-15-00_Copy of CNL Consolidated model_v.FPL_v37_Project Forest Pro Forma Model v58 2" xfId="257" xr:uid="{00000000-0005-0000-0000-0000B3000000}"/>
    <cellStyle name="_Archer TD 1000MW 05-15-00_D_Consolidated2" xfId="258" xr:uid="{00000000-0005-0000-0000-0000B4000000}"/>
    <cellStyle name="_Archer TD 1000MW 05-15-00_D_Consolidated2 2" xfId="259" xr:uid="{00000000-0005-0000-0000-0000B5000000}"/>
    <cellStyle name="_Archer TD 1000MW 05-15-00_Model v9.8" xfId="260" xr:uid="{00000000-0005-0000-0000-0000B6000000}"/>
    <cellStyle name="_Archer TD 1000MW 05-15-00_Model v9.8 2" xfId="261" xr:uid="{00000000-0005-0000-0000-0000B7000000}"/>
    <cellStyle name="_Archer TD 1000MW 05-15-00_Mutilples Template2" xfId="262" xr:uid="{00000000-0005-0000-0000-0000B8000000}"/>
    <cellStyle name="_Archer TD 1000MW 05-15-00_Mutilples Template2 2" xfId="263" xr:uid="{00000000-0005-0000-0000-0000B9000000}"/>
    <cellStyle name="_Archer TD 1000MW 05-15-00_Mutilples Template2_Exelon Power Fuel Forecast - Project P 6-11-2004 ver21" xfId="264" xr:uid="{00000000-0005-0000-0000-0000BA000000}"/>
    <cellStyle name="_Archer TD 1000MW 05-15-00_Mutilples Template2_Exelon Power Fuel Forecast - Project P 6-11-2004 ver21 2" xfId="265" xr:uid="{00000000-0005-0000-0000-0000BB000000}"/>
    <cellStyle name="_Archer TD 1000MW 05-15-00_Mutilples Template2_ML Outputs" xfId="266" xr:uid="{00000000-0005-0000-0000-0000BC000000}"/>
    <cellStyle name="_Archer TD 1000MW 05-15-00_Mutilples Template2_ML Outputs 2" xfId="267" xr:uid="{00000000-0005-0000-0000-0000BD000000}"/>
    <cellStyle name="_Archer TD 1000MW 05-15-00_Mutilples Template2_Project Forest Pro Forma Model v58" xfId="268" xr:uid="{00000000-0005-0000-0000-0000BE000000}"/>
    <cellStyle name="_Archer TD 1000MW 05-15-00_Mutilples Template2_Project Forest Pro Forma Model v58 2" xfId="269" xr:uid="{00000000-0005-0000-0000-0000BF000000}"/>
    <cellStyle name="_Archer TD 1000MW 05-15-00_pom consolidated v3" xfId="270" xr:uid="{00000000-0005-0000-0000-0000C0000000}"/>
    <cellStyle name="_Archer TD 1000MW 05-15-00_pom consolidated v3 2" xfId="271" xr:uid="{00000000-0005-0000-0000-0000C1000000}"/>
    <cellStyle name="_Archer TD 1000MW 05-15-00_pom consolidated v3_Exelon Power Fuel Forecast - Project P 6-11-2004 ver21" xfId="272" xr:uid="{00000000-0005-0000-0000-0000C2000000}"/>
    <cellStyle name="_Archer TD 1000MW 05-15-00_pom consolidated v3_Exelon Power Fuel Forecast - Project P 6-11-2004 ver21 2" xfId="273" xr:uid="{00000000-0005-0000-0000-0000C3000000}"/>
    <cellStyle name="_Archer TD 1000MW 05-15-00_pom consolidated v3_ML Outputs" xfId="274" xr:uid="{00000000-0005-0000-0000-0000C4000000}"/>
    <cellStyle name="_Archer TD 1000MW 05-15-00_pom consolidated v3_ML Outputs 2" xfId="275" xr:uid="{00000000-0005-0000-0000-0000C5000000}"/>
    <cellStyle name="_Archer TD 1000MW 05-15-00_pom consolidated v3_Project Forest Pro Forma Model v58" xfId="276" xr:uid="{00000000-0005-0000-0000-0000C6000000}"/>
    <cellStyle name="_Archer TD 1000MW 05-15-00_pom consolidated v3_Project Forest Pro Forma Model v58 2" xfId="277" xr:uid="{00000000-0005-0000-0000-0000C7000000}"/>
    <cellStyle name="_Avaliação Santa Cruz -Unibanco" xfId="278" xr:uid="{00000000-0005-0000-0000-0000C8000000}"/>
    <cellStyle name="_Avaliação Santa Cruz -Unibanco 10032006" xfId="279" xr:uid="{00000000-0005-0000-0000-0000C9000000}"/>
    <cellStyle name="_Bayonne Breakage" xfId="280" xr:uid="{00000000-0005-0000-0000-0000CA000000}"/>
    <cellStyle name="_Bayonne Breakage 2" xfId="281" xr:uid="{00000000-0005-0000-0000-0000CB000000}"/>
    <cellStyle name="_Bayonne Breakage_Copy of CNL Consolidated model_v.FPL_v37" xfId="282" xr:uid="{00000000-0005-0000-0000-0000CC000000}"/>
    <cellStyle name="_Bayonne Breakage_Copy of CNL Consolidated model_v.FPL_v37 2" xfId="283" xr:uid="{00000000-0005-0000-0000-0000CD000000}"/>
    <cellStyle name="_Bayonne Breakage_Copy of CNL Consolidated model_v.FPL_v37_Exelon Power Fuel Forecast - Project P 6-11-2004 ver21" xfId="284" xr:uid="{00000000-0005-0000-0000-0000CE000000}"/>
    <cellStyle name="_Bayonne Breakage_Copy of CNL Consolidated model_v.FPL_v37_Exelon Power Fuel Forecast - Project P 6-11-2004 ver21 2" xfId="285" xr:uid="{00000000-0005-0000-0000-0000CF000000}"/>
    <cellStyle name="_Bayonne Breakage_Copy of CNL Consolidated model_v.FPL_v37_ML Outputs" xfId="286" xr:uid="{00000000-0005-0000-0000-0000D0000000}"/>
    <cellStyle name="_Bayonne Breakage_Copy of CNL Consolidated model_v.FPL_v37_ML Outputs 2" xfId="287" xr:uid="{00000000-0005-0000-0000-0000D1000000}"/>
    <cellStyle name="_Bayonne Breakage_Copy of CNL Consolidated model_v.FPL_v37_Project Forest Pro Forma Model v58" xfId="288" xr:uid="{00000000-0005-0000-0000-0000D2000000}"/>
    <cellStyle name="_Bayonne Breakage_Copy of CNL Consolidated model_v.FPL_v37_Project Forest Pro Forma Model v58 2" xfId="289" xr:uid="{00000000-0005-0000-0000-0000D3000000}"/>
    <cellStyle name="_Bayonne Breakage_D_Consolidated2" xfId="290" xr:uid="{00000000-0005-0000-0000-0000D4000000}"/>
    <cellStyle name="_Bayonne Breakage_D_Consolidated2 2" xfId="291" xr:uid="{00000000-0005-0000-0000-0000D5000000}"/>
    <cellStyle name="_Bayonne Breakage_Model v9.8" xfId="292" xr:uid="{00000000-0005-0000-0000-0000D6000000}"/>
    <cellStyle name="_Bayonne Breakage_Model v9.8 2" xfId="293" xr:uid="{00000000-0005-0000-0000-0000D7000000}"/>
    <cellStyle name="_Bayonne Breakage_Mutilples Template2" xfId="294" xr:uid="{00000000-0005-0000-0000-0000D8000000}"/>
    <cellStyle name="_Bayonne Breakage_Mutilples Template2 2" xfId="295" xr:uid="{00000000-0005-0000-0000-0000D9000000}"/>
    <cellStyle name="_Bayonne Breakage_Mutilples Template2_Exelon Power Fuel Forecast - Project P 6-11-2004 ver21" xfId="296" xr:uid="{00000000-0005-0000-0000-0000DA000000}"/>
    <cellStyle name="_Bayonne Breakage_Mutilples Template2_Exelon Power Fuel Forecast - Project P 6-11-2004 ver21 2" xfId="297" xr:uid="{00000000-0005-0000-0000-0000DB000000}"/>
    <cellStyle name="_Bayonne Breakage_Mutilples Template2_ML Outputs" xfId="298" xr:uid="{00000000-0005-0000-0000-0000DC000000}"/>
    <cellStyle name="_Bayonne Breakage_Mutilples Template2_ML Outputs 2" xfId="299" xr:uid="{00000000-0005-0000-0000-0000DD000000}"/>
    <cellStyle name="_Bayonne Breakage_Mutilples Template2_Project Forest Pro Forma Model v58" xfId="300" xr:uid="{00000000-0005-0000-0000-0000DE000000}"/>
    <cellStyle name="_Bayonne Breakage_Mutilples Template2_Project Forest Pro Forma Model v58 2" xfId="301" xr:uid="{00000000-0005-0000-0000-0000DF000000}"/>
    <cellStyle name="_Bayonne Breakage_pom consolidated v3" xfId="302" xr:uid="{00000000-0005-0000-0000-0000E0000000}"/>
    <cellStyle name="_Bayonne Breakage_pom consolidated v3 2" xfId="303" xr:uid="{00000000-0005-0000-0000-0000E1000000}"/>
    <cellStyle name="_Bayonne Breakage_pom consolidated v3_Exelon Power Fuel Forecast - Project P 6-11-2004 ver21" xfId="304" xr:uid="{00000000-0005-0000-0000-0000E2000000}"/>
    <cellStyle name="_Bayonne Breakage_pom consolidated v3_Exelon Power Fuel Forecast - Project P 6-11-2004 ver21 2" xfId="305" xr:uid="{00000000-0005-0000-0000-0000E3000000}"/>
    <cellStyle name="_Bayonne Breakage_pom consolidated v3_ML Outputs" xfId="306" xr:uid="{00000000-0005-0000-0000-0000E4000000}"/>
    <cellStyle name="_Bayonne Breakage_pom consolidated v3_ML Outputs 2" xfId="307" xr:uid="{00000000-0005-0000-0000-0000E5000000}"/>
    <cellStyle name="_Bayonne Breakage_pom consolidated v3_Project Forest Pro Forma Model v58" xfId="308" xr:uid="{00000000-0005-0000-0000-0000E6000000}"/>
    <cellStyle name="_Bayonne Breakage_pom consolidated v3_Project Forest Pro Forma Model v58 2" xfId="309" xr:uid="{00000000-0005-0000-0000-0000E7000000}"/>
    <cellStyle name="_Bayonne Restructure 2-9-01" xfId="310" xr:uid="{00000000-0005-0000-0000-0000E8000000}"/>
    <cellStyle name="_Bayonne Restructure 2-9-01 2" xfId="311" xr:uid="{00000000-0005-0000-0000-0000E9000000}"/>
    <cellStyle name="_Bayonne Restructure 2-9-01_Copy of CNL Consolidated model_v.FPL_v37" xfId="312" xr:uid="{00000000-0005-0000-0000-0000EA000000}"/>
    <cellStyle name="_Bayonne Restructure 2-9-01_Copy of CNL Consolidated model_v.FPL_v37 2" xfId="313" xr:uid="{00000000-0005-0000-0000-0000EB000000}"/>
    <cellStyle name="_Bayonne Restructure 2-9-01_Copy of CNL Consolidated model_v.FPL_v37_Exelon Power Fuel Forecast - Project P 6-11-2004 ver21" xfId="314" xr:uid="{00000000-0005-0000-0000-0000EC000000}"/>
    <cellStyle name="_Bayonne Restructure 2-9-01_Copy of CNL Consolidated model_v.FPL_v37_Exelon Power Fuel Forecast - Project P 6-11-2004 ver21 2" xfId="315" xr:uid="{00000000-0005-0000-0000-0000ED000000}"/>
    <cellStyle name="_Bayonne Restructure 2-9-01_Copy of CNL Consolidated model_v.FPL_v37_ML Outputs" xfId="316" xr:uid="{00000000-0005-0000-0000-0000EE000000}"/>
    <cellStyle name="_Bayonne Restructure 2-9-01_Copy of CNL Consolidated model_v.FPL_v37_ML Outputs 2" xfId="317" xr:uid="{00000000-0005-0000-0000-0000EF000000}"/>
    <cellStyle name="_Bayonne Restructure 2-9-01_Copy of CNL Consolidated model_v.FPL_v37_Project Forest Pro Forma Model v58" xfId="318" xr:uid="{00000000-0005-0000-0000-0000F0000000}"/>
    <cellStyle name="_Bayonne Restructure 2-9-01_Copy of CNL Consolidated model_v.FPL_v37_Project Forest Pro Forma Model v58 2" xfId="319" xr:uid="{00000000-0005-0000-0000-0000F1000000}"/>
    <cellStyle name="_Bayonne Restructure 2-9-01_D_Consolidated2" xfId="320" xr:uid="{00000000-0005-0000-0000-0000F2000000}"/>
    <cellStyle name="_Bayonne Restructure 2-9-01_D_Consolidated2 2" xfId="321" xr:uid="{00000000-0005-0000-0000-0000F3000000}"/>
    <cellStyle name="_Bayonne Restructure 2-9-01_Model v9.8" xfId="322" xr:uid="{00000000-0005-0000-0000-0000F4000000}"/>
    <cellStyle name="_Bayonne Restructure 2-9-01_Model v9.8 2" xfId="323" xr:uid="{00000000-0005-0000-0000-0000F5000000}"/>
    <cellStyle name="_Bayonne Restructure 2-9-01_Mutilples Template2" xfId="324" xr:uid="{00000000-0005-0000-0000-0000F6000000}"/>
    <cellStyle name="_Bayonne Restructure 2-9-01_Mutilples Template2 2" xfId="325" xr:uid="{00000000-0005-0000-0000-0000F7000000}"/>
    <cellStyle name="_Bayonne Restructure 2-9-01_Mutilples Template2_Exelon Power Fuel Forecast - Project P 6-11-2004 ver21" xfId="326" xr:uid="{00000000-0005-0000-0000-0000F8000000}"/>
    <cellStyle name="_Bayonne Restructure 2-9-01_Mutilples Template2_Exelon Power Fuel Forecast - Project P 6-11-2004 ver21 2" xfId="327" xr:uid="{00000000-0005-0000-0000-0000F9000000}"/>
    <cellStyle name="_Bayonne Restructure 2-9-01_Mutilples Template2_ML Outputs" xfId="328" xr:uid="{00000000-0005-0000-0000-0000FA000000}"/>
    <cellStyle name="_Bayonne Restructure 2-9-01_Mutilples Template2_ML Outputs 2" xfId="329" xr:uid="{00000000-0005-0000-0000-0000FB000000}"/>
    <cellStyle name="_Bayonne Restructure 2-9-01_Mutilples Template2_Project Forest Pro Forma Model v58" xfId="330" xr:uid="{00000000-0005-0000-0000-0000FC000000}"/>
    <cellStyle name="_Bayonne Restructure 2-9-01_Mutilples Template2_Project Forest Pro Forma Model v58 2" xfId="331" xr:uid="{00000000-0005-0000-0000-0000FD000000}"/>
    <cellStyle name="_Bayonne Restructure 2-9-01_pom consolidated v3" xfId="332" xr:uid="{00000000-0005-0000-0000-0000FE000000}"/>
    <cellStyle name="_Bayonne Restructure 2-9-01_pom consolidated v3 2" xfId="333" xr:uid="{00000000-0005-0000-0000-0000FF000000}"/>
    <cellStyle name="_Bayonne Restructure 2-9-01_pom consolidated v3_Exelon Power Fuel Forecast - Project P 6-11-2004 ver21" xfId="334" xr:uid="{00000000-0005-0000-0000-000000010000}"/>
    <cellStyle name="_Bayonne Restructure 2-9-01_pom consolidated v3_Exelon Power Fuel Forecast - Project P 6-11-2004 ver21 2" xfId="335" xr:uid="{00000000-0005-0000-0000-000001010000}"/>
    <cellStyle name="_Bayonne Restructure 2-9-01_pom consolidated v3_ML Outputs" xfId="336" xr:uid="{00000000-0005-0000-0000-000002010000}"/>
    <cellStyle name="_Bayonne Restructure 2-9-01_pom consolidated v3_ML Outputs 2" xfId="337" xr:uid="{00000000-0005-0000-0000-000003010000}"/>
    <cellStyle name="_Bayonne Restructure 2-9-01_pom consolidated v3_Project Forest Pro Forma Model v58" xfId="338" xr:uid="{00000000-0005-0000-0000-000004010000}"/>
    <cellStyle name="_Bayonne Restructure 2-9-01_pom consolidated v3_Project Forest Pro Forma Model v58 2" xfId="339" xr:uid="{00000000-0005-0000-0000-000005010000}"/>
    <cellStyle name="_Bayonne Restructuring 10-17" xfId="340" xr:uid="{00000000-0005-0000-0000-000006010000}"/>
    <cellStyle name="_Bayonne Restructuring 10-17 2" xfId="341" xr:uid="{00000000-0005-0000-0000-000007010000}"/>
    <cellStyle name="_Bayonne Restructuring 10-17_Copy of CNL Consolidated model_v.FPL_v37" xfId="342" xr:uid="{00000000-0005-0000-0000-000008010000}"/>
    <cellStyle name="_Bayonne Restructuring 10-17_Copy of CNL Consolidated model_v.FPL_v37 2" xfId="343" xr:uid="{00000000-0005-0000-0000-000009010000}"/>
    <cellStyle name="_Bayonne Restructuring 10-17_Copy of CNL Consolidated model_v.FPL_v37_Exelon Power Fuel Forecast - Project P 6-11-2004 ver21" xfId="344" xr:uid="{00000000-0005-0000-0000-00000A010000}"/>
    <cellStyle name="_Bayonne Restructuring 10-17_Copy of CNL Consolidated model_v.FPL_v37_Exelon Power Fuel Forecast - Project P 6-11-2004 ver21 2" xfId="345" xr:uid="{00000000-0005-0000-0000-00000B010000}"/>
    <cellStyle name="_Bayonne Restructuring 10-17_Copy of CNL Consolidated model_v.FPL_v37_ML Outputs" xfId="346" xr:uid="{00000000-0005-0000-0000-00000C010000}"/>
    <cellStyle name="_Bayonne Restructuring 10-17_Copy of CNL Consolidated model_v.FPL_v37_ML Outputs 2" xfId="347" xr:uid="{00000000-0005-0000-0000-00000D010000}"/>
    <cellStyle name="_Bayonne Restructuring 10-17_Copy of CNL Consolidated model_v.FPL_v37_Project Forest Pro Forma Model v58" xfId="348" xr:uid="{00000000-0005-0000-0000-00000E010000}"/>
    <cellStyle name="_Bayonne Restructuring 10-17_Copy of CNL Consolidated model_v.FPL_v37_Project Forest Pro Forma Model v58 2" xfId="349" xr:uid="{00000000-0005-0000-0000-00000F010000}"/>
    <cellStyle name="_Bayonne Restructuring 10-17_D_Consolidated2" xfId="350" xr:uid="{00000000-0005-0000-0000-000010010000}"/>
    <cellStyle name="_Bayonne Restructuring 10-17_D_Consolidated2 2" xfId="351" xr:uid="{00000000-0005-0000-0000-000011010000}"/>
    <cellStyle name="_Bayonne Restructuring 10-17_Model v9.8" xfId="352" xr:uid="{00000000-0005-0000-0000-000012010000}"/>
    <cellStyle name="_Bayonne Restructuring 10-17_Model v9.8 2" xfId="353" xr:uid="{00000000-0005-0000-0000-000013010000}"/>
    <cellStyle name="_Bayonne Restructuring 10-17_Mutilples Template2" xfId="354" xr:uid="{00000000-0005-0000-0000-000014010000}"/>
    <cellStyle name="_Bayonne Restructuring 10-17_Mutilples Template2 2" xfId="355" xr:uid="{00000000-0005-0000-0000-000015010000}"/>
    <cellStyle name="_Bayonne Restructuring 10-17_Mutilples Template2_Exelon Power Fuel Forecast - Project P 6-11-2004 ver21" xfId="356" xr:uid="{00000000-0005-0000-0000-000016010000}"/>
    <cellStyle name="_Bayonne Restructuring 10-17_Mutilples Template2_Exelon Power Fuel Forecast - Project P 6-11-2004 ver21 2" xfId="357" xr:uid="{00000000-0005-0000-0000-000017010000}"/>
    <cellStyle name="_Bayonne Restructuring 10-17_Mutilples Template2_ML Outputs" xfId="358" xr:uid="{00000000-0005-0000-0000-000018010000}"/>
    <cellStyle name="_Bayonne Restructuring 10-17_Mutilples Template2_ML Outputs 2" xfId="359" xr:uid="{00000000-0005-0000-0000-000019010000}"/>
    <cellStyle name="_Bayonne Restructuring 10-17_Mutilples Template2_Project Forest Pro Forma Model v58" xfId="360" xr:uid="{00000000-0005-0000-0000-00001A010000}"/>
    <cellStyle name="_Bayonne Restructuring 10-17_Mutilples Template2_Project Forest Pro Forma Model v58 2" xfId="361" xr:uid="{00000000-0005-0000-0000-00001B010000}"/>
    <cellStyle name="_Bayonne Restructuring 10-17_pom consolidated v3" xfId="362" xr:uid="{00000000-0005-0000-0000-00001C010000}"/>
    <cellStyle name="_Bayonne Restructuring 10-17_pom consolidated v3 2" xfId="363" xr:uid="{00000000-0005-0000-0000-00001D010000}"/>
    <cellStyle name="_Bayonne Restructuring 10-17_pom consolidated v3_Exelon Power Fuel Forecast - Project P 6-11-2004 ver21" xfId="364" xr:uid="{00000000-0005-0000-0000-00001E010000}"/>
    <cellStyle name="_Bayonne Restructuring 10-17_pom consolidated v3_Exelon Power Fuel Forecast - Project P 6-11-2004 ver21 2" xfId="365" xr:uid="{00000000-0005-0000-0000-00001F010000}"/>
    <cellStyle name="_Bayonne Restructuring 10-17_pom consolidated v3_ML Outputs" xfId="366" xr:uid="{00000000-0005-0000-0000-000020010000}"/>
    <cellStyle name="_Bayonne Restructuring 10-17_pom consolidated v3_ML Outputs 2" xfId="367" xr:uid="{00000000-0005-0000-0000-000021010000}"/>
    <cellStyle name="_Bayonne Restructuring 10-17_pom consolidated v3_Project Forest Pro Forma Model v58" xfId="368" xr:uid="{00000000-0005-0000-0000-000022010000}"/>
    <cellStyle name="_Bayonne Restructuring 10-17_pom consolidated v3_Project Forest Pro Forma Model v58 2" xfId="369" xr:uid="{00000000-0005-0000-0000-000023010000}"/>
    <cellStyle name="_Bayonne Restructuring 11-15" xfId="370" xr:uid="{00000000-0005-0000-0000-000024010000}"/>
    <cellStyle name="_Bayonne Restructuring 11-15 2" xfId="371" xr:uid="{00000000-0005-0000-0000-000025010000}"/>
    <cellStyle name="_Bayonne Restructuring 11-15_Copy of CNL Consolidated model_v.FPL_v37" xfId="372" xr:uid="{00000000-0005-0000-0000-000026010000}"/>
    <cellStyle name="_Bayonne Restructuring 11-15_Copy of CNL Consolidated model_v.FPL_v37 2" xfId="373" xr:uid="{00000000-0005-0000-0000-000027010000}"/>
    <cellStyle name="_Bayonne Restructuring 11-15_Copy of CNL Consolidated model_v.FPL_v37_Exelon Power Fuel Forecast - Project P 6-11-2004 ver21" xfId="374" xr:uid="{00000000-0005-0000-0000-000028010000}"/>
    <cellStyle name="_Bayonne Restructuring 11-15_Copy of CNL Consolidated model_v.FPL_v37_Exelon Power Fuel Forecast - Project P 6-11-2004 ver21 2" xfId="375" xr:uid="{00000000-0005-0000-0000-000029010000}"/>
    <cellStyle name="_Bayonne Restructuring 11-15_Copy of CNL Consolidated model_v.FPL_v37_ML Outputs" xfId="376" xr:uid="{00000000-0005-0000-0000-00002A010000}"/>
    <cellStyle name="_Bayonne Restructuring 11-15_Copy of CNL Consolidated model_v.FPL_v37_ML Outputs 2" xfId="377" xr:uid="{00000000-0005-0000-0000-00002B010000}"/>
    <cellStyle name="_Bayonne Restructuring 11-15_Copy of CNL Consolidated model_v.FPL_v37_Project Forest Pro Forma Model v58" xfId="378" xr:uid="{00000000-0005-0000-0000-00002C010000}"/>
    <cellStyle name="_Bayonne Restructuring 11-15_Copy of CNL Consolidated model_v.FPL_v37_Project Forest Pro Forma Model v58 2" xfId="379" xr:uid="{00000000-0005-0000-0000-00002D010000}"/>
    <cellStyle name="_Bayonne Restructuring 11-15_D_Consolidated2" xfId="380" xr:uid="{00000000-0005-0000-0000-00002E010000}"/>
    <cellStyle name="_Bayonne Restructuring 11-15_D_Consolidated2 2" xfId="381" xr:uid="{00000000-0005-0000-0000-00002F010000}"/>
    <cellStyle name="_Bayonne Restructuring 11-15_Model v9.8" xfId="382" xr:uid="{00000000-0005-0000-0000-000030010000}"/>
    <cellStyle name="_Bayonne Restructuring 11-15_Model v9.8 2" xfId="383" xr:uid="{00000000-0005-0000-0000-000031010000}"/>
    <cellStyle name="_Bayonne Restructuring 11-15_Mutilples Template2" xfId="384" xr:uid="{00000000-0005-0000-0000-000032010000}"/>
    <cellStyle name="_Bayonne Restructuring 11-15_Mutilples Template2 2" xfId="385" xr:uid="{00000000-0005-0000-0000-000033010000}"/>
    <cellStyle name="_Bayonne Restructuring 11-15_Mutilples Template2_Exelon Power Fuel Forecast - Project P 6-11-2004 ver21" xfId="386" xr:uid="{00000000-0005-0000-0000-000034010000}"/>
    <cellStyle name="_Bayonne Restructuring 11-15_Mutilples Template2_Exelon Power Fuel Forecast - Project P 6-11-2004 ver21 2" xfId="387" xr:uid="{00000000-0005-0000-0000-000035010000}"/>
    <cellStyle name="_Bayonne Restructuring 11-15_Mutilples Template2_ML Outputs" xfId="388" xr:uid="{00000000-0005-0000-0000-000036010000}"/>
    <cellStyle name="_Bayonne Restructuring 11-15_Mutilples Template2_ML Outputs 2" xfId="389" xr:uid="{00000000-0005-0000-0000-000037010000}"/>
    <cellStyle name="_Bayonne Restructuring 11-15_Mutilples Template2_Project Forest Pro Forma Model v58" xfId="390" xr:uid="{00000000-0005-0000-0000-000038010000}"/>
    <cellStyle name="_Bayonne Restructuring 11-15_Mutilples Template2_Project Forest Pro Forma Model v58 2" xfId="391" xr:uid="{00000000-0005-0000-0000-000039010000}"/>
    <cellStyle name="_Bayonne Restructuring 11-15_pom consolidated v3" xfId="392" xr:uid="{00000000-0005-0000-0000-00003A010000}"/>
    <cellStyle name="_Bayonne Restructuring 11-15_pom consolidated v3 2" xfId="393" xr:uid="{00000000-0005-0000-0000-00003B010000}"/>
    <cellStyle name="_Bayonne Restructuring 11-15_pom consolidated v3_Exelon Power Fuel Forecast - Project P 6-11-2004 ver21" xfId="394" xr:uid="{00000000-0005-0000-0000-00003C010000}"/>
    <cellStyle name="_Bayonne Restructuring 11-15_pom consolidated v3_Exelon Power Fuel Forecast - Project P 6-11-2004 ver21 2" xfId="395" xr:uid="{00000000-0005-0000-0000-00003D010000}"/>
    <cellStyle name="_Bayonne Restructuring 11-15_pom consolidated v3_ML Outputs" xfId="396" xr:uid="{00000000-0005-0000-0000-00003E010000}"/>
    <cellStyle name="_Bayonne Restructuring 11-15_pom consolidated v3_ML Outputs 2" xfId="397" xr:uid="{00000000-0005-0000-0000-00003F010000}"/>
    <cellStyle name="_Bayonne Restructuring 11-15_pom consolidated v3_Project Forest Pro Forma Model v58" xfId="398" xr:uid="{00000000-0005-0000-0000-000040010000}"/>
    <cellStyle name="_Bayonne Restructuring 11-15_pom consolidated v3_Project Forest Pro Forma Model v58 2" xfId="399" xr:uid="{00000000-0005-0000-0000-000041010000}"/>
    <cellStyle name="_Bayonne Restructuring 1-19" xfId="400" xr:uid="{00000000-0005-0000-0000-000042010000}"/>
    <cellStyle name="_Bayonne Restructuring 1-19 2" xfId="401" xr:uid="{00000000-0005-0000-0000-000043010000}"/>
    <cellStyle name="_Bayonne Restructuring 1-19_Copy of CNL Consolidated model_v.FPL_v37" xfId="402" xr:uid="{00000000-0005-0000-0000-000044010000}"/>
    <cellStyle name="_Bayonne Restructuring 1-19_Copy of CNL Consolidated model_v.FPL_v37 2" xfId="403" xr:uid="{00000000-0005-0000-0000-000045010000}"/>
    <cellStyle name="_Bayonne Restructuring 1-19_Copy of CNL Consolidated model_v.FPL_v37_Exelon Power Fuel Forecast - Project P 6-11-2004 ver21" xfId="404" xr:uid="{00000000-0005-0000-0000-000046010000}"/>
    <cellStyle name="_Bayonne Restructuring 1-19_Copy of CNL Consolidated model_v.FPL_v37_Exelon Power Fuel Forecast - Project P 6-11-2004 ver21 2" xfId="405" xr:uid="{00000000-0005-0000-0000-000047010000}"/>
    <cellStyle name="_Bayonne Restructuring 1-19_Copy of CNL Consolidated model_v.FPL_v37_ML Outputs" xfId="406" xr:uid="{00000000-0005-0000-0000-000048010000}"/>
    <cellStyle name="_Bayonne Restructuring 1-19_Copy of CNL Consolidated model_v.FPL_v37_ML Outputs 2" xfId="407" xr:uid="{00000000-0005-0000-0000-000049010000}"/>
    <cellStyle name="_Bayonne Restructuring 1-19_Copy of CNL Consolidated model_v.FPL_v37_Project Forest Pro Forma Model v58" xfId="408" xr:uid="{00000000-0005-0000-0000-00004A010000}"/>
    <cellStyle name="_Bayonne Restructuring 1-19_Copy of CNL Consolidated model_v.FPL_v37_Project Forest Pro Forma Model v58 2" xfId="409" xr:uid="{00000000-0005-0000-0000-00004B010000}"/>
    <cellStyle name="_Bayonne Restructuring 1-19_D_Consolidated2" xfId="410" xr:uid="{00000000-0005-0000-0000-00004C010000}"/>
    <cellStyle name="_Bayonne Restructuring 1-19_D_Consolidated2 2" xfId="411" xr:uid="{00000000-0005-0000-0000-00004D010000}"/>
    <cellStyle name="_Bayonne Restructuring 1-19_Model v9.8" xfId="412" xr:uid="{00000000-0005-0000-0000-00004E010000}"/>
    <cellStyle name="_Bayonne Restructuring 1-19_Model v9.8 2" xfId="413" xr:uid="{00000000-0005-0000-0000-00004F010000}"/>
    <cellStyle name="_Bayonne Restructuring 1-19_Mutilples Template2" xfId="414" xr:uid="{00000000-0005-0000-0000-000050010000}"/>
    <cellStyle name="_Bayonne Restructuring 1-19_Mutilples Template2 2" xfId="415" xr:uid="{00000000-0005-0000-0000-000051010000}"/>
    <cellStyle name="_Bayonne Restructuring 1-19_Mutilples Template2_Exelon Power Fuel Forecast - Project P 6-11-2004 ver21" xfId="416" xr:uid="{00000000-0005-0000-0000-000052010000}"/>
    <cellStyle name="_Bayonne Restructuring 1-19_Mutilples Template2_Exelon Power Fuel Forecast - Project P 6-11-2004 ver21 2" xfId="417" xr:uid="{00000000-0005-0000-0000-000053010000}"/>
    <cellStyle name="_Bayonne Restructuring 1-19_Mutilples Template2_ML Outputs" xfId="418" xr:uid="{00000000-0005-0000-0000-000054010000}"/>
    <cellStyle name="_Bayonne Restructuring 1-19_Mutilples Template2_ML Outputs 2" xfId="419" xr:uid="{00000000-0005-0000-0000-000055010000}"/>
    <cellStyle name="_Bayonne Restructuring 1-19_Mutilples Template2_Project Forest Pro Forma Model v58" xfId="420" xr:uid="{00000000-0005-0000-0000-000056010000}"/>
    <cellStyle name="_Bayonne Restructuring 1-19_Mutilples Template2_Project Forest Pro Forma Model v58 2" xfId="421" xr:uid="{00000000-0005-0000-0000-000057010000}"/>
    <cellStyle name="_Bayonne Restructuring 1-19_pom consolidated v3" xfId="422" xr:uid="{00000000-0005-0000-0000-000058010000}"/>
    <cellStyle name="_Bayonne Restructuring 1-19_pom consolidated v3 2" xfId="423" xr:uid="{00000000-0005-0000-0000-000059010000}"/>
    <cellStyle name="_Bayonne Restructuring 1-19_pom consolidated v3_Exelon Power Fuel Forecast - Project P 6-11-2004 ver21" xfId="424" xr:uid="{00000000-0005-0000-0000-00005A010000}"/>
    <cellStyle name="_Bayonne Restructuring 1-19_pom consolidated v3_Exelon Power Fuel Forecast - Project P 6-11-2004 ver21 2" xfId="425" xr:uid="{00000000-0005-0000-0000-00005B010000}"/>
    <cellStyle name="_Bayonne Restructuring 1-19_pom consolidated v3_ML Outputs" xfId="426" xr:uid="{00000000-0005-0000-0000-00005C010000}"/>
    <cellStyle name="_Bayonne Restructuring 1-19_pom consolidated v3_ML Outputs 2" xfId="427" xr:uid="{00000000-0005-0000-0000-00005D010000}"/>
    <cellStyle name="_Bayonne Restructuring 1-19_pom consolidated v3_Project Forest Pro Forma Model v58" xfId="428" xr:uid="{00000000-0005-0000-0000-00005E010000}"/>
    <cellStyle name="_Bayonne Restructuring 1-19_pom consolidated v3_Project Forest Pro Forma Model v58 2" xfId="429" xr:uid="{00000000-0005-0000-0000-00005F010000}"/>
    <cellStyle name="_Book9" xfId="430" xr:uid="{00000000-0005-0000-0000-000060010000}"/>
    <cellStyle name="_Book9 2" xfId="431" xr:uid="{00000000-0005-0000-0000-000061010000}"/>
    <cellStyle name="_Book9_Copy of CNL Consolidated model_v.FPL_v37" xfId="432" xr:uid="{00000000-0005-0000-0000-000062010000}"/>
    <cellStyle name="_Book9_Copy of CNL Consolidated model_v.FPL_v37 2" xfId="433" xr:uid="{00000000-0005-0000-0000-000063010000}"/>
    <cellStyle name="_Book9_Copy of CNL Consolidated model_v.FPL_v37_Exelon Power Fuel Forecast - Project P 6-11-2004 ver21" xfId="434" xr:uid="{00000000-0005-0000-0000-000064010000}"/>
    <cellStyle name="_Book9_Copy of CNL Consolidated model_v.FPL_v37_Exelon Power Fuel Forecast - Project P 6-11-2004 ver21 2" xfId="435" xr:uid="{00000000-0005-0000-0000-000065010000}"/>
    <cellStyle name="_Book9_Copy of CNL Consolidated model_v.FPL_v37_ML Outputs" xfId="436" xr:uid="{00000000-0005-0000-0000-000066010000}"/>
    <cellStyle name="_Book9_Copy of CNL Consolidated model_v.FPL_v37_ML Outputs 2" xfId="437" xr:uid="{00000000-0005-0000-0000-000067010000}"/>
    <cellStyle name="_Book9_Copy of CNL Consolidated model_v.FPL_v37_Project Forest Pro Forma Model v58" xfId="438" xr:uid="{00000000-0005-0000-0000-000068010000}"/>
    <cellStyle name="_Book9_Copy of CNL Consolidated model_v.FPL_v37_Project Forest Pro Forma Model v58 2" xfId="439" xr:uid="{00000000-0005-0000-0000-000069010000}"/>
    <cellStyle name="_Book9_D_Consolidated2" xfId="440" xr:uid="{00000000-0005-0000-0000-00006A010000}"/>
    <cellStyle name="_Book9_D_Consolidated2 2" xfId="441" xr:uid="{00000000-0005-0000-0000-00006B010000}"/>
    <cellStyle name="_Book9_Model v9.8" xfId="442" xr:uid="{00000000-0005-0000-0000-00006C010000}"/>
    <cellStyle name="_Book9_Model v9.8 2" xfId="443" xr:uid="{00000000-0005-0000-0000-00006D010000}"/>
    <cellStyle name="_Book9_Mutilples Template2" xfId="444" xr:uid="{00000000-0005-0000-0000-00006E010000}"/>
    <cellStyle name="_Book9_Mutilples Template2 2" xfId="445" xr:uid="{00000000-0005-0000-0000-00006F010000}"/>
    <cellStyle name="_Book9_Mutilples Template2_Exelon Power Fuel Forecast - Project P 6-11-2004 ver21" xfId="446" xr:uid="{00000000-0005-0000-0000-000070010000}"/>
    <cellStyle name="_Book9_Mutilples Template2_Exelon Power Fuel Forecast - Project P 6-11-2004 ver21 2" xfId="447" xr:uid="{00000000-0005-0000-0000-000071010000}"/>
    <cellStyle name="_Book9_Mutilples Template2_ML Outputs" xfId="448" xr:uid="{00000000-0005-0000-0000-000072010000}"/>
    <cellStyle name="_Book9_Mutilples Template2_ML Outputs 2" xfId="449" xr:uid="{00000000-0005-0000-0000-000073010000}"/>
    <cellStyle name="_Book9_Mutilples Template2_Project Forest Pro Forma Model v58" xfId="450" xr:uid="{00000000-0005-0000-0000-000074010000}"/>
    <cellStyle name="_Book9_Mutilples Template2_Project Forest Pro Forma Model v58 2" xfId="451" xr:uid="{00000000-0005-0000-0000-000075010000}"/>
    <cellStyle name="_Book9_pom consolidated v3" xfId="452" xr:uid="{00000000-0005-0000-0000-000076010000}"/>
    <cellStyle name="_Book9_pom consolidated v3 2" xfId="453" xr:uid="{00000000-0005-0000-0000-000077010000}"/>
    <cellStyle name="_Book9_pom consolidated v3_Exelon Power Fuel Forecast - Project P 6-11-2004 ver21" xfId="454" xr:uid="{00000000-0005-0000-0000-000078010000}"/>
    <cellStyle name="_Book9_pom consolidated v3_Exelon Power Fuel Forecast - Project P 6-11-2004 ver21 2" xfId="455" xr:uid="{00000000-0005-0000-0000-000079010000}"/>
    <cellStyle name="_Book9_pom consolidated v3_ML Outputs" xfId="456" xr:uid="{00000000-0005-0000-0000-00007A010000}"/>
    <cellStyle name="_Book9_pom consolidated v3_ML Outputs 2" xfId="457" xr:uid="{00000000-0005-0000-0000-00007B010000}"/>
    <cellStyle name="_Book9_pom consolidated v3_Project Forest Pro Forma Model v58" xfId="458" xr:uid="{00000000-0005-0000-0000-00007C010000}"/>
    <cellStyle name="_Book9_pom consolidated v3_Project Forest Pro Forma Model v58 2" xfId="459" xr:uid="{00000000-0005-0000-0000-00007D010000}"/>
    <cellStyle name="_Camden Debt Breakage" xfId="460" xr:uid="{00000000-0005-0000-0000-00007E010000}"/>
    <cellStyle name="_Camden Debt Breakage 2" xfId="461" xr:uid="{00000000-0005-0000-0000-00007F010000}"/>
    <cellStyle name="_Camden Debt Breakage_Copy of CNL Consolidated model_v.FPL_v37" xfId="462" xr:uid="{00000000-0005-0000-0000-000080010000}"/>
    <cellStyle name="_Camden Debt Breakage_Copy of CNL Consolidated model_v.FPL_v37 2" xfId="463" xr:uid="{00000000-0005-0000-0000-000081010000}"/>
    <cellStyle name="_Camden Debt Breakage_Copy of CNL Consolidated model_v.FPL_v37_Exelon Power Fuel Forecast - Project P 6-11-2004 ver21" xfId="464" xr:uid="{00000000-0005-0000-0000-000082010000}"/>
    <cellStyle name="_Camden Debt Breakage_Copy of CNL Consolidated model_v.FPL_v37_Exelon Power Fuel Forecast - Project P 6-11-2004 ver21 2" xfId="465" xr:uid="{00000000-0005-0000-0000-000083010000}"/>
    <cellStyle name="_Camden Debt Breakage_Copy of CNL Consolidated model_v.FPL_v37_ML Outputs" xfId="466" xr:uid="{00000000-0005-0000-0000-000084010000}"/>
    <cellStyle name="_Camden Debt Breakage_Copy of CNL Consolidated model_v.FPL_v37_ML Outputs 2" xfId="467" xr:uid="{00000000-0005-0000-0000-000085010000}"/>
    <cellStyle name="_Camden Debt Breakage_Copy of CNL Consolidated model_v.FPL_v37_Project Forest Pro Forma Model v58" xfId="468" xr:uid="{00000000-0005-0000-0000-000086010000}"/>
    <cellStyle name="_Camden Debt Breakage_Copy of CNL Consolidated model_v.FPL_v37_Project Forest Pro Forma Model v58 2" xfId="469" xr:uid="{00000000-0005-0000-0000-000087010000}"/>
    <cellStyle name="_Camden Debt Breakage_D_Consolidated2" xfId="470" xr:uid="{00000000-0005-0000-0000-000088010000}"/>
    <cellStyle name="_Camden Debt Breakage_D_Consolidated2 2" xfId="471" xr:uid="{00000000-0005-0000-0000-000089010000}"/>
    <cellStyle name="_Camden Debt Breakage_Model v9.8" xfId="472" xr:uid="{00000000-0005-0000-0000-00008A010000}"/>
    <cellStyle name="_Camden Debt Breakage_Model v9.8 2" xfId="473" xr:uid="{00000000-0005-0000-0000-00008B010000}"/>
    <cellStyle name="_Camden Debt Breakage_Mutilples Template2" xfId="474" xr:uid="{00000000-0005-0000-0000-00008C010000}"/>
    <cellStyle name="_Camden Debt Breakage_Mutilples Template2 2" xfId="475" xr:uid="{00000000-0005-0000-0000-00008D010000}"/>
    <cellStyle name="_Camden Debt Breakage_Mutilples Template2_Exelon Power Fuel Forecast - Project P 6-11-2004 ver21" xfId="476" xr:uid="{00000000-0005-0000-0000-00008E010000}"/>
    <cellStyle name="_Camden Debt Breakage_Mutilples Template2_Exelon Power Fuel Forecast - Project P 6-11-2004 ver21 2" xfId="477" xr:uid="{00000000-0005-0000-0000-00008F010000}"/>
    <cellStyle name="_Camden Debt Breakage_Mutilples Template2_ML Outputs" xfId="478" xr:uid="{00000000-0005-0000-0000-000090010000}"/>
    <cellStyle name="_Camden Debt Breakage_Mutilples Template2_ML Outputs 2" xfId="479" xr:uid="{00000000-0005-0000-0000-000091010000}"/>
    <cellStyle name="_Camden Debt Breakage_Mutilples Template2_Project Forest Pro Forma Model v58" xfId="480" xr:uid="{00000000-0005-0000-0000-000092010000}"/>
    <cellStyle name="_Camden Debt Breakage_Mutilples Template2_Project Forest Pro Forma Model v58 2" xfId="481" xr:uid="{00000000-0005-0000-0000-000093010000}"/>
    <cellStyle name="_Camden Debt Breakage_pom consolidated v3" xfId="482" xr:uid="{00000000-0005-0000-0000-000094010000}"/>
    <cellStyle name="_Camden Debt Breakage_pom consolidated v3 2" xfId="483" xr:uid="{00000000-0005-0000-0000-000095010000}"/>
    <cellStyle name="_Camden Debt Breakage_pom consolidated v3_Exelon Power Fuel Forecast - Project P 6-11-2004 ver21" xfId="484" xr:uid="{00000000-0005-0000-0000-000096010000}"/>
    <cellStyle name="_Camden Debt Breakage_pom consolidated v3_Exelon Power Fuel Forecast - Project P 6-11-2004 ver21 2" xfId="485" xr:uid="{00000000-0005-0000-0000-000097010000}"/>
    <cellStyle name="_Camden Debt Breakage_pom consolidated v3_ML Outputs" xfId="486" xr:uid="{00000000-0005-0000-0000-000098010000}"/>
    <cellStyle name="_Camden Debt Breakage_pom consolidated v3_ML Outputs 2" xfId="487" xr:uid="{00000000-0005-0000-0000-000099010000}"/>
    <cellStyle name="_Camden Debt Breakage_pom consolidated v3_Project Forest Pro Forma Model v58" xfId="488" xr:uid="{00000000-0005-0000-0000-00009A010000}"/>
    <cellStyle name="_Camden Debt Breakage_pom consolidated v3_Project Forest Pro Forma Model v58 2" xfId="489" xr:uid="{00000000-0005-0000-0000-00009B010000}"/>
    <cellStyle name="_Camden_Bayonne Restructure 6-06-01" xfId="490" xr:uid="{00000000-0005-0000-0000-00009C010000}"/>
    <cellStyle name="_Camden_Bayonne Restructure 6-06-01 2" xfId="491" xr:uid="{00000000-0005-0000-0000-00009D010000}"/>
    <cellStyle name="_Camden_Bayonne Restructure 6-06-01_Copy of CNL Consolidated model_v.FPL_v37" xfId="492" xr:uid="{00000000-0005-0000-0000-00009E010000}"/>
    <cellStyle name="_Camden_Bayonne Restructure 6-06-01_Copy of CNL Consolidated model_v.FPL_v37 2" xfId="493" xr:uid="{00000000-0005-0000-0000-00009F010000}"/>
    <cellStyle name="_Camden_Bayonne Restructure 6-06-01_Copy of CNL Consolidated model_v.FPL_v37_Exelon Power Fuel Forecast - Project P 6-11-2004 ver21" xfId="494" xr:uid="{00000000-0005-0000-0000-0000A0010000}"/>
    <cellStyle name="_Camden_Bayonne Restructure 6-06-01_Copy of CNL Consolidated model_v.FPL_v37_Exelon Power Fuel Forecast - Project P 6-11-2004 ver21 2" xfId="495" xr:uid="{00000000-0005-0000-0000-0000A1010000}"/>
    <cellStyle name="_Camden_Bayonne Restructure 6-06-01_Copy of CNL Consolidated model_v.FPL_v37_ML Outputs" xfId="496" xr:uid="{00000000-0005-0000-0000-0000A2010000}"/>
    <cellStyle name="_Camden_Bayonne Restructure 6-06-01_Copy of CNL Consolidated model_v.FPL_v37_ML Outputs 2" xfId="497" xr:uid="{00000000-0005-0000-0000-0000A3010000}"/>
    <cellStyle name="_Camden_Bayonne Restructure 6-06-01_Copy of CNL Consolidated model_v.FPL_v37_Project Forest Pro Forma Model v58" xfId="498" xr:uid="{00000000-0005-0000-0000-0000A4010000}"/>
    <cellStyle name="_Camden_Bayonne Restructure 6-06-01_Copy of CNL Consolidated model_v.FPL_v37_Project Forest Pro Forma Model v58 2" xfId="499" xr:uid="{00000000-0005-0000-0000-0000A5010000}"/>
    <cellStyle name="_Camden_Bayonne Restructure 6-06-01_D_Consolidated2" xfId="500" xr:uid="{00000000-0005-0000-0000-0000A6010000}"/>
    <cellStyle name="_Camden_Bayonne Restructure 6-06-01_D_Consolidated2 2" xfId="501" xr:uid="{00000000-0005-0000-0000-0000A7010000}"/>
    <cellStyle name="_Camden_Bayonne Restructure 6-06-01_Model v9.8" xfId="502" xr:uid="{00000000-0005-0000-0000-0000A8010000}"/>
    <cellStyle name="_Camden_Bayonne Restructure 6-06-01_Model v9.8 2" xfId="503" xr:uid="{00000000-0005-0000-0000-0000A9010000}"/>
    <cellStyle name="_Camden_Bayonne Restructure 6-06-01_Mutilples Template2" xfId="504" xr:uid="{00000000-0005-0000-0000-0000AA010000}"/>
    <cellStyle name="_Camden_Bayonne Restructure 6-06-01_Mutilples Template2 2" xfId="505" xr:uid="{00000000-0005-0000-0000-0000AB010000}"/>
    <cellStyle name="_Camden_Bayonne Restructure 6-06-01_Mutilples Template2_Exelon Power Fuel Forecast - Project P 6-11-2004 ver21" xfId="506" xr:uid="{00000000-0005-0000-0000-0000AC010000}"/>
    <cellStyle name="_Camden_Bayonne Restructure 6-06-01_Mutilples Template2_Exelon Power Fuel Forecast - Project P 6-11-2004 ver21 2" xfId="507" xr:uid="{00000000-0005-0000-0000-0000AD010000}"/>
    <cellStyle name="_Camden_Bayonne Restructure 6-06-01_Mutilples Template2_ML Outputs" xfId="508" xr:uid="{00000000-0005-0000-0000-0000AE010000}"/>
    <cellStyle name="_Camden_Bayonne Restructure 6-06-01_Mutilples Template2_ML Outputs 2" xfId="509" xr:uid="{00000000-0005-0000-0000-0000AF010000}"/>
    <cellStyle name="_Camden_Bayonne Restructure 6-06-01_Mutilples Template2_Project Forest Pro Forma Model v58" xfId="510" xr:uid="{00000000-0005-0000-0000-0000B0010000}"/>
    <cellStyle name="_Camden_Bayonne Restructure 6-06-01_Mutilples Template2_Project Forest Pro Forma Model v58 2" xfId="511" xr:uid="{00000000-0005-0000-0000-0000B1010000}"/>
    <cellStyle name="_Camden_Bayonne Restructure 6-06-01_pom consolidated v3" xfId="512" xr:uid="{00000000-0005-0000-0000-0000B2010000}"/>
    <cellStyle name="_Camden_Bayonne Restructure 6-06-01_pom consolidated v3 2" xfId="513" xr:uid="{00000000-0005-0000-0000-0000B3010000}"/>
    <cellStyle name="_Camden_Bayonne Restructure 6-06-01_pom consolidated v3_Exelon Power Fuel Forecast - Project P 6-11-2004 ver21" xfId="514" xr:uid="{00000000-0005-0000-0000-0000B4010000}"/>
    <cellStyle name="_Camden_Bayonne Restructure 6-06-01_pom consolidated v3_Exelon Power Fuel Forecast - Project P 6-11-2004 ver21 2" xfId="515" xr:uid="{00000000-0005-0000-0000-0000B5010000}"/>
    <cellStyle name="_Camden_Bayonne Restructure 6-06-01_pom consolidated v3_ML Outputs" xfId="516" xr:uid="{00000000-0005-0000-0000-0000B6010000}"/>
    <cellStyle name="_Camden_Bayonne Restructure 6-06-01_pom consolidated v3_ML Outputs 2" xfId="517" xr:uid="{00000000-0005-0000-0000-0000B7010000}"/>
    <cellStyle name="_Camden_Bayonne Restructure 6-06-01_pom consolidated v3_Project Forest Pro Forma Model v58" xfId="518" xr:uid="{00000000-0005-0000-0000-0000B8010000}"/>
    <cellStyle name="_Camden_Bayonne Restructure 6-06-01_pom consolidated v3_Project Forest Pro Forma Model v58 2" xfId="519" xr:uid="{00000000-0005-0000-0000-0000B9010000}"/>
    <cellStyle name="_Camden_Bayonne Restructure 7-06-01" xfId="520" xr:uid="{00000000-0005-0000-0000-0000BA010000}"/>
    <cellStyle name="_Camden_Bayonne Restructure 7-06-01 2" xfId="521" xr:uid="{00000000-0005-0000-0000-0000BB010000}"/>
    <cellStyle name="_Camden_Bayonne Restructure 7-06-01_Copy of CNL Consolidated model_v.FPL_v37" xfId="522" xr:uid="{00000000-0005-0000-0000-0000BC010000}"/>
    <cellStyle name="_Camden_Bayonne Restructure 7-06-01_Copy of CNL Consolidated model_v.FPL_v37 2" xfId="523" xr:uid="{00000000-0005-0000-0000-0000BD010000}"/>
    <cellStyle name="_Camden_Bayonne Restructure 7-06-01_Copy of CNL Consolidated model_v.FPL_v37_Exelon Power Fuel Forecast - Project P 6-11-2004 ver21" xfId="524" xr:uid="{00000000-0005-0000-0000-0000BE010000}"/>
    <cellStyle name="_Camden_Bayonne Restructure 7-06-01_Copy of CNL Consolidated model_v.FPL_v37_Exelon Power Fuel Forecast - Project P 6-11-2004 ver21 2" xfId="525" xr:uid="{00000000-0005-0000-0000-0000BF010000}"/>
    <cellStyle name="_Camden_Bayonne Restructure 7-06-01_Copy of CNL Consolidated model_v.FPL_v37_ML Outputs" xfId="526" xr:uid="{00000000-0005-0000-0000-0000C0010000}"/>
    <cellStyle name="_Camden_Bayonne Restructure 7-06-01_Copy of CNL Consolidated model_v.FPL_v37_ML Outputs 2" xfId="527" xr:uid="{00000000-0005-0000-0000-0000C1010000}"/>
    <cellStyle name="_Camden_Bayonne Restructure 7-06-01_Copy of CNL Consolidated model_v.FPL_v37_Project Forest Pro Forma Model v58" xfId="528" xr:uid="{00000000-0005-0000-0000-0000C2010000}"/>
    <cellStyle name="_Camden_Bayonne Restructure 7-06-01_Copy of CNL Consolidated model_v.FPL_v37_Project Forest Pro Forma Model v58 2" xfId="529" xr:uid="{00000000-0005-0000-0000-0000C3010000}"/>
    <cellStyle name="_Camden_Bayonne Restructure 7-06-01_D_Consolidated2" xfId="530" xr:uid="{00000000-0005-0000-0000-0000C4010000}"/>
    <cellStyle name="_Camden_Bayonne Restructure 7-06-01_D_Consolidated2 2" xfId="531" xr:uid="{00000000-0005-0000-0000-0000C5010000}"/>
    <cellStyle name="_Camden_Bayonne Restructure 7-06-01_Model v9.8" xfId="532" xr:uid="{00000000-0005-0000-0000-0000C6010000}"/>
    <cellStyle name="_Camden_Bayonne Restructure 7-06-01_Model v9.8 2" xfId="533" xr:uid="{00000000-0005-0000-0000-0000C7010000}"/>
    <cellStyle name="_Camden_Bayonne Restructure 7-06-01_Mutilples Template2" xfId="534" xr:uid="{00000000-0005-0000-0000-0000C8010000}"/>
    <cellStyle name="_Camden_Bayonne Restructure 7-06-01_Mutilples Template2 2" xfId="535" xr:uid="{00000000-0005-0000-0000-0000C9010000}"/>
    <cellStyle name="_Camden_Bayonne Restructure 7-06-01_Mutilples Template2_Exelon Power Fuel Forecast - Project P 6-11-2004 ver21" xfId="536" xr:uid="{00000000-0005-0000-0000-0000CA010000}"/>
    <cellStyle name="_Camden_Bayonne Restructure 7-06-01_Mutilples Template2_Exelon Power Fuel Forecast - Project P 6-11-2004 ver21 2" xfId="537" xr:uid="{00000000-0005-0000-0000-0000CB010000}"/>
    <cellStyle name="_Camden_Bayonne Restructure 7-06-01_Mutilples Template2_ML Outputs" xfId="538" xr:uid="{00000000-0005-0000-0000-0000CC010000}"/>
    <cellStyle name="_Camden_Bayonne Restructure 7-06-01_Mutilples Template2_ML Outputs 2" xfId="539" xr:uid="{00000000-0005-0000-0000-0000CD010000}"/>
    <cellStyle name="_Camden_Bayonne Restructure 7-06-01_Mutilples Template2_Project Forest Pro Forma Model v58" xfId="540" xr:uid="{00000000-0005-0000-0000-0000CE010000}"/>
    <cellStyle name="_Camden_Bayonne Restructure 7-06-01_Mutilples Template2_Project Forest Pro Forma Model v58 2" xfId="541" xr:uid="{00000000-0005-0000-0000-0000CF010000}"/>
    <cellStyle name="_Camden_Bayonne Restructure 7-06-01_pom consolidated v3" xfId="542" xr:uid="{00000000-0005-0000-0000-0000D0010000}"/>
    <cellStyle name="_Camden_Bayonne Restructure 7-06-01_pom consolidated v3 2" xfId="543" xr:uid="{00000000-0005-0000-0000-0000D1010000}"/>
    <cellStyle name="_Camden_Bayonne Restructure 7-06-01_pom consolidated v3_Exelon Power Fuel Forecast - Project P 6-11-2004 ver21" xfId="544" xr:uid="{00000000-0005-0000-0000-0000D2010000}"/>
    <cellStyle name="_Camden_Bayonne Restructure 7-06-01_pom consolidated v3_Exelon Power Fuel Forecast - Project P 6-11-2004 ver21 2" xfId="545" xr:uid="{00000000-0005-0000-0000-0000D3010000}"/>
    <cellStyle name="_Camden_Bayonne Restructure 7-06-01_pom consolidated v3_ML Outputs" xfId="546" xr:uid="{00000000-0005-0000-0000-0000D4010000}"/>
    <cellStyle name="_Camden_Bayonne Restructure 7-06-01_pom consolidated v3_ML Outputs 2" xfId="547" xr:uid="{00000000-0005-0000-0000-0000D5010000}"/>
    <cellStyle name="_Camden_Bayonne Restructure 7-06-01_pom consolidated v3_Project Forest Pro Forma Model v58" xfId="548" xr:uid="{00000000-0005-0000-0000-0000D6010000}"/>
    <cellStyle name="_Camden_Bayonne Restructure 7-06-01_pom consolidated v3_Project Forest Pro Forma Model v58 2" xfId="549" xr:uid="{00000000-0005-0000-0000-0000D7010000}"/>
    <cellStyle name="_Camden_Bayonne Restructure 7-2-01" xfId="550" xr:uid="{00000000-0005-0000-0000-0000D8010000}"/>
    <cellStyle name="_Camden_Bayonne Restructure 7-2-01 2" xfId="551" xr:uid="{00000000-0005-0000-0000-0000D9010000}"/>
    <cellStyle name="_Camden_Bayonne Restructure 7-2-01_Copy of CNL Consolidated model_v.FPL_v37" xfId="552" xr:uid="{00000000-0005-0000-0000-0000DA010000}"/>
    <cellStyle name="_Camden_Bayonne Restructure 7-2-01_Copy of CNL Consolidated model_v.FPL_v37 2" xfId="553" xr:uid="{00000000-0005-0000-0000-0000DB010000}"/>
    <cellStyle name="_Camden_Bayonne Restructure 7-2-01_Copy of CNL Consolidated model_v.FPL_v37_Exelon Power Fuel Forecast - Project P 6-11-2004 ver21" xfId="554" xr:uid="{00000000-0005-0000-0000-0000DC010000}"/>
    <cellStyle name="_Camden_Bayonne Restructure 7-2-01_Copy of CNL Consolidated model_v.FPL_v37_Exelon Power Fuel Forecast - Project P 6-11-2004 ver21 2" xfId="555" xr:uid="{00000000-0005-0000-0000-0000DD010000}"/>
    <cellStyle name="_Camden_Bayonne Restructure 7-2-01_Copy of CNL Consolidated model_v.FPL_v37_ML Outputs" xfId="556" xr:uid="{00000000-0005-0000-0000-0000DE010000}"/>
    <cellStyle name="_Camden_Bayonne Restructure 7-2-01_Copy of CNL Consolidated model_v.FPL_v37_ML Outputs 2" xfId="557" xr:uid="{00000000-0005-0000-0000-0000DF010000}"/>
    <cellStyle name="_Camden_Bayonne Restructure 7-2-01_Copy of CNL Consolidated model_v.FPL_v37_Project Forest Pro Forma Model v58" xfId="558" xr:uid="{00000000-0005-0000-0000-0000E0010000}"/>
    <cellStyle name="_Camden_Bayonne Restructure 7-2-01_Copy of CNL Consolidated model_v.FPL_v37_Project Forest Pro Forma Model v58 2" xfId="559" xr:uid="{00000000-0005-0000-0000-0000E1010000}"/>
    <cellStyle name="_Camden_Bayonne Restructure 7-2-01_D_Consolidated2" xfId="560" xr:uid="{00000000-0005-0000-0000-0000E2010000}"/>
    <cellStyle name="_Camden_Bayonne Restructure 7-2-01_D_Consolidated2 2" xfId="561" xr:uid="{00000000-0005-0000-0000-0000E3010000}"/>
    <cellStyle name="_Camden_Bayonne Restructure 7-2-01_Model v9.8" xfId="562" xr:uid="{00000000-0005-0000-0000-0000E4010000}"/>
    <cellStyle name="_Camden_Bayonne Restructure 7-2-01_Model v9.8 2" xfId="563" xr:uid="{00000000-0005-0000-0000-0000E5010000}"/>
    <cellStyle name="_Camden_Bayonne Restructure 7-2-01_Mutilples Template2" xfId="564" xr:uid="{00000000-0005-0000-0000-0000E6010000}"/>
    <cellStyle name="_Camden_Bayonne Restructure 7-2-01_Mutilples Template2 2" xfId="565" xr:uid="{00000000-0005-0000-0000-0000E7010000}"/>
    <cellStyle name="_Camden_Bayonne Restructure 7-2-01_Mutilples Template2_Exelon Power Fuel Forecast - Project P 6-11-2004 ver21" xfId="566" xr:uid="{00000000-0005-0000-0000-0000E8010000}"/>
    <cellStyle name="_Camden_Bayonne Restructure 7-2-01_Mutilples Template2_Exelon Power Fuel Forecast - Project P 6-11-2004 ver21 2" xfId="567" xr:uid="{00000000-0005-0000-0000-0000E9010000}"/>
    <cellStyle name="_Camden_Bayonne Restructure 7-2-01_Mutilples Template2_ML Outputs" xfId="568" xr:uid="{00000000-0005-0000-0000-0000EA010000}"/>
    <cellStyle name="_Camden_Bayonne Restructure 7-2-01_Mutilples Template2_ML Outputs 2" xfId="569" xr:uid="{00000000-0005-0000-0000-0000EB010000}"/>
    <cellStyle name="_Camden_Bayonne Restructure 7-2-01_Mutilples Template2_Project Forest Pro Forma Model v58" xfId="570" xr:uid="{00000000-0005-0000-0000-0000EC010000}"/>
    <cellStyle name="_Camden_Bayonne Restructure 7-2-01_Mutilples Template2_Project Forest Pro Forma Model v58 2" xfId="571" xr:uid="{00000000-0005-0000-0000-0000ED010000}"/>
    <cellStyle name="_Camden_Bayonne Restructure 7-2-01_pom consolidated v3" xfId="572" xr:uid="{00000000-0005-0000-0000-0000EE010000}"/>
    <cellStyle name="_Camden_Bayonne Restructure 7-2-01_pom consolidated v3 2" xfId="573" xr:uid="{00000000-0005-0000-0000-0000EF010000}"/>
    <cellStyle name="_Camden_Bayonne Restructure 7-2-01_pom consolidated v3_Exelon Power Fuel Forecast - Project P 6-11-2004 ver21" xfId="574" xr:uid="{00000000-0005-0000-0000-0000F0010000}"/>
    <cellStyle name="_Camden_Bayonne Restructure 7-2-01_pom consolidated v3_Exelon Power Fuel Forecast - Project P 6-11-2004 ver21 2" xfId="575" xr:uid="{00000000-0005-0000-0000-0000F1010000}"/>
    <cellStyle name="_Camden_Bayonne Restructure 7-2-01_pom consolidated v3_ML Outputs" xfId="576" xr:uid="{00000000-0005-0000-0000-0000F2010000}"/>
    <cellStyle name="_Camden_Bayonne Restructure 7-2-01_pom consolidated v3_ML Outputs 2" xfId="577" xr:uid="{00000000-0005-0000-0000-0000F3010000}"/>
    <cellStyle name="_Camden_Bayonne Restructure 7-2-01_pom consolidated v3_Project Forest Pro Forma Model v58" xfId="578" xr:uid="{00000000-0005-0000-0000-0000F4010000}"/>
    <cellStyle name="_Camden_Bayonne Restructure 7-2-01_pom consolidated v3_Project Forest Pro Forma Model v58 2" xfId="579" xr:uid="{00000000-0005-0000-0000-0000F5010000}"/>
    <cellStyle name="_CBIV v11" xfId="580" xr:uid="{00000000-0005-0000-0000-0000F6010000}"/>
    <cellStyle name="_CBIV v11 2" xfId="581" xr:uid="{00000000-0005-0000-0000-0000F7010000}"/>
    <cellStyle name="_CBIV v11_Copy of CNL Consolidated model_v.FPL_v37" xfId="582" xr:uid="{00000000-0005-0000-0000-0000F8010000}"/>
    <cellStyle name="_CBIV v11_Copy of CNL Consolidated model_v.FPL_v37 2" xfId="583" xr:uid="{00000000-0005-0000-0000-0000F9010000}"/>
    <cellStyle name="_CBIV v11_Copy of CNL Consolidated model_v.FPL_v37_Exelon Power Fuel Forecast - Project P 6-11-2004 ver21" xfId="584" xr:uid="{00000000-0005-0000-0000-0000FA010000}"/>
    <cellStyle name="_CBIV v11_Copy of CNL Consolidated model_v.FPL_v37_Exelon Power Fuel Forecast - Project P 6-11-2004 ver21 2" xfId="585" xr:uid="{00000000-0005-0000-0000-0000FB010000}"/>
    <cellStyle name="_CBIV v11_Copy of CNL Consolidated model_v.FPL_v37_ML Outputs" xfId="586" xr:uid="{00000000-0005-0000-0000-0000FC010000}"/>
    <cellStyle name="_CBIV v11_Copy of CNL Consolidated model_v.FPL_v37_ML Outputs 2" xfId="587" xr:uid="{00000000-0005-0000-0000-0000FD010000}"/>
    <cellStyle name="_CBIV v11_Copy of CNL Consolidated model_v.FPL_v37_Project Forest Pro Forma Model v58" xfId="588" xr:uid="{00000000-0005-0000-0000-0000FE010000}"/>
    <cellStyle name="_CBIV v11_Copy of CNL Consolidated model_v.FPL_v37_Project Forest Pro Forma Model v58 2" xfId="589" xr:uid="{00000000-0005-0000-0000-0000FF010000}"/>
    <cellStyle name="_CBIV v11_D_Consolidated2" xfId="590" xr:uid="{00000000-0005-0000-0000-000000020000}"/>
    <cellStyle name="_CBIV v11_D_Consolidated2 2" xfId="591" xr:uid="{00000000-0005-0000-0000-000001020000}"/>
    <cellStyle name="_CBIV v11_Model v9.8" xfId="592" xr:uid="{00000000-0005-0000-0000-000002020000}"/>
    <cellStyle name="_CBIV v11_Model v9.8 2" xfId="593" xr:uid="{00000000-0005-0000-0000-000003020000}"/>
    <cellStyle name="_CBIV v11_Mutilples Template2" xfId="594" xr:uid="{00000000-0005-0000-0000-000004020000}"/>
    <cellStyle name="_CBIV v11_Mutilples Template2 2" xfId="595" xr:uid="{00000000-0005-0000-0000-000005020000}"/>
    <cellStyle name="_CBIV v11_Mutilples Template2_Exelon Power Fuel Forecast - Project P 6-11-2004 ver21" xfId="596" xr:uid="{00000000-0005-0000-0000-000006020000}"/>
    <cellStyle name="_CBIV v11_Mutilples Template2_Exelon Power Fuel Forecast - Project P 6-11-2004 ver21 2" xfId="597" xr:uid="{00000000-0005-0000-0000-000007020000}"/>
    <cellStyle name="_CBIV v11_Mutilples Template2_ML Outputs" xfId="598" xr:uid="{00000000-0005-0000-0000-000008020000}"/>
    <cellStyle name="_CBIV v11_Mutilples Template2_ML Outputs 2" xfId="599" xr:uid="{00000000-0005-0000-0000-000009020000}"/>
    <cellStyle name="_CBIV v11_Mutilples Template2_Project Forest Pro Forma Model v58" xfId="600" xr:uid="{00000000-0005-0000-0000-00000A020000}"/>
    <cellStyle name="_CBIV v11_Mutilples Template2_Project Forest Pro Forma Model v58 2" xfId="601" xr:uid="{00000000-0005-0000-0000-00000B020000}"/>
    <cellStyle name="_CBIV v11_pom consolidated v3" xfId="602" xr:uid="{00000000-0005-0000-0000-00000C020000}"/>
    <cellStyle name="_CBIV v11_pom consolidated v3 2" xfId="603" xr:uid="{00000000-0005-0000-0000-00000D020000}"/>
    <cellStyle name="_CBIV v11_pom consolidated v3_Exelon Power Fuel Forecast - Project P 6-11-2004 ver21" xfId="604" xr:uid="{00000000-0005-0000-0000-00000E020000}"/>
    <cellStyle name="_CBIV v11_pom consolidated v3_Exelon Power Fuel Forecast - Project P 6-11-2004 ver21 2" xfId="605" xr:uid="{00000000-0005-0000-0000-00000F020000}"/>
    <cellStyle name="_CBIV v11_pom consolidated v3_ML Outputs" xfId="606" xr:uid="{00000000-0005-0000-0000-000010020000}"/>
    <cellStyle name="_CBIV v11_pom consolidated v3_ML Outputs 2" xfId="607" xr:uid="{00000000-0005-0000-0000-000011020000}"/>
    <cellStyle name="_CBIV v11_pom consolidated v3_Project Forest Pro Forma Model v58" xfId="608" xr:uid="{00000000-0005-0000-0000-000012020000}"/>
    <cellStyle name="_CBIV v11_pom consolidated v3_Project Forest Pro Forma Model v58 2" xfId="609" xr:uid="{00000000-0005-0000-0000-000013020000}"/>
    <cellStyle name="_CBIV v6" xfId="610" xr:uid="{00000000-0005-0000-0000-000014020000}"/>
    <cellStyle name="_CBIV v6 2" xfId="611" xr:uid="{00000000-0005-0000-0000-000015020000}"/>
    <cellStyle name="_CBIV v6_Copy of CNL Consolidated model_v.FPL_v37" xfId="612" xr:uid="{00000000-0005-0000-0000-000016020000}"/>
    <cellStyle name="_CBIV v6_Copy of CNL Consolidated model_v.FPL_v37 2" xfId="613" xr:uid="{00000000-0005-0000-0000-000017020000}"/>
    <cellStyle name="_CBIV v6_Copy of CNL Consolidated model_v.FPL_v37_Exelon Power Fuel Forecast - Project P 6-11-2004 ver21" xfId="614" xr:uid="{00000000-0005-0000-0000-000018020000}"/>
    <cellStyle name="_CBIV v6_Copy of CNL Consolidated model_v.FPL_v37_Exelon Power Fuel Forecast - Project P 6-11-2004 ver21 2" xfId="615" xr:uid="{00000000-0005-0000-0000-000019020000}"/>
    <cellStyle name="_CBIV v6_Copy of CNL Consolidated model_v.FPL_v37_ML Outputs" xfId="616" xr:uid="{00000000-0005-0000-0000-00001A020000}"/>
    <cellStyle name="_CBIV v6_Copy of CNL Consolidated model_v.FPL_v37_ML Outputs 2" xfId="617" xr:uid="{00000000-0005-0000-0000-00001B020000}"/>
    <cellStyle name="_CBIV v6_Copy of CNL Consolidated model_v.FPL_v37_Project Forest Pro Forma Model v58" xfId="618" xr:uid="{00000000-0005-0000-0000-00001C020000}"/>
    <cellStyle name="_CBIV v6_Copy of CNL Consolidated model_v.FPL_v37_Project Forest Pro Forma Model v58 2" xfId="619" xr:uid="{00000000-0005-0000-0000-00001D020000}"/>
    <cellStyle name="_CBIV v6_D_Consolidated2" xfId="620" xr:uid="{00000000-0005-0000-0000-00001E020000}"/>
    <cellStyle name="_CBIV v6_D_Consolidated2 2" xfId="621" xr:uid="{00000000-0005-0000-0000-00001F020000}"/>
    <cellStyle name="_CBIV v6_Model v9.8" xfId="622" xr:uid="{00000000-0005-0000-0000-000020020000}"/>
    <cellStyle name="_CBIV v6_Model v9.8 2" xfId="623" xr:uid="{00000000-0005-0000-0000-000021020000}"/>
    <cellStyle name="_CBIV v6_Mutilples Template2" xfId="624" xr:uid="{00000000-0005-0000-0000-000022020000}"/>
    <cellStyle name="_CBIV v6_Mutilples Template2 2" xfId="625" xr:uid="{00000000-0005-0000-0000-000023020000}"/>
    <cellStyle name="_CBIV v6_Mutilples Template2_Exelon Power Fuel Forecast - Project P 6-11-2004 ver21" xfId="626" xr:uid="{00000000-0005-0000-0000-000024020000}"/>
    <cellStyle name="_CBIV v6_Mutilples Template2_Exelon Power Fuel Forecast - Project P 6-11-2004 ver21 2" xfId="627" xr:uid="{00000000-0005-0000-0000-000025020000}"/>
    <cellStyle name="_CBIV v6_Mutilples Template2_ML Outputs" xfId="628" xr:uid="{00000000-0005-0000-0000-000026020000}"/>
    <cellStyle name="_CBIV v6_Mutilples Template2_ML Outputs 2" xfId="629" xr:uid="{00000000-0005-0000-0000-000027020000}"/>
    <cellStyle name="_CBIV v6_Mutilples Template2_Project Forest Pro Forma Model v58" xfId="630" xr:uid="{00000000-0005-0000-0000-000028020000}"/>
    <cellStyle name="_CBIV v6_Mutilples Template2_Project Forest Pro Forma Model v58 2" xfId="631" xr:uid="{00000000-0005-0000-0000-000029020000}"/>
    <cellStyle name="_CBIV v6_pom consolidated v3" xfId="632" xr:uid="{00000000-0005-0000-0000-00002A020000}"/>
    <cellStyle name="_CBIV v6_pom consolidated v3 2" xfId="633" xr:uid="{00000000-0005-0000-0000-00002B020000}"/>
    <cellStyle name="_CBIV v6_pom consolidated v3_Exelon Power Fuel Forecast - Project P 6-11-2004 ver21" xfId="634" xr:uid="{00000000-0005-0000-0000-00002C020000}"/>
    <cellStyle name="_CBIV v6_pom consolidated v3_Exelon Power Fuel Forecast - Project P 6-11-2004 ver21 2" xfId="635" xr:uid="{00000000-0005-0000-0000-00002D020000}"/>
    <cellStyle name="_CBIV v6_pom consolidated v3_ML Outputs" xfId="636" xr:uid="{00000000-0005-0000-0000-00002E020000}"/>
    <cellStyle name="_CBIV v6_pom consolidated v3_ML Outputs 2" xfId="637" xr:uid="{00000000-0005-0000-0000-00002F020000}"/>
    <cellStyle name="_CBIV v6_pom consolidated v3_Project Forest Pro Forma Model v58" xfId="638" xr:uid="{00000000-0005-0000-0000-000030020000}"/>
    <cellStyle name="_CBIV v6_pom consolidated v3_Project Forest Pro Forma Model v58 2" xfId="639" xr:uid="{00000000-0005-0000-0000-000031020000}"/>
    <cellStyle name="_CEG Plants v4" xfId="640" xr:uid="{00000000-0005-0000-0000-000032020000}"/>
    <cellStyle name="_CEG Plants v4 2" xfId="641" xr:uid="{00000000-0005-0000-0000-000033020000}"/>
    <cellStyle name="_CEG Plants v5" xfId="642" xr:uid="{00000000-0005-0000-0000-000034020000}"/>
    <cellStyle name="_CEG Plants v5 2" xfId="643" xr:uid="{00000000-0005-0000-0000-000035020000}"/>
    <cellStyle name="_CEG Plants v6" xfId="644" xr:uid="{00000000-0005-0000-0000-000036020000}"/>
    <cellStyle name="_CEG Plants v6 2" xfId="645" xr:uid="{00000000-0005-0000-0000-000037020000}"/>
    <cellStyle name="_Comma" xfId="646" xr:uid="{00000000-0005-0000-0000-000038020000}"/>
    <cellStyle name="_Comma 2" xfId="647" xr:uid="{00000000-0005-0000-0000-000039020000}"/>
    <cellStyle name="_Comma_01 AVP_ Project Infinitum" xfId="648" xr:uid="{00000000-0005-0000-0000-00003A020000}"/>
    <cellStyle name="_Comma_01 AVP_ Project Infinitum 2" xfId="649" xr:uid="{00000000-0005-0000-0000-00003B020000}"/>
    <cellStyle name="_Comma_02 Backup Charts" xfId="650" xr:uid="{00000000-0005-0000-0000-00003C020000}"/>
    <cellStyle name="_Comma_02 Backup Charts 2" xfId="651" xr:uid="{00000000-0005-0000-0000-00003D020000}"/>
    <cellStyle name="_Comma_AP Mobile Demand Check File 4Q w.Pakistan" xfId="652" xr:uid="{00000000-0005-0000-0000-00003E020000}"/>
    <cellStyle name="_Comma_avp" xfId="653" xr:uid="{00000000-0005-0000-0000-00003F020000}"/>
    <cellStyle name="_Comma_avp 2" xfId="654" xr:uid="{00000000-0005-0000-0000-000040020000}"/>
    <cellStyle name="_Comma_AVP_ NewCo" xfId="655" xr:uid="{00000000-0005-0000-0000-000041020000}"/>
    <cellStyle name="_Comma_AVP_ NewCo 2" xfId="656" xr:uid="{00000000-0005-0000-0000-000042020000}"/>
    <cellStyle name="_Comma_Brazil bond data" xfId="657" xr:uid="{00000000-0005-0000-0000-000043020000}"/>
    <cellStyle name="_Comma_Brazil bond data 2" xfId="658" xr:uid="{00000000-0005-0000-0000-000044020000}"/>
    <cellStyle name="_Comma_Copy of AP Mobile Demand Check File 4Q2005 v.final" xfId="659" xr:uid="{00000000-0005-0000-0000-000045020000}"/>
    <cellStyle name="_Comma_dcf" xfId="660" xr:uid="{00000000-0005-0000-0000-000046020000}"/>
    <cellStyle name="_Comma_dcf 2" xfId="661" xr:uid="{00000000-0005-0000-0000-000047020000}"/>
    <cellStyle name="_Comma_Definitions" xfId="662" xr:uid="{00000000-0005-0000-0000-000048020000}"/>
    <cellStyle name="_Comma_LA WACC Discount_1" xfId="663" xr:uid="{00000000-0005-0000-0000-000049020000}"/>
    <cellStyle name="_Comma_LA WACC Discount_1 2" xfId="664" xr:uid="{00000000-0005-0000-0000-00004A020000}"/>
    <cellStyle name="_Comma_Latam dec 2005" xfId="665" xr:uid="{00000000-0005-0000-0000-00004B020000}"/>
    <cellStyle name="_Comma_Latam dec 2005 2" xfId="666" xr:uid="{00000000-0005-0000-0000-00004C020000}"/>
    <cellStyle name="_Comma_Oil &amp; Gas betas" xfId="667" xr:uid="{00000000-0005-0000-0000-00004D020000}"/>
    <cellStyle name="_Comma_Oil &amp; Gas betas 2" xfId="668" xr:uid="{00000000-0005-0000-0000-00004E020000}"/>
    <cellStyle name="_Comma_PakistabMob2005" xfId="669" xr:uid="{00000000-0005-0000-0000-00004F020000}"/>
    <cellStyle name="_Comma_PakistabMob2005 2" xfId="670" xr:uid="{00000000-0005-0000-0000-000050020000}"/>
    <cellStyle name="_Comma_Pyramid LA3Q05" xfId="671" xr:uid="{00000000-0005-0000-0000-000051020000}"/>
    <cellStyle name="_Comma_Pyramid LA3Q05 2" xfId="672" xr:uid="{00000000-0005-0000-0000-000052020000}"/>
    <cellStyle name="_Comma_WACC Analysis" xfId="673" xr:uid="{00000000-0005-0000-0000-000053020000}"/>
    <cellStyle name="_Comma_WACC Analysis 2" xfId="674" xr:uid="{00000000-0005-0000-0000-000054020000}"/>
    <cellStyle name="_Comma_WACC Analysis_4b_0827_2" xfId="675" xr:uid="{00000000-0005-0000-0000-000055020000}"/>
    <cellStyle name="_Comma_WACC Analysis_4b_0827_2 2" xfId="676" xr:uid="{00000000-0005-0000-0000-000056020000}"/>
    <cellStyle name="_Consolidated Summary - Portfolio_v12" xfId="677" xr:uid="{00000000-0005-0000-0000-000057020000}"/>
    <cellStyle name="_Consolidated Summary - Portfolio_v12 2" xfId="678" xr:uid="{00000000-0005-0000-0000-000058020000}"/>
    <cellStyle name="_Consolidated Summary - Portfolio_v12_Copy of CNL Consolidated model_v.FPL_v37" xfId="679" xr:uid="{00000000-0005-0000-0000-000059020000}"/>
    <cellStyle name="_Consolidated Summary - Portfolio_v12_Copy of CNL Consolidated model_v.FPL_v37 2" xfId="680" xr:uid="{00000000-0005-0000-0000-00005A020000}"/>
    <cellStyle name="_Consolidated Summary - Portfolio_v12_Copy of CNL Consolidated model_v.FPL_v37_Exelon Power Fuel Forecast - Project P 6-11-2004 ver21" xfId="681" xr:uid="{00000000-0005-0000-0000-00005B020000}"/>
    <cellStyle name="_Consolidated Summary - Portfolio_v12_Copy of CNL Consolidated model_v.FPL_v37_Exelon Power Fuel Forecast - Project P 6-11-2004 ver21 2" xfId="682" xr:uid="{00000000-0005-0000-0000-00005C020000}"/>
    <cellStyle name="_Consolidated Summary - Portfolio_v12_Copy of CNL Consolidated model_v.FPL_v37_ML Outputs" xfId="683" xr:uid="{00000000-0005-0000-0000-00005D020000}"/>
    <cellStyle name="_Consolidated Summary - Portfolio_v12_Copy of CNL Consolidated model_v.FPL_v37_ML Outputs 2" xfId="684" xr:uid="{00000000-0005-0000-0000-00005E020000}"/>
    <cellStyle name="_Consolidated Summary - Portfolio_v12_Copy of CNL Consolidated model_v.FPL_v37_Project Forest Pro Forma Model v58" xfId="685" xr:uid="{00000000-0005-0000-0000-00005F020000}"/>
    <cellStyle name="_Consolidated Summary - Portfolio_v12_Copy of CNL Consolidated model_v.FPL_v37_Project Forest Pro Forma Model v58 2" xfId="686" xr:uid="{00000000-0005-0000-0000-000060020000}"/>
    <cellStyle name="_Consolidated Summary - Portfolio_v12_D_Consolidated2" xfId="687" xr:uid="{00000000-0005-0000-0000-000061020000}"/>
    <cellStyle name="_Consolidated Summary - Portfolio_v12_D_Consolidated2 2" xfId="688" xr:uid="{00000000-0005-0000-0000-000062020000}"/>
    <cellStyle name="_Consolidated Summary - Portfolio_v12_Model v9.8" xfId="689" xr:uid="{00000000-0005-0000-0000-000063020000}"/>
    <cellStyle name="_Consolidated Summary - Portfolio_v12_Model v9.8 2" xfId="690" xr:uid="{00000000-0005-0000-0000-000064020000}"/>
    <cellStyle name="_Consolidated Summary - Portfolio_v12_Mutilples Template2" xfId="691" xr:uid="{00000000-0005-0000-0000-000065020000}"/>
    <cellStyle name="_Consolidated Summary - Portfolio_v12_Mutilples Template2 2" xfId="692" xr:uid="{00000000-0005-0000-0000-000066020000}"/>
    <cellStyle name="_Consolidated Summary - Portfolio_v12_Mutilples Template2_Exelon Power Fuel Forecast - Project P 6-11-2004 ver21" xfId="693" xr:uid="{00000000-0005-0000-0000-000067020000}"/>
    <cellStyle name="_Consolidated Summary - Portfolio_v12_Mutilples Template2_Exelon Power Fuel Forecast - Project P 6-11-2004 ver21 2" xfId="694" xr:uid="{00000000-0005-0000-0000-000068020000}"/>
    <cellStyle name="_Consolidated Summary - Portfolio_v12_Mutilples Template2_ML Outputs" xfId="695" xr:uid="{00000000-0005-0000-0000-000069020000}"/>
    <cellStyle name="_Consolidated Summary - Portfolio_v12_Mutilples Template2_ML Outputs 2" xfId="696" xr:uid="{00000000-0005-0000-0000-00006A020000}"/>
    <cellStyle name="_Consolidated Summary - Portfolio_v12_Mutilples Template2_Project Forest Pro Forma Model v58" xfId="697" xr:uid="{00000000-0005-0000-0000-00006B020000}"/>
    <cellStyle name="_Consolidated Summary - Portfolio_v12_Mutilples Template2_Project Forest Pro Forma Model v58 2" xfId="698" xr:uid="{00000000-0005-0000-0000-00006C020000}"/>
    <cellStyle name="_Consolidated Summary - Portfolio_v12_pom consolidated v3" xfId="699" xr:uid="{00000000-0005-0000-0000-00006D020000}"/>
    <cellStyle name="_Consolidated Summary - Portfolio_v12_pom consolidated v3 2" xfId="700" xr:uid="{00000000-0005-0000-0000-00006E020000}"/>
    <cellStyle name="_Consolidated Summary - Portfolio_v12_pom consolidated v3_Exelon Power Fuel Forecast - Project P 6-11-2004 ver21" xfId="701" xr:uid="{00000000-0005-0000-0000-00006F020000}"/>
    <cellStyle name="_Consolidated Summary - Portfolio_v12_pom consolidated v3_Exelon Power Fuel Forecast - Project P 6-11-2004 ver21 2" xfId="702" xr:uid="{00000000-0005-0000-0000-000070020000}"/>
    <cellStyle name="_Consolidated Summary - Portfolio_v12_pom consolidated v3_ML Outputs" xfId="703" xr:uid="{00000000-0005-0000-0000-000071020000}"/>
    <cellStyle name="_Consolidated Summary - Portfolio_v12_pom consolidated v3_ML Outputs 2" xfId="704" xr:uid="{00000000-0005-0000-0000-000072020000}"/>
    <cellStyle name="_Consolidated Summary - Portfolio_v12_pom consolidated v3_Project Forest Pro Forma Model v58" xfId="705" xr:uid="{00000000-0005-0000-0000-000073020000}"/>
    <cellStyle name="_Consolidated Summary - Portfolio_v12_pom consolidated v3_Project Forest Pro Forma Model v58 2" xfId="706" xr:uid="{00000000-0005-0000-0000-000074020000}"/>
    <cellStyle name="_Copy of CNL Consolidated model_v.FPL_v37" xfId="707" xr:uid="{00000000-0005-0000-0000-000075020000}"/>
    <cellStyle name="_Copy of CNL Consolidated model_v.FPL_v37 2" xfId="708" xr:uid="{00000000-0005-0000-0000-000076020000}"/>
    <cellStyle name="_Copy of CNL Consolidated model_v.FPL_v37_Exelon Power Fuel Forecast - Project P 6-11-2004 ver21" xfId="709" xr:uid="{00000000-0005-0000-0000-000077020000}"/>
    <cellStyle name="_Copy of CNL Consolidated model_v.FPL_v37_Exelon Power Fuel Forecast - Project P 6-11-2004 ver21 2" xfId="710" xr:uid="{00000000-0005-0000-0000-000078020000}"/>
    <cellStyle name="_Copy of CNL Consolidated model_v.FPL_v37_ML Outputs" xfId="711" xr:uid="{00000000-0005-0000-0000-000079020000}"/>
    <cellStyle name="_Copy of CNL Consolidated model_v.FPL_v37_ML Outputs 2" xfId="712" xr:uid="{00000000-0005-0000-0000-00007A020000}"/>
    <cellStyle name="_Copy of CNL Consolidated model_v.FPL_v37_Project Forest Pro Forma Model v58" xfId="713" xr:uid="{00000000-0005-0000-0000-00007B020000}"/>
    <cellStyle name="_Copy of CNL Consolidated model_v.FPL_v37_Project Forest Pro Forma Model v58 2" xfId="714" xr:uid="{00000000-0005-0000-0000-00007C020000}"/>
    <cellStyle name="_Currency" xfId="715" xr:uid="{00000000-0005-0000-0000-00007D020000}"/>
    <cellStyle name="_Currency 2" xfId="716" xr:uid="{00000000-0005-0000-0000-00007E020000}"/>
    <cellStyle name="_Currency_01 AVP_ Project Infinitum" xfId="717" xr:uid="{00000000-0005-0000-0000-00007F020000}"/>
    <cellStyle name="_Currency_01 AVP_ Project Infinitum 2" xfId="718" xr:uid="{00000000-0005-0000-0000-000080020000}"/>
    <cellStyle name="_Currency_01 AVP_ Project Infinitum_Consolidação" xfId="719" xr:uid="{00000000-0005-0000-0000-000081020000}"/>
    <cellStyle name="_Currency_01 AVP_ Project Infinitum_Consolidação 2" xfId="720" xr:uid="{00000000-0005-0000-0000-000082020000}"/>
    <cellStyle name="_Currency_01 AVP_ Project Infinitum_Consolidação IMOB" xfId="721" xr:uid="{00000000-0005-0000-0000-000083020000}"/>
    <cellStyle name="_Currency_01 AVP_ Project Infinitum_Consolidação IMOB 2" xfId="722" xr:uid="{00000000-0005-0000-0000-000084020000}"/>
    <cellStyle name="_Currency_01 AVP_ Project Infinitum_Estudo de Viabilidade -IMOB Henri" xfId="723" xr:uid="{00000000-0005-0000-0000-000085020000}"/>
    <cellStyle name="_Currency_01 AVP_ Project Infinitum_Estudo de Viabilidade -IMOB Henri 2" xfId="724" xr:uid="{00000000-0005-0000-0000-000086020000}"/>
    <cellStyle name="_Currency_01 AVP_ Project Infinitum_FP 100" xfId="725" xr:uid="{00000000-0005-0000-0000-000087020000}"/>
    <cellStyle name="_Currency_01 AVP_ Project Infinitum_FP 100 2" xfId="726" xr:uid="{00000000-0005-0000-0000-000088020000}"/>
    <cellStyle name="_Currency_01 AVP_ Project Infinitum_Península" xfId="727" xr:uid="{00000000-0005-0000-0000-000089020000}"/>
    <cellStyle name="_Currency_01 AVP_ Project Infinitum_Península 2" xfId="728" xr:uid="{00000000-0005-0000-0000-00008A020000}"/>
    <cellStyle name="_Currency_01 AVP_ Project Infinitum_Peninsula_0510" xfId="729" xr:uid="{00000000-0005-0000-0000-00008B020000}"/>
    <cellStyle name="_Currency_01 AVP_ Project Infinitum_Peninsula_0510 2" xfId="730" xr:uid="{00000000-0005-0000-0000-00008C020000}"/>
    <cellStyle name="_Currency_01 AVP_ Project Infinitum_Resumo Juros e Variações" xfId="731" xr:uid="{00000000-0005-0000-0000-00008D020000}"/>
    <cellStyle name="_Currency_01 AVP_ Project Infinitum_Resumo Juros e Variações 2" xfId="732" xr:uid="{00000000-0005-0000-0000-00008E020000}"/>
    <cellStyle name="_Currency_01 TMX BR Revenue mix" xfId="733" xr:uid="{00000000-0005-0000-0000-00008F020000}"/>
    <cellStyle name="_Currency_01 TMX BR Revenue mix 2" xfId="734" xr:uid="{00000000-0005-0000-0000-000090020000}"/>
    <cellStyle name="_Currency_01 TMX BR Revenue mix_Consolidação" xfId="735" xr:uid="{00000000-0005-0000-0000-000091020000}"/>
    <cellStyle name="_Currency_01 TMX BR Revenue mix_Consolidação 2" xfId="736" xr:uid="{00000000-0005-0000-0000-000092020000}"/>
    <cellStyle name="_Currency_01 TMX BR Revenue mix_Consolidação IMOB" xfId="737" xr:uid="{00000000-0005-0000-0000-000093020000}"/>
    <cellStyle name="_Currency_01 TMX BR Revenue mix_Consolidação IMOB 2" xfId="738" xr:uid="{00000000-0005-0000-0000-000094020000}"/>
    <cellStyle name="_Currency_01 TMX BR Revenue mix_Estudo de Viabilidade -IMOB Henri" xfId="739" xr:uid="{00000000-0005-0000-0000-000095020000}"/>
    <cellStyle name="_Currency_01 TMX BR Revenue mix_Estudo de Viabilidade -IMOB Henri 2" xfId="740" xr:uid="{00000000-0005-0000-0000-000096020000}"/>
    <cellStyle name="_Currency_01 TMX BR Revenue mix_FP 100" xfId="741" xr:uid="{00000000-0005-0000-0000-000097020000}"/>
    <cellStyle name="_Currency_01 TMX BR Revenue mix_FP 100 2" xfId="742" xr:uid="{00000000-0005-0000-0000-000098020000}"/>
    <cellStyle name="_Currency_01 TMX BR Revenue mix_Península" xfId="743" xr:uid="{00000000-0005-0000-0000-000099020000}"/>
    <cellStyle name="_Currency_01 TMX BR Revenue mix_Península 2" xfId="744" xr:uid="{00000000-0005-0000-0000-00009A020000}"/>
    <cellStyle name="_Currency_01 TMX BR Revenue mix_Peninsula_0510" xfId="745" xr:uid="{00000000-0005-0000-0000-00009B020000}"/>
    <cellStyle name="_Currency_01 TMX BR Revenue mix_Peninsula_0510 2" xfId="746" xr:uid="{00000000-0005-0000-0000-00009C020000}"/>
    <cellStyle name="_Currency_01 TMX BR Revenue mix_Resumo Juros e Variações" xfId="747" xr:uid="{00000000-0005-0000-0000-00009D020000}"/>
    <cellStyle name="_Currency_01 TMX BR Revenue mix_Resumo Juros e Variações 2" xfId="748" xr:uid="{00000000-0005-0000-0000-00009E020000}"/>
    <cellStyle name="_Currency_02 Backup Charts" xfId="749" xr:uid="{00000000-0005-0000-0000-00009F020000}"/>
    <cellStyle name="_Currency_02 Backup Charts 2" xfId="750" xr:uid="{00000000-0005-0000-0000-0000A0020000}"/>
    <cellStyle name="_Currency_02 Backup Charts_Consolidação" xfId="751" xr:uid="{00000000-0005-0000-0000-0000A1020000}"/>
    <cellStyle name="_Currency_02 Backup Charts_Consolidação 2" xfId="752" xr:uid="{00000000-0005-0000-0000-0000A2020000}"/>
    <cellStyle name="_Currency_02 Backup Charts_Consolidação IMOB" xfId="753" xr:uid="{00000000-0005-0000-0000-0000A3020000}"/>
    <cellStyle name="_Currency_02 Backup Charts_Consolidação IMOB 2" xfId="754" xr:uid="{00000000-0005-0000-0000-0000A4020000}"/>
    <cellStyle name="_Currency_02 Backup Charts_Estudo de Viabilidade -IMOB Henri" xfId="755" xr:uid="{00000000-0005-0000-0000-0000A5020000}"/>
    <cellStyle name="_Currency_02 Backup Charts_Estudo de Viabilidade -IMOB Henri 2" xfId="756" xr:uid="{00000000-0005-0000-0000-0000A6020000}"/>
    <cellStyle name="_Currency_02 Backup Charts_FP 100" xfId="757" xr:uid="{00000000-0005-0000-0000-0000A7020000}"/>
    <cellStyle name="_Currency_02 Backup Charts_FP 100 2" xfId="758" xr:uid="{00000000-0005-0000-0000-0000A8020000}"/>
    <cellStyle name="_Currency_02 Backup Charts_Península" xfId="759" xr:uid="{00000000-0005-0000-0000-0000A9020000}"/>
    <cellStyle name="_Currency_02 Backup Charts_Península 2" xfId="760" xr:uid="{00000000-0005-0000-0000-0000AA020000}"/>
    <cellStyle name="_Currency_02 Backup Charts_Peninsula_0510" xfId="761" xr:uid="{00000000-0005-0000-0000-0000AB020000}"/>
    <cellStyle name="_Currency_02 Backup Charts_Peninsula_0510 2" xfId="762" xr:uid="{00000000-0005-0000-0000-0000AC020000}"/>
    <cellStyle name="_Currency_02 Backup Charts_Resumo Juros e Variações" xfId="763" xr:uid="{00000000-0005-0000-0000-0000AD020000}"/>
    <cellStyle name="_Currency_02 Backup Charts_Resumo Juros e Variações 2" xfId="764" xr:uid="{00000000-0005-0000-0000-0000AE020000}"/>
    <cellStyle name="_Currency_02 Blended and actual_Telmex_ buying_ NET" xfId="765" xr:uid="{00000000-0005-0000-0000-0000AF020000}"/>
    <cellStyle name="_Currency_02 Blended and actual_Telmex_ buying_ NET 2" xfId="766" xr:uid="{00000000-0005-0000-0000-0000B0020000}"/>
    <cellStyle name="_Currency_02 Blended and actual_Telmex_ buying_ NET_Consolidação" xfId="767" xr:uid="{00000000-0005-0000-0000-0000B1020000}"/>
    <cellStyle name="_Currency_02 Blended and actual_Telmex_ buying_ NET_Consolidação 2" xfId="768" xr:uid="{00000000-0005-0000-0000-0000B2020000}"/>
    <cellStyle name="_Currency_02 Blended and actual_Telmex_ buying_ NET_Consolidação IMOB" xfId="769" xr:uid="{00000000-0005-0000-0000-0000B3020000}"/>
    <cellStyle name="_Currency_02 Blended and actual_Telmex_ buying_ NET_Consolidação IMOB 2" xfId="770" xr:uid="{00000000-0005-0000-0000-0000B4020000}"/>
    <cellStyle name="_Currency_02 Blended and actual_Telmex_ buying_ NET_Estudo de Viabilidade -IMOB Henri" xfId="771" xr:uid="{00000000-0005-0000-0000-0000B5020000}"/>
    <cellStyle name="_Currency_02 Blended and actual_Telmex_ buying_ NET_Estudo de Viabilidade -IMOB Henri 2" xfId="772" xr:uid="{00000000-0005-0000-0000-0000B6020000}"/>
    <cellStyle name="_Currency_02 Blended and actual_Telmex_ buying_ NET_FP 100" xfId="773" xr:uid="{00000000-0005-0000-0000-0000B7020000}"/>
    <cellStyle name="_Currency_02 Blended and actual_Telmex_ buying_ NET_FP 100 2" xfId="774" xr:uid="{00000000-0005-0000-0000-0000B8020000}"/>
    <cellStyle name="_Currency_02 Blended and actual_Telmex_ buying_ NET_Península" xfId="775" xr:uid="{00000000-0005-0000-0000-0000B9020000}"/>
    <cellStyle name="_Currency_02 Blended and actual_Telmex_ buying_ NET_Península 2" xfId="776" xr:uid="{00000000-0005-0000-0000-0000BA020000}"/>
    <cellStyle name="_Currency_02 Blended and actual_Telmex_ buying_ NET_Peninsula_0510" xfId="777" xr:uid="{00000000-0005-0000-0000-0000BB020000}"/>
    <cellStyle name="_Currency_02 Blended and actual_Telmex_ buying_ NET_Peninsula_0510 2" xfId="778" xr:uid="{00000000-0005-0000-0000-0000BC020000}"/>
    <cellStyle name="_Currency_02 Blended and actual_Telmex_ buying_ NET_Resumo Juros e Variações" xfId="779" xr:uid="{00000000-0005-0000-0000-0000BD020000}"/>
    <cellStyle name="_Currency_02 Blended and actual_Telmex_ buying_ NET_Resumo Juros e Variações 2" xfId="780" xr:uid="{00000000-0005-0000-0000-0000BE020000}"/>
    <cellStyle name="_Currency_02 TMX Brazil Management Projections_R$" xfId="781" xr:uid="{00000000-0005-0000-0000-0000BF020000}"/>
    <cellStyle name="_Currency_02 TMX Brazil Management Projections_R$_Consolidação" xfId="782" xr:uid="{00000000-0005-0000-0000-0000C0020000}"/>
    <cellStyle name="_Currency_02 TMX Brazil Management Projections_R$_Consolidação IMOB" xfId="783" xr:uid="{00000000-0005-0000-0000-0000C1020000}"/>
    <cellStyle name="_Currency_02 TMX Brazil Management Projections_R$_Estudo de Viabilidade -IMOB Henri" xfId="784" xr:uid="{00000000-0005-0000-0000-0000C2020000}"/>
    <cellStyle name="_Currency_02 TMX Brazil Management Projections_R$_FP 100" xfId="785" xr:uid="{00000000-0005-0000-0000-0000C3020000}"/>
    <cellStyle name="_Currency_02 TMX Brazil Management Projections_R$_Península" xfId="786" xr:uid="{00000000-0005-0000-0000-0000C4020000}"/>
    <cellStyle name="_Currency_02 TMX Brazil Management Projections_R$_Peninsula_0510" xfId="787" xr:uid="{00000000-0005-0000-0000-0000C5020000}"/>
    <cellStyle name="_Currency_02 TMX Brazil Management Projections_R$_Resumo Juros e Variações" xfId="788" xr:uid="{00000000-0005-0000-0000-0000C6020000}"/>
    <cellStyle name="_Currency_03 Projections Comparison - Infinitum" xfId="789" xr:uid="{00000000-0005-0000-0000-0000C7020000}"/>
    <cellStyle name="_Currency_03 Projections Comparison - Infinitum 2" xfId="790" xr:uid="{00000000-0005-0000-0000-0000C8020000}"/>
    <cellStyle name="_Currency_03 Projections Comparison - Infinitum_Consolidação" xfId="791" xr:uid="{00000000-0005-0000-0000-0000C9020000}"/>
    <cellStyle name="_Currency_03 Projections Comparison - Infinitum_Consolidação 2" xfId="792" xr:uid="{00000000-0005-0000-0000-0000CA020000}"/>
    <cellStyle name="_Currency_03 Projections Comparison - Infinitum_Consolidação IMOB" xfId="793" xr:uid="{00000000-0005-0000-0000-0000CB020000}"/>
    <cellStyle name="_Currency_03 Projections Comparison - Infinitum_Consolidação IMOB 2" xfId="794" xr:uid="{00000000-0005-0000-0000-0000CC020000}"/>
    <cellStyle name="_Currency_03 Projections Comparison - Infinitum_Estudo de Viabilidade -IMOB Henri" xfId="795" xr:uid="{00000000-0005-0000-0000-0000CD020000}"/>
    <cellStyle name="_Currency_03 Projections Comparison - Infinitum_Estudo de Viabilidade -IMOB Henri 2" xfId="796" xr:uid="{00000000-0005-0000-0000-0000CE020000}"/>
    <cellStyle name="_Currency_03 Projections Comparison - Infinitum_FP 100" xfId="797" xr:uid="{00000000-0005-0000-0000-0000CF020000}"/>
    <cellStyle name="_Currency_03 Projections Comparison - Infinitum_FP 100 2" xfId="798" xr:uid="{00000000-0005-0000-0000-0000D0020000}"/>
    <cellStyle name="_Currency_03 Projections Comparison - Infinitum_Península" xfId="799" xr:uid="{00000000-0005-0000-0000-0000D1020000}"/>
    <cellStyle name="_Currency_03 Projections Comparison - Infinitum_Península 2" xfId="800" xr:uid="{00000000-0005-0000-0000-0000D2020000}"/>
    <cellStyle name="_Currency_03 Projections Comparison - Infinitum_Peninsula_0510" xfId="801" xr:uid="{00000000-0005-0000-0000-0000D3020000}"/>
    <cellStyle name="_Currency_03 Projections Comparison - Infinitum_Peninsula_0510 2" xfId="802" xr:uid="{00000000-0005-0000-0000-0000D4020000}"/>
    <cellStyle name="_Currency_03 Projections Comparison - Infinitum_Resumo Juros e Variações" xfId="803" xr:uid="{00000000-0005-0000-0000-0000D5020000}"/>
    <cellStyle name="_Currency_03 Projections Comparison - Infinitum_Resumo Juros e Variações 2" xfId="804" xr:uid="{00000000-0005-0000-0000-0000D6020000}"/>
    <cellStyle name="_Currency_04 WACC Vivax" xfId="805" xr:uid="{00000000-0005-0000-0000-0000D7020000}"/>
    <cellStyle name="_Currency_04 WACC Vivax 2" xfId="806" xr:uid="{00000000-0005-0000-0000-0000D8020000}"/>
    <cellStyle name="_Currency_04 WACC Vivax_Consolidação" xfId="807" xr:uid="{00000000-0005-0000-0000-0000D9020000}"/>
    <cellStyle name="_Currency_04 WACC Vivax_Consolidação 2" xfId="808" xr:uid="{00000000-0005-0000-0000-0000DA020000}"/>
    <cellStyle name="_Currency_04 WACC Vivax_Consolidação IMOB" xfId="809" xr:uid="{00000000-0005-0000-0000-0000DB020000}"/>
    <cellStyle name="_Currency_04 WACC Vivax_Consolidação IMOB 2" xfId="810" xr:uid="{00000000-0005-0000-0000-0000DC020000}"/>
    <cellStyle name="_Currency_04 WACC Vivax_Estudo de Viabilidade -IMOB Henri" xfId="811" xr:uid="{00000000-0005-0000-0000-0000DD020000}"/>
    <cellStyle name="_Currency_04 WACC Vivax_Estudo de Viabilidade -IMOB Henri 2" xfId="812" xr:uid="{00000000-0005-0000-0000-0000DE020000}"/>
    <cellStyle name="_Currency_04 WACC Vivax_FP 100" xfId="813" xr:uid="{00000000-0005-0000-0000-0000DF020000}"/>
    <cellStyle name="_Currency_04 WACC Vivax_FP 100 2" xfId="814" xr:uid="{00000000-0005-0000-0000-0000E0020000}"/>
    <cellStyle name="_Currency_04 WACC Vivax_Península" xfId="815" xr:uid="{00000000-0005-0000-0000-0000E1020000}"/>
    <cellStyle name="_Currency_04 WACC Vivax_Península 2" xfId="816" xr:uid="{00000000-0005-0000-0000-0000E2020000}"/>
    <cellStyle name="_Currency_04 WACC Vivax_Peninsula_0510" xfId="817" xr:uid="{00000000-0005-0000-0000-0000E3020000}"/>
    <cellStyle name="_Currency_04 WACC Vivax_Peninsula_0510 2" xfId="818" xr:uid="{00000000-0005-0000-0000-0000E4020000}"/>
    <cellStyle name="_Currency_04 WACC Vivax_Resumo Juros e Variações" xfId="819" xr:uid="{00000000-0005-0000-0000-0000E5020000}"/>
    <cellStyle name="_Currency_04 WACC Vivax_Resumo Juros e Variações 2" xfId="820" xr:uid="{00000000-0005-0000-0000-0000E6020000}"/>
    <cellStyle name="_Currency_05 Embratel DCF Model_NEW" xfId="821" xr:uid="{00000000-0005-0000-0000-0000E7020000}"/>
    <cellStyle name="_Currency_05 Embratel DCF Model_NEW 2" xfId="822" xr:uid="{00000000-0005-0000-0000-0000E8020000}"/>
    <cellStyle name="_Currency_12 Blended and actual _Telmex_buying_Embratel" xfId="823" xr:uid="{00000000-0005-0000-0000-0000E9020000}"/>
    <cellStyle name="_Currency_12 Blended and actual _Telmex_buying_Embratel 2" xfId="824" xr:uid="{00000000-0005-0000-0000-0000EA020000}"/>
    <cellStyle name="_Currency_12 Blended and actual _Telmex_buying_Embratel_Consolidação" xfId="825" xr:uid="{00000000-0005-0000-0000-0000EB020000}"/>
    <cellStyle name="_Currency_12 Blended and actual _Telmex_buying_Embratel_Consolidação 2" xfId="826" xr:uid="{00000000-0005-0000-0000-0000EC020000}"/>
    <cellStyle name="_Currency_12 Blended and actual _Telmex_buying_Embratel_Consolidação IMOB" xfId="827" xr:uid="{00000000-0005-0000-0000-0000ED020000}"/>
    <cellStyle name="_Currency_12 Blended and actual _Telmex_buying_Embratel_Consolidação IMOB 2" xfId="828" xr:uid="{00000000-0005-0000-0000-0000EE020000}"/>
    <cellStyle name="_Currency_12 Blended and actual _Telmex_buying_Embratel_Estudo de Viabilidade -IMOB Henri" xfId="829" xr:uid="{00000000-0005-0000-0000-0000EF020000}"/>
    <cellStyle name="_Currency_12 Blended and actual _Telmex_buying_Embratel_Estudo de Viabilidade -IMOB Henri 2" xfId="830" xr:uid="{00000000-0005-0000-0000-0000F0020000}"/>
    <cellStyle name="_Currency_12 Blended and actual _Telmex_buying_Embratel_FP 100" xfId="831" xr:uid="{00000000-0005-0000-0000-0000F1020000}"/>
    <cellStyle name="_Currency_12 Blended and actual _Telmex_buying_Embratel_FP 100 2" xfId="832" xr:uid="{00000000-0005-0000-0000-0000F2020000}"/>
    <cellStyle name="_Currency_12 Blended and actual _Telmex_buying_Embratel_Península" xfId="833" xr:uid="{00000000-0005-0000-0000-0000F3020000}"/>
    <cellStyle name="_Currency_12 Blended and actual _Telmex_buying_Embratel_Península 2" xfId="834" xr:uid="{00000000-0005-0000-0000-0000F4020000}"/>
    <cellStyle name="_Currency_12 Blended and actual _Telmex_buying_Embratel_Peninsula_0510" xfId="835" xr:uid="{00000000-0005-0000-0000-0000F5020000}"/>
    <cellStyle name="_Currency_12 Blended and actual _Telmex_buying_Embratel_Peninsula_0510 2" xfId="836" xr:uid="{00000000-0005-0000-0000-0000F6020000}"/>
    <cellStyle name="_Currency_12 Blended and actual _Telmex_buying_Embratel_Resumo Juros e Variações" xfId="837" xr:uid="{00000000-0005-0000-0000-0000F7020000}"/>
    <cellStyle name="_Currency_12 Blended and actual _Telmex_buying_Embratel_Resumo Juros e Variações 2" xfId="838" xr:uid="{00000000-0005-0000-0000-0000F8020000}"/>
    <cellStyle name="_Currency_AP Mobile Demand Check File 4Q w.Pakistan" xfId="839" xr:uid="{00000000-0005-0000-0000-0000F9020000}"/>
    <cellStyle name="_Currency_avp" xfId="840" xr:uid="{00000000-0005-0000-0000-0000FA020000}"/>
    <cellStyle name="_Currency_avp 2" xfId="841" xr:uid="{00000000-0005-0000-0000-0000FB020000}"/>
    <cellStyle name="_Currency_AVP_ NewCo" xfId="842" xr:uid="{00000000-0005-0000-0000-0000FC020000}"/>
    <cellStyle name="_Currency_AVP_ NewCo 2" xfId="843" xr:uid="{00000000-0005-0000-0000-0000FD020000}"/>
    <cellStyle name="_Currency_AVP_ NewCo_Consolidação" xfId="844" xr:uid="{00000000-0005-0000-0000-0000FE020000}"/>
    <cellStyle name="_Currency_AVP_ NewCo_Consolidação 2" xfId="845" xr:uid="{00000000-0005-0000-0000-0000FF020000}"/>
    <cellStyle name="_Currency_AVP_ NewCo_Consolidação IMOB" xfId="846" xr:uid="{00000000-0005-0000-0000-000000030000}"/>
    <cellStyle name="_Currency_AVP_ NewCo_Consolidação IMOB 2" xfId="847" xr:uid="{00000000-0005-0000-0000-000001030000}"/>
    <cellStyle name="_Currency_AVP_ NewCo_Estudo de Viabilidade -IMOB Henri" xfId="848" xr:uid="{00000000-0005-0000-0000-000002030000}"/>
    <cellStyle name="_Currency_AVP_ NewCo_Estudo de Viabilidade -IMOB Henri 2" xfId="849" xr:uid="{00000000-0005-0000-0000-000003030000}"/>
    <cellStyle name="_Currency_AVP_ NewCo_FP 100" xfId="850" xr:uid="{00000000-0005-0000-0000-000004030000}"/>
    <cellStyle name="_Currency_AVP_ NewCo_FP 100 2" xfId="851" xr:uid="{00000000-0005-0000-0000-000005030000}"/>
    <cellStyle name="_Currency_AVP_ NewCo_Península" xfId="852" xr:uid="{00000000-0005-0000-0000-000006030000}"/>
    <cellStyle name="_Currency_AVP_ NewCo_Península 2" xfId="853" xr:uid="{00000000-0005-0000-0000-000007030000}"/>
    <cellStyle name="_Currency_AVP_ NewCo_Peninsula_0510" xfId="854" xr:uid="{00000000-0005-0000-0000-000008030000}"/>
    <cellStyle name="_Currency_AVP_ NewCo_Peninsula_0510 2" xfId="855" xr:uid="{00000000-0005-0000-0000-000009030000}"/>
    <cellStyle name="_Currency_AVP_ NewCo_Resumo Juros e Variações" xfId="856" xr:uid="{00000000-0005-0000-0000-00000A030000}"/>
    <cellStyle name="_Currency_AVP_ NewCo_Resumo Juros e Variações 2" xfId="857" xr:uid="{00000000-0005-0000-0000-00000B030000}"/>
    <cellStyle name="_Currency_avp_Consolidação" xfId="858" xr:uid="{00000000-0005-0000-0000-00000C030000}"/>
    <cellStyle name="_Currency_avp_Consolidação 2" xfId="859" xr:uid="{00000000-0005-0000-0000-00000D030000}"/>
    <cellStyle name="_Currency_avp_Consolidação IMOB" xfId="860" xr:uid="{00000000-0005-0000-0000-00000E030000}"/>
    <cellStyle name="_Currency_avp_Consolidação IMOB 2" xfId="861" xr:uid="{00000000-0005-0000-0000-00000F030000}"/>
    <cellStyle name="_Currency_avp_Estudo de Viabilidade -IMOB Henri" xfId="862" xr:uid="{00000000-0005-0000-0000-000010030000}"/>
    <cellStyle name="_Currency_avp_Estudo de Viabilidade -IMOB Henri 2" xfId="863" xr:uid="{00000000-0005-0000-0000-000011030000}"/>
    <cellStyle name="_Currency_avp_FP 100" xfId="864" xr:uid="{00000000-0005-0000-0000-000012030000}"/>
    <cellStyle name="_Currency_avp_FP 100 2" xfId="865" xr:uid="{00000000-0005-0000-0000-000013030000}"/>
    <cellStyle name="_Currency_avp_Península" xfId="866" xr:uid="{00000000-0005-0000-0000-000014030000}"/>
    <cellStyle name="_Currency_avp_Península 2" xfId="867" xr:uid="{00000000-0005-0000-0000-000015030000}"/>
    <cellStyle name="_Currency_avp_Peninsula_0510" xfId="868" xr:uid="{00000000-0005-0000-0000-000016030000}"/>
    <cellStyle name="_Currency_avp_Peninsula_0510 2" xfId="869" xr:uid="{00000000-0005-0000-0000-000017030000}"/>
    <cellStyle name="_Currency_avp_Resumo Juros e Variações" xfId="870" xr:uid="{00000000-0005-0000-0000-000018030000}"/>
    <cellStyle name="_Currency_avp_Resumo Juros e Variações 2" xfId="871" xr:uid="{00000000-0005-0000-0000-000019030000}"/>
    <cellStyle name="_Currency_Brazil bond data" xfId="872" xr:uid="{00000000-0005-0000-0000-00001A030000}"/>
    <cellStyle name="_Currency_Brazil bond data 2" xfId="873" xr:uid="{00000000-0005-0000-0000-00001B030000}"/>
    <cellStyle name="_Currency_Brazil bond data_Consolidação" xfId="874" xr:uid="{00000000-0005-0000-0000-00001C030000}"/>
    <cellStyle name="_Currency_Brazil bond data_Consolidação 2" xfId="875" xr:uid="{00000000-0005-0000-0000-00001D030000}"/>
    <cellStyle name="_Currency_Brazil bond data_Consolidação IMOB" xfId="876" xr:uid="{00000000-0005-0000-0000-00001E030000}"/>
    <cellStyle name="_Currency_Brazil bond data_Consolidação IMOB 2" xfId="877" xr:uid="{00000000-0005-0000-0000-00001F030000}"/>
    <cellStyle name="_Currency_Brazil bond data_Estudo de Viabilidade -IMOB Henri" xfId="878" xr:uid="{00000000-0005-0000-0000-000020030000}"/>
    <cellStyle name="_Currency_Brazil bond data_Estudo de Viabilidade -IMOB Henri 2" xfId="879" xr:uid="{00000000-0005-0000-0000-000021030000}"/>
    <cellStyle name="_Currency_Brazil bond data_FP 100" xfId="880" xr:uid="{00000000-0005-0000-0000-000022030000}"/>
    <cellStyle name="_Currency_Brazil bond data_FP 100 2" xfId="881" xr:uid="{00000000-0005-0000-0000-000023030000}"/>
    <cellStyle name="_Currency_Brazil bond data_Península" xfId="882" xr:uid="{00000000-0005-0000-0000-000024030000}"/>
    <cellStyle name="_Currency_Brazil bond data_Península 2" xfId="883" xr:uid="{00000000-0005-0000-0000-000025030000}"/>
    <cellStyle name="_Currency_Brazil bond data_Peninsula_0510" xfId="884" xr:uid="{00000000-0005-0000-0000-000026030000}"/>
    <cellStyle name="_Currency_Brazil bond data_Peninsula_0510 2" xfId="885" xr:uid="{00000000-0005-0000-0000-000027030000}"/>
    <cellStyle name="_Currency_Brazil bond data_Resumo Juros e Variações" xfId="886" xr:uid="{00000000-0005-0000-0000-000028030000}"/>
    <cellStyle name="_Currency_Brazil bond data_Resumo Juros e Variações 2" xfId="887" xr:uid="{00000000-0005-0000-0000-000029030000}"/>
    <cellStyle name="_Currency_Consolidação" xfId="888" xr:uid="{00000000-0005-0000-0000-00002A030000}"/>
    <cellStyle name="_Currency_Consolidação 2" xfId="889" xr:uid="{00000000-0005-0000-0000-00002B030000}"/>
    <cellStyle name="_Currency_Consolidação IMOB" xfId="890" xr:uid="{00000000-0005-0000-0000-00002C030000}"/>
    <cellStyle name="_Currency_Consolidação IMOB 2" xfId="891" xr:uid="{00000000-0005-0000-0000-00002D030000}"/>
    <cellStyle name="_Currency_Copy of AP Mobile Demand Check File 4Q2005 v.final" xfId="892" xr:uid="{00000000-0005-0000-0000-00002E030000}"/>
    <cellStyle name="_Currency_dcf" xfId="893" xr:uid="{00000000-0005-0000-0000-00002F030000}"/>
    <cellStyle name="_Currency_dcf 2" xfId="894" xr:uid="{00000000-0005-0000-0000-000030030000}"/>
    <cellStyle name="_Currency_dcf_01_WACC Colombia_Analysis" xfId="895" xr:uid="{00000000-0005-0000-0000-000031030000}"/>
    <cellStyle name="_Currency_dcf_01_WACC Colombia_Analysis 2" xfId="896" xr:uid="{00000000-0005-0000-0000-000032030000}"/>
    <cellStyle name="_Currency_dcf_01_WACC Colombia_Analysis_Consolidação" xfId="897" xr:uid="{00000000-0005-0000-0000-000033030000}"/>
    <cellStyle name="_Currency_dcf_01_WACC Colombia_Analysis_Consolidação 2" xfId="898" xr:uid="{00000000-0005-0000-0000-000034030000}"/>
    <cellStyle name="_Currency_dcf_01_WACC Colombia_Analysis_Consolidação IMOB" xfId="899" xr:uid="{00000000-0005-0000-0000-000035030000}"/>
    <cellStyle name="_Currency_dcf_01_WACC Colombia_Analysis_Consolidação IMOB 2" xfId="900" xr:uid="{00000000-0005-0000-0000-000036030000}"/>
    <cellStyle name="_Currency_dcf_01_WACC Colombia_Analysis_Estudo de Viabilidade -IMOB Henri" xfId="901" xr:uid="{00000000-0005-0000-0000-000037030000}"/>
    <cellStyle name="_Currency_dcf_01_WACC Colombia_Analysis_Estudo de Viabilidade -IMOB Henri 2" xfId="902" xr:uid="{00000000-0005-0000-0000-000038030000}"/>
    <cellStyle name="_Currency_dcf_01_WACC Colombia_Analysis_FP 100" xfId="903" xr:uid="{00000000-0005-0000-0000-000039030000}"/>
    <cellStyle name="_Currency_dcf_01_WACC Colombia_Analysis_FP 100 2" xfId="904" xr:uid="{00000000-0005-0000-0000-00003A030000}"/>
    <cellStyle name="_Currency_dcf_01_WACC Colombia_Analysis_Península" xfId="905" xr:uid="{00000000-0005-0000-0000-00003B030000}"/>
    <cellStyle name="_Currency_dcf_01_WACC Colombia_Analysis_Península 2" xfId="906" xr:uid="{00000000-0005-0000-0000-00003C030000}"/>
    <cellStyle name="_Currency_dcf_01_WACC Colombia_Analysis_Peninsula_0510" xfId="907" xr:uid="{00000000-0005-0000-0000-00003D030000}"/>
    <cellStyle name="_Currency_dcf_01_WACC Colombia_Analysis_Peninsula_0510 2" xfId="908" xr:uid="{00000000-0005-0000-0000-00003E030000}"/>
    <cellStyle name="_Currency_dcf_01_WACC Colombia_Analysis_Resumo Juros e Variações" xfId="909" xr:uid="{00000000-0005-0000-0000-00003F030000}"/>
    <cellStyle name="_Currency_dcf_01_WACC Colombia_Analysis_Resumo Juros e Variações 2" xfId="910" xr:uid="{00000000-0005-0000-0000-000040030000}"/>
    <cellStyle name="_Currency_dcf_04 WACC Vivax" xfId="911" xr:uid="{00000000-0005-0000-0000-000041030000}"/>
    <cellStyle name="_Currency_dcf_04 WACC Vivax 2" xfId="912" xr:uid="{00000000-0005-0000-0000-000042030000}"/>
    <cellStyle name="_Currency_dcf_04 WACC Vivax_Consolidação" xfId="913" xr:uid="{00000000-0005-0000-0000-000043030000}"/>
    <cellStyle name="_Currency_dcf_04 WACC Vivax_Consolidação 2" xfId="914" xr:uid="{00000000-0005-0000-0000-000044030000}"/>
    <cellStyle name="_Currency_dcf_04 WACC Vivax_Consolidação IMOB" xfId="915" xr:uid="{00000000-0005-0000-0000-000045030000}"/>
    <cellStyle name="_Currency_dcf_04 WACC Vivax_Consolidação IMOB 2" xfId="916" xr:uid="{00000000-0005-0000-0000-000046030000}"/>
    <cellStyle name="_Currency_dcf_04 WACC Vivax_Estudo de Viabilidade -IMOB Henri" xfId="917" xr:uid="{00000000-0005-0000-0000-000047030000}"/>
    <cellStyle name="_Currency_dcf_04 WACC Vivax_Estudo de Viabilidade -IMOB Henri 2" xfId="918" xr:uid="{00000000-0005-0000-0000-000048030000}"/>
    <cellStyle name="_Currency_dcf_04 WACC Vivax_FP 100" xfId="919" xr:uid="{00000000-0005-0000-0000-000049030000}"/>
    <cellStyle name="_Currency_dcf_04 WACC Vivax_FP 100 2" xfId="920" xr:uid="{00000000-0005-0000-0000-00004A030000}"/>
    <cellStyle name="_Currency_dcf_04 WACC Vivax_Península" xfId="921" xr:uid="{00000000-0005-0000-0000-00004B030000}"/>
    <cellStyle name="_Currency_dcf_04 WACC Vivax_Península 2" xfId="922" xr:uid="{00000000-0005-0000-0000-00004C030000}"/>
    <cellStyle name="_Currency_dcf_04 WACC Vivax_Peninsula_0510" xfId="923" xr:uid="{00000000-0005-0000-0000-00004D030000}"/>
    <cellStyle name="_Currency_dcf_04 WACC Vivax_Peninsula_0510 2" xfId="924" xr:uid="{00000000-0005-0000-0000-00004E030000}"/>
    <cellStyle name="_Currency_dcf_04 WACC Vivax_Resumo Juros e Variações" xfId="925" xr:uid="{00000000-0005-0000-0000-00004F030000}"/>
    <cellStyle name="_Currency_dcf_04 WACC Vivax_Resumo Juros e Variações 2" xfId="926" xr:uid="{00000000-0005-0000-0000-000050030000}"/>
    <cellStyle name="_Currency_dcf_Consolidação" xfId="927" xr:uid="{00000000-0005-0000-0000-000051030000}"/>
    <cellStyle name="_Currency_dcf_Consolidação 2" xfId="928" xr:uid="{00000000-0005-0000-0000-000052030000}"/>
    <cellStyle name="_Currency_dcf_Consolidação IMOB" xfId="929" xr:uid="{00000000-0005-0000-0000-000053030000}"/>
    <cellStyle name="_Currency_dcf_Consolidação IMOB 2" xfId="930" xr:uid="{00000000-0005-0000-0000-000054030000}"/>
    <cellStyle name="_Currency_dcf_Dados por segmento julho 06" xfId="931" xr:uid="{00000000-0005-0000-0000-000055030000}"/>
    <cellStyle name="_Currency_dcf_Dados por segmento julho 06 2" xfId="932" xr:uid="{00000000-0005-0000-0000-000056030000}"/>
    <cellStyle name="_Currency_dcf_Estudo de Viabilidade - EXP BHS" xfId="933" xr:uid="{00000000-0005-0000-0000-000057030000}"/>
    <cellStyle name="_Currency_dcf_Estudo de Viabilidade - EXP BHS 2" xfId="934" xr:uid="{00000000-0005-0000-0000-000058030000}"/>
    <cellStyle name="_Currency_dcf_Estudo de Viabilidade - EXP BHS_Consolidação" xfId="935" xr:uid="{00000000-0005-0000-0000-000059030000}"/>
    <cellStyle name="_Currency_dcf_Estudo de Viabilidade - EXP BHS_Consolidação 2" xfId="936" xr:uid="{00000000-0005-0000-0000-00005A030000}"/>
    <cellStyle name="_Currency_dcf_FP 100" xfId="937" xr:uid="{00000000-0005-0000-0000-00005B030000}"/>
    <cellStyle name="_Currency_dcf_FP 100 2" xfId="938" xr:uid="{00000000-0005-0000-0000-00005C030000}"/>
    <cellStyle name="_Currency_dcf_Resumo Juros e Variações" xfId="939" xr:uid="{00000000-0005-0000-0000-00005D030000}"/>
    <cellStyle name="_Currency_dcf_Resumo Juros e Variações 2" xfId="940" xr:uid="{00000000-0005-0000-0000-00005E030000}"/>
    <cellStyle name="_Currency_dcf_Sovereign Bonds 060705" xfId="941" xr:uid="{00000000-0005-0000-0000-00005F030000}"/>
    <cellStyle name="_Currency_dcf_Sovereign Bonds 060705 (version 1)" xfId="942" xr:uid="{00000000-0005-0000-0000-000060030000}"/>
    <cellStyle name="_Currency_dcf_Sovereign Bonds 060705 (version 1) 2" xfId="943" xr:uid="{00000000-0005-0000-0000-000061030000}"/>
    <cellStyle name="_Currency_dcf_Sovereign Bonds 060705 (version 1)_01 NET DCF Model" xfId="944" xr:uid="{00000000-0005-0000-0000-000062030000}"/>
    <cellStyle name="_Currency_dcf_Sovereign Bonds 060705 (version 1)_01 NET DCF Model 2" xfId="945" xr:uid="{00000000-0005-0000-0000-000063030000}"/>
    <cellStyle name="_Currency_dcf_Sovereign Bonds 060705 (version 1)_01 NET DCF Model_Consolidação" xfId="946" xr:uid="{00000000-0005-0000-0000-000064030000}"/>
    <cellStyle name="_Currency_dcf_Sovereign Bonds 060705 (version 1)_01 NET DCF Model_Consolidação 2" xfId="947" xr:uid="{00000000-0005-0000-0000-000065030000}"/>
    <cellStyle name="_Currency_dcf_Sovereign Bonds 060705 (version 1)_01 NET DCF Model_Consolidação IMOB" xfId="948" xr:uid="{00000000-0005-0000-0000-000066030000}"/>
    <cellStyle name="_Currency_dcf_Sovereign Bonds 060705 (version 1)_01 NET DCF Model_Consolidação IMOB 2" xfId="949" xr:uid="{00000000-0005-0000-0000-000067030000}"/>
    <cellStyle name="_Currency_dcf_Sovereign Bonds 060705 (version 1)_01 NET DCF Model_Estudo de Viabilidade -IMOB Henri" xfId="950" xr:uid="{00000000-0005-0000-0000-000068030000}"/>
    <cellStyle name="_Currency_dcf_Sovereign Bonds 060705 (version 1)_01 NET DCF Model_Estudo de Viabilidade -IMOB Henri 2" xfId="951" xr:uid="{00000000-0005-0000-0000-000069030000}"/>
    <cellStyle name="_Currency_dcf_Sovereign Bonds 060705 (version 1)_01 NET DCF Model_FP 100" xfId="952" xr:uid="{00000000-0005-0000-0000-00006A030000}"/>
    <cellStyle name="_Currency_dcf_Sovereign Bonds 060705 (version 1)_01 NET DCF Model_FP 100 2" xfId="953" xr:uid="{00000000-0005-0000-0000-00006B030000}"/>
    <cellStyle name="_Currency_dcf_Sovereign Bonds 060705 (version 1)_01 NET DCF Model_Península" xfId="954" xr:uid="{00000000-0005-0000-0000-00006C030000}"/>
    <cellStyle name="_Currency_dcf_Sovereign Bonds 060705 (version 1)_01 NET DCF Model_Península 2" xfId="955" xr:uid="{00000000-0005-0000-0000-00006D030000}"/>
    <cellStyle name="_Currency_dcf_Sovereign Bonds 060705 (version 1)_01 NET DCF Model_Peninsula_0510" xfId="956" xr:uid="{00000000-0005-0000-0000-00006E030000}"/>
    <cellStyle name="_Currency_dcf_Sovereign Bonds 060705 (version 1)_01 NET DCF Model_Peninsula_0510 2" xfId="957" xr:uid="{00000000-0005-0000-0000-00006F030000}"/>
    <cellStyle name="_Currency_dcf_Sovereign Bonds 060705 (version 1)_01 NET DCF Model_Resumo Juros e Variações" xfId="958" xr:uid="{00000000-0005-0000-0000-000070030000}"/>
    <cellStyle name="_Currency_dcf_Sovereign Bonds 060705 (version 1)_01 NET DCF Model_Resumo Juros e Variações 2" xfId="959" xr:uid="{00000000-0005-0000-0000-000071030000}"/>
    <cellStyle name="_Currency_dcf_Sovereign Bonds 060705 (version 1)_03 Embratel DCF Model_Loscos" xfId="960" xr:uid="{00000000-0005-0000-0000-000072030000}"/>
    <cellStyle name="_Currency_dcf_Sovereign Bonds 060705 (version 1)_03 Embratel DCF Model_Loscos 2" xfId="961" xr:uid="{00000000-0005-0000-0000-000073030000}"/>
    <cellStyle name="_Currency_dcf_Sovereign Bonds 060705 (version 1)_05 NET DCF Model" xfId="962" xr:uid="{00000000-0005-0000-0000-000074030000}"/>
    <cellStyle name="_Currency_dcf_Sovereign Bonds 060705 (version 1)_05 NET DCF Model 2" xfId="963" xr:uid="{00000000-0005-0000-0000-000075030000}"/>
    <cellStyle name="_Currency_dcf_Sovereign Bonds 060705 (version 1)_05 NET DCF Model_Consolidação" xfId="964" xr:uid="{00000000-0005-0000-0000-000076030000}"/>
    <cellStyle name="_Currency_dcf_Sovereign Bonds 060705 (version 1)_05 NET DCF Model_Consolidação 2" xfId="965" xr:uid="{00000000-0005-0000-0000-000077030000}"/>
    <cellStyle name="_Currency_dcf_Sovereign Bonds 060705 (version 1)_05 NET DCF Model_Consolidação IMOB" xfId="966" xr:uid="{00000000-0005-0000-0000-000078030000}"/>
    <cellStyle name="_Currency_dcf_Sovereign Bonds 060705 (version 1)_05 NET DCF Model_Consolidação IMOB 2" xfId="967" xr:uid="{00000000-0005-0000-0000-000079030000}"/>
    <cellStyle name="_Currency_dcf_Sovereign Bonds 060705 (version 1)_05 NET DCF Model_Estudo de Viabilidade -IMOB Henri" xfId="968" xr:uid="{00000000-0005-0000-0000-00007A030000}"/>
    <cellStyle name="_Currency_dcf_Sovereign Bonds 060705 (version 1)_05 NET DCF Model_Estudo de Viabilidade -IMOB Henri 2" xfId="969" xr:uid="{00000000-0005-0000-0000-00007B030000}"/>
    <cellStyle name="_Currency_dcf_Sovereign Bonds 060705 (version 1)_05 NET DCF Model_FP 100" xfId="970" xr:uid="{00000000-0005-0000-0000-00007C030000}"/>
    <cellStyle name="_Currency_dcf_Sovereign Bonds 060705 (version 1)_05 NET DCF Model_FP 100 2" xfId="971" xr:uid="{00000000-0005-0000-0000-00007D030000}"/>
    <cellStyle name="_Currency_dcf_Sovereign Bonds 060705 (version 1)_05 NET DCF Model_Península" xfId="972" xr:uid="{00000000-0005-0000-0000-00007E030000}"/>
    <cellStyle name="_Currency_dcf_Sovereign Bonds 060705 (version 1)_05 NET DCF Model_Península 2" xfId="973" xr:uid="{00000000-0005-0000-0000-00007F030000}"/>
    <cellStyle name="_Currency_dcf_Sovereign Bonds 060705 (version 1)_05 NET DCF Model_Peninsula_0510" xfId="974" xr:uid="{00000000-0005-0000-0000-000080030000}"/>
    <cellStyle name="_Currency_dcf_Sovereign Bonds 060705 (version 1)_05 NET DCF Model_Peninsula_0510 2" xfId="975" xr:uid="{00000000-0005-0000-0000-000081030000}"/>
    <cellStyle name="_Currency_dcf_Sovereign Bonds 060705 (version 1)_05 NET DCF Model_Resumo Juros e Variações" xfId="976" xr:uid="{00000000-0005-0000-0000-000082030000}"/>
    <cellStyle name="_Currency_dcf_Sovereign Bonds 060705 (version 1)_05 NET DCF Model_Resumo Juros e Variações 2" xfId="977" xr:uid="{00000000-0005-0000-0000-000083030000}"/>
    <cellStyle name="_Currency_dcf_Sovereign Bonds 060705 (version 1)_05 TMX Brazil DCF Model" xfId="978" xr:uid="{00000000-0005-0000-0000-000084030000}"/>
    <cellStyle name="_Currency_dcf_Sovereign Bonds 060705 (version 1)_05 TMX Brazil DCF Model 2" xfId="979" xr:uid="{00000000-0005-0000-0000-000085030000}"/>
    <cellStyle name="_Currency_dcf_Sovereign Bonds 060705 (version 1)_05 TMX Brazil DCF Model_Consolidação" xfId="980" xr:uid="{00000000-0005-0000-0000-000086030000}"/>
    <cellStyle name="_Currency_dcf_Sovereign Bonds 060705 (version 1)_05 TMX Brazil DCF Model_Consolidação 2" xfId="981" xr:uid="{00000000-0005-0000-0000-000087030000}"/>
    <cellStyle name="_Currency_dcf_Sovereign Bonds 060705 (version 1)_05 TMX Brazil DCF Model_Consolidação IMOB" xfId="982" xr:uid="{00000000-0005-0000-0000-000088030000}"/>
    <cellStyle name="_Currency_dcf_Sovereign Bonds 060705 (version 1)_05 TMX Brazil DCF Model_Consolidação IMOB 2" xfId="983" xr:uid="{00000000-0005-0000-0000-000089030000}"/>
    <cellStyle name="_Currency_dcf_Sovereign Bonds 060705 (version 1)_05 TMX Brazil DCF Model_Estudo de Viabilidade -IMOB Henri" xfId="984" xr:uid="{00000000-0005-0000-0000-00008A030000}"/>
    <cellStyle name="_Currency_dcf_Sovereign Bonds 060705 (version 1)_05 TMX Brazil DCF Model_Estudo de Viabilidade -IMOB Henri 2" xfId="985" xr:uid="{00000000-0005-0000-0000-00008B030000}"/>
    <cellStyle name="_Currency_dcf_Sovereign Bonds 060705 (version 1)_05 TMX Brazil DCF Model_FP 100" xfId="986" xr:uid="{00000000-0005-0000-0000-00008C030000}"/>
    <cellStyle name="_Currency_dcf_Sovereign Bonds 060705 (version 1)_05 TMX Brazil DCF Model_FP 100 2" xfId="987" xr:uid="{00000000-0005-0000-0000-00008D030000}"/>
    <cellStyle name="_Currency_dcf_Sovereign Bonds 060705 (version 1)_05 TMX Brazil DCF Model_Península" xfId="988" xr:uid="{00000000-0005-0000-0000-00008E030000}"/>
    <cellStyle name="_Currency_dcf_Sovereign Bonds 060705 (version 1)_05 TMX Brazil DCF Model_Península 2" xfId="989" xr:uid="{00000000-0005-0000-0000-00008F030000}"/>
    <cellStyle name="_Currency_dcf_Sovereign Bonds 060705 (version 1)_05 TMX Brazil DCF Model_Peninsula_0510" xfId="990" xr:uid="{00000000-0005-0000-0000-000090030000}"/>
    <cellStyle name="_Currency_dcf_Sovereign Bonds 060705 (version 1)_05 TMX Brazil DCF Model_Peninsula_0510 2" xfId="991" xr:uid="{00000000-0005-0000-0000-000091030000}"/>
    <cellStyle name="_Currency_dcf_Sovereign Bonds 060705 (version 1)_05 TMX Brazil DCF Model_Resumo Juros e Variações" xfId="992" xr:uid="{00000000-0005-0000-0000-000092030000}"/>
    <cellStyle name="_Currency_dcf_Sovereign Bonds 060705 (version 1)_05 TMX Brazil DCF Model_Resumo Juros e Variações 2" xfId="993" xr:uid="{00000000-0005-0000-0000-000093030000}"/>
    <cellStyle name="_Currency_dcf_Sovereign Bonds 060705 2" xfId="994" xr:uid="{00000000-0005-0000-0000-000094030000}"/>
    <cellStyle name="_Currency_dcf_Sovereign Bonds 060705 3" xfId="995" xr:uid="{00000000-0005-0000-0000-000095030000}"/>
    <cellStyle name="_Currency_dcf_Sovereign Bonds 060705 4" xfId="996" xr:uid="{00000000-0005-0000-0000-000096030000}"/>
    <cellStyle name="_Currency_dcf_Sovereign Bonds 060705_01 NET DCF Model" xfId="997" xr:uid="{00000000-0005-0000-0000-000097030000}"/>
    <cellStyle name="_Currency_dcf_Sovereign Bonds 060705_01 NET DCF Model 2" xfId="998" xr:uid="{00000000-0005-0000-0000-000098030000}"/>
    <cellStyle name="_Currency_dcf_Sovereign Bonds 060705_01 NET DCF Model_Consolidação" xfId="999" xr:uid="{00000000-0005-0000-0000-000099030000}"/>
    <cellStyle name="_Currency_dcf_Sovereign Bonds 060705_01 NET DCF Model_Consolidação 2" xfId="1000" xr:uid="{00000000-0005-0000-0000-00009A030000}"/>
    <cellStyle name="_Currency_dcf_Sovereign Bonds 060705_01 NET DCF Model_Consolidação IMOB" xfId="1001" xr:uid="{00000000-0005-0000-0000-00009B030000}"/>
    <cellStyle name="_Currency_dcf_Sovereign Bonds 060705_01 NET DCF Model_Consolidação IMOB 2" xfId="1002" xr:uid="{00000000-0005-0000-0000-00009C030000}"/>
    <cellStyle name="_Currency_dcf_Sovereign Bonds 060705_01 NET DCF Model_Estudo de Viabilidade -IMOB Henri" xfId="1003" xr:uid="{00000000-0005-0000-0000-00009D030000}"/>
    <cellStyle name="_Currency_dcf_Sovereign Bonds 060705_01 NET DCF Model_Estudo de Viabilidade -IMOB Henri 2" xfId="1004" xr:uid="{00000000-0005-0000-0000-00009E030000}"/>
    <cellStyle name="_Currency_dcf_Sovereign Bonds 060705_01 NET DCF Model_FP 100" xfId="1005" xr:uid="{00000000-0005-0000-0000-00009F030000}"/>
    <cellStyle name="_Currency_dcf_Sovereign Bonds 060705_01 NET DCF Model_FP 100 2" xfId="1006" xr:uid="{00000000-0005-0000-0000-0000A0030000}"/>
    <cellStyle name="_Currency_dcf_Sovereign Bonds 060705_01 NET DCF Model_Península" xfId="1007" xr:uid="{00000000-0005-0000-0000-0000A1030000}"/>
    <cellStyle name="_Currency_dcf_Sovereign Bonds 060705_01 NET DCF Model_Península 2" xfId="1008" xr:uid="{00000000-0005-0000-0000-0000A2030000}"/>
    <cellStyle name="_Currency_dcf_Sovereign Bonds 060705_01 NET DCF Model_Peninsula_0510" xfId="1009" xr:uid="{00000000-0005-0000-0000-0000A3030000}"/>
    <cellStyle name="_Currency_dcf_Sovereign Bonds 060705_01 NET DCF Model_Peninsula_0510 2" xfId="1010" xr:uid="{00000000-0005-0000-0000-0000A4030000}"/>
    <cellStyle name="_Currency_dcf_Sovereign Bonds 060705_01 NET DCF Model_Resumo Juros e Variações" xfId="1011" xr:uid="{00000000-0005-0000-0000-0000A5030000}"/>
    <cellStyle name="_Currency_dcf_Sovereign Bonds 060705_01 NET DCF Model_Resumo Juros e Variações 2" xfId="1012" xr:uid="{00000000-0005-0000-0000-0000A6030000}"/>
    <cellStyle name="_Currency_dcf_Sovereign Bonds 060705_03 Embratel DCF Model_Loscos" xfId="1013" xr:uid="{00000000-0005-0000-0000-0000A7030000}"/>
    <cellStyle name="_Currency_dcf_Sovereign Bonds 060705_03 Embratel DCF Model_Loscos 2" xfId="1014" xr:uid="{00000000-0005-0000-0000-0000A8030000}"/>
    <cellStyle name="_Currency_dcf_Sovereign Bonds 060705_05 NET DCF Model" xfId="1015" xr:uid="{00000000-0005-0000-0000-0000A9030000}"/>
    <cellStyle name="_Currency_dcf_Sovereign Bonds 060705_05 NET DCF Model 2" xfId="1016" xr:uid="{00000000-0005-0000-0000-0000AA030000}"/>
    <cellStyle name="_Currency_dcf_Sovereign Bonds 060705_05 NET DCF Model_Consolidação" xfId="1017" xr:uid="{00000000-0005-0000-0000-0000AB030000}"/>
    <cellStyle name="_Currency_dcf_Sovereign Bonds 060705_05 NET DCF Model_Consolidação 2" xfId="1018" xr:uid="{00000000-0005-0000-0000-0000AC030000}"/>
    <cellStyle name="_Currency_dcf_Sovereign Bonds 060705_05 NET DCF Model_Consolidação IMOB" xfId="1019" xr:uid="{00000000-0005-0000-0000-0000AD030000}"/>
    <cellStyle name="_Currency_dcf_Sovereign Bonds 060705_05 NET DCF Model_Consolidação IMOB 2" xfId="1020" xr:uid="{00000000-0005-0000-0000-0000AE030000}"/>
    <cellStyle name="_Currency_dcf_Sovereign Bonds 060705_05 NET DCF Model_Estudo de Viabilidade -IMOB Henri" xfId="1021" xr:uid="{00000000-0005-0000-0000-0000AF030000}"/>
    <cellStyle name="_Currency_dcf_Sovereign Bonds 060705_05 NET DCF Model_Estudo de Viabilidade -IMOB Henri 2" xfId="1022" xr:uid="{00000000-0005-0000-0000-0000B0030000}"/>
    <cellStyle name="_Currency_dcf_Sovereign Bonds 060705_05 NET DCF Model_FP 100" xfId="1023" xr:uid="{00000000-0005-0000-0000-0000B1030000}"/>
    <cellStyle name="_Currency_dcf_Sovereign Bonds 060705_05 NET DCF Model_FP 100 2" xfId="1024" xr:uid="{00000000-0005-0000-0000-0000B2030000}"/>
    <cellStyle name="_Currency_dcf_Sovereign Bonds 060705_05 NET DCF Model_Península" xfId="1025" xr:uid="{00000000-0005-0000-0000-0000B3030000}"/>
    <cellStyle name="_Currency_dcf_Sovereign Bonds 060705_05 NET DCF Model_Península 2" xfId="1026" xr:uid="{00000000-0005-0000-0000-0000B4030000}"/>
    <cellStyle name="_Currency_dcf_Sovereign Bonds 060705_05 NET DCF Model_Peninsula_0510" xfId="1027" xr:uid="{00000000-0005-0000-0000-0000B5030000}"/>
    <cellStyle name="_Currency_dcf_Sovereign Bonds 060705_05 NET DCF Model_Peninsula_0510 2" xfId="1028" xr:uid="{00000000-0005-0000-0000-0000B6030000}"/>
    <cellStyle name="_Currency_dcf_Sovereign Bonds 060705_05 NET DCF Model_Resumo Juros e Variações" xfId="1029" xr:uid="{00000000-0005-0000-0000-0000B7030000}"/>
    <cellStyle name="_Currency_dcf_Sovereign Bonds 060705_05 NET DCF Model_Resumo Juros e Variações 2" xfId="1030" xr:uid="{00000000-0005-0000-0000-0000B8030000}"/>
    <cellStyle name="_Currency_dcf_Sovereign Bonds 060705_05 TMX Brazil DCF Model" xfId="1031" xr:uid="{00000000-0005-0000-0000-0000B9030000}"/>
    <cellStyle name="_Currency_dcf_Sovereign Bonds 060705_05 TMX Brazil DCF Model 2" xfId="1032" xr:uid="{00000000-0005-0000-0000-0000BA030000}"/>
    <cellStyle name="_Currency_dcf_Sovereign Bonds 060705_05 TMX Brazil DCF Model_Consolidação" xfId="1033" xr:uid="{00000000-0005-0000-0000-0000BB030000}"/>
    <cellStyle name="_Currency_dcf_Sovereign Bonds 060705_05 TMX Brazil DCF Model_Consolidação 2" xfId="1034" xr:uid="{00000000-0005-0000-0000-0000BC030000}"/>
    <cellStyle name="_Currency_dcf_Sovereign Bonds 060705_05 TMX Brazil DCF Model_Consolidação IMOB" xfId="1035" xr:uid="{00000000-0005-0000-0000-0000BD030000}"/>
    <cellStyle name="_Currency_dcf_Sovereign Bonds 060705_05 TMX Brazil DCF Model_Consolidação IMOB 2" xfId="1036" xr:uid="{00000000-0005-0000-0000-0000BE030000}"/>
    <cellStyle name="_Currency_dcf_Sovereign Bonds 060705_05 TMX Brazil DCF Model_Estudo de Viabilidade -IMOB Henri" xfId="1037" xr:uid="{00000000-0005-0000-0000-0000BF030000}"/>
    <cellStyle name="_Currency_dcf_Sovereign Bonds 060705_05 TMX Brazil DCF Model_Estudo de Viabilidade -IMOB Henri 2" xfId="1038" xr:uid="{00000000-0005-0000-0000-0000C0030000}"/>
    <cellStyle name="_Currency_dcf_Sovereign Bonds 060705_05 TMX Brazil DCF Model_FP 100" xfId="1039" xr:uid="{00000000-0005-0000-0000-0000C1030000}"/>
    <cellStyle name="_Currency_dcf_Sovereign Bonds 060705_05 TMX Brazil DCF Model_FP 100 2" xfId="1040" xr:uid="{00000000-0005-0000-0000-0000C2030000}"/>
    <cellStyle name="_Currency_dcf_Sovereign Bonds 060705_05 TMX Brazil DCF Model_Península" xfId="1041" xr:uid="{00000000-0005-0000-0000-0000C3030000}"/>
    <cellStyle name="_Currency_dcf_Sovereign Bonds 060705_05 TMX Brazil DCF Model_Península 2" xfId="1042" xr:uid="{00000000-0005-0000-0000-0000C4030000}"/>
    <cellStyle name="_Currency_dcf_Sovereign Bonds 060705_05 TMX Brazil DCF Model_Peninsula_0510" xfId="1043" xr:uid="{00000000-0005-0000-0000-0000C5030000}"/>
    <cellStyle name="_Currency_dcf_Sovereign Bonds 060705_05 TMX Brazil DCF Model_Peninsula_0510 2" xfId="1044" xr:uid="{00000000-0005-0000-0000-0000C6030000}"/>
    <cellStyle name="_Currency_dcf_Sovereign Bonds 060705_05 TMX Brazil DCF Model_Resumo Juros e Variações" xfId="1045" xr:uid="{00000000-0005-0000-0000-0000C7030000}"/>
    <cellStyle name="_Currency_dcf_Sovereign Bonds 060705_05 TMX Brazil DCF Model_Resumo Juros e Variações 2" xfId="1046" xr:uid="{00000000-0005-0000-0000-0000C8030000}"/>
    <cellStyle name="_Currency_Definitions" xfId="1047" xr:uid="{00000000-0005-0000-0000-0000C9030000}"/>
    <cellStyle name="_Currency_EMT Management Assumptions_v2" xfId="1048" xr:uid="{00000000-0005-0000-0000-0000CA030000}"/>
    <cellStyle name="_Currency_EMT Management Assumptions_v2 2" xfId="1049" xr:uid="{00000000-0005-0000-0000-0000CB030000}"/>
    <cellStyle name="_Currency_EMT Management Assumptions_v2_Consolidação" xfId="1050" xr:uid="{00000000-0005-0000-0000-0000CC030000}"/>
    <cellStyle name="_Currency_EMT Management Assumptions_v2_Consolidação 2" xfId="1051" xr:uid="{00000000-0005-0000-0000-0000CD030000}"/>
    <cellStyle name="_Currency_EMT Management Assumptions_v2_Consolidação IMOB" xfId="1052" xr:uid="{00000000-0005-0000-0000-0000CE030000}"/>
    <cellStyle name="_Currency_EMT Management Assumptions_v2_Consolidação IMOB 2" xfId="1053" xr:uid="{00000000-0005-0000-0000-0000CF030000}"/>
    <cellStyle name="_Currency_EMT Management Assumptions_v2_Estudo de Viabilidade -IMOB Henri" xfId="1054" xr:uid="{00000000-0005-0000-0000-0000D0030000}"/>
    <cellStyle name="_Currency_EMT Management Assumptions_v2_Estudo de Viabilidade -IMOB Henri 2" xfId="1055" xr:uid="{00000000-0005-0000-0000-0000D1030000}"/>
    <cellStyle name="_Currency_EMT Management Assumptions_v2_FP 100" xfId="1056" xr:uid="{00000000-0005-0000-0000-0000D2030000}"/>
    <cellStyle name="_Currency_EMT Management Assumptions_v2_FP 100 2" xfId="1057" xr:uid="{00000000-0005-0000-0000-0000D3030000}"/>
    <cellStyle name="_Currency_EMT Management Assumptions_v2_Península" xfId="1058" xr:uid="{00000000-0005-0000-0000-0000D4030000}"/>
    <cellStyle name="_Currency_EMT Management Assumptions_v2_Península 2" xfId="1059" xr:uid="{00000000-0005-0000-0000-0000D5030000}"/>
    <cellStyle name="_Currency_EMT Management Assumptions_v2_Peninsula_0510" xfId="1060" xr:uid="{00000000-0005-0000-0000-0000D6030000}"/>
    <cellStyle name="_Currency_EMT Management Assumptions_v2_Peninsula_0510 2" xfId="1061" xr:uid="{00000000-0005-0000-0000-0000D7030000}"/>
    <cellStyle name="_Currency_EMT Management Assumptions_v2_Resumo Juros e Variações" xfId="1062" xr:uid="{00000000-0005-0000-0000-0000D8030000}"/>
    <cellStyle name="_Currency_EMT Management Assumptions_v2_Resumo Juros e Variações 2" xfId="1063" xr:uid="{00000000-0005-0000-0000-0000D9030000}"/>
    <cellStyle name="_Currency_Estudo de Viabilidade -IMOB Henri" xfId="1064" xr:uid="{00000000-0005-0000-0000-0000DA030000}"/>
    <cellStyle name="_Currency_Estudo de Viabilidade -IMOB Henri 2" xfId="1065" xr:uid="{00000000-0005-0000-0000-0000DB030000}"/>
    <cellStyle name="_Currency_FP 100" xfId="1066" xr:uid="{00000000-0005-0000-0000-0000DC030000}"/>
    <cellStyle name="_Currency_FP 100 2" xfId="1067" xr:uid="{00000000-0005-0000-0000-0000DD030000}"/>
    <cellStyle name="_Currency_LA WACC Discount_1" xfId="1068" xr:uid="{00000000-0005-0000-0000-0000DE030000}"/>
    <cellStyle name="_Currency_LA WACC Discount_1 2" xfId="1069" xr:uid="{00000000-0005-0000-0000-0000DF030000}"/>
    <cellStyle name="_Currency_LA WACC Discount_1_Consolidação" xfId="1070" xr:uid="{00000000-0005-0000-0000-0000E0030000}"/>
    <cellStyle name="_Currency_LA WACC Discount_1_Consolidação 2" xfId="1071" xr:uid="{00000000-0005-0000-0000-0000E1030000}"/>
    <cellStyle name="_Currency_LA WACC Discount_1_Consolidação IMOB" xfId="1072" xr:uid="{00000000-0005-0000-0000-0000E2030000}"/>
    <cellStyle name="_Currency_LA WACC Discount_1_Consolidação IMOB 2" xfId="1073" xr:uid="{00000000-0005-0000-0000-0000E3030000}"/>
    <cellStyle name="_Currency_LA WACC Discount_1_Dados por segmento julho 06" xfId="1074" xr:uid="{00000000-0005-0000-0000-0000E4030000}"/>
    <cellStyle name="_Currency_LA WACC Discount_1_Dados por segmento julho 06 2" xfId="1075" xr:uid="{00000000-0005-0000-0000-0000E5030000}"/>
    <cellStyle name="_Currency_LA WACC Discount_1_Estudo de Viabilidade - EXP BHS" xfId="1076" xr:uid="{00000000-0005-0000-0000-0000E6030000}"/>
    <cellStyle name="_Currency_LA WACC Discount_1_Estudo de Viabilidade - EXP BHS 2" xfId="1077" xr:uid="{00000000-0005-0000-0000-0000E7030000}"/>
    <cellStyle name="_Currency_LA WACC Discount_1_Estudo de Viabilidade - EXP BHS_Consolidação" xfId="1078" xr:uid="{00000000-0005-0000-0000-0000E8030000}"/>
    <cellStyle name="_Currency_LA WACC Discount_1_Estudo de Viabilidade - EXP BHS_Consolidação 2" xfId="1079" xr:uid="{00000000-0005-0000-0000-0000E9030000}"/>
    <cellStyle name="_Currency_LA WACC Discount_1_FP 100" xfId="1080" xr:uid="{00000000-0005-0000-0000-0000EA030000}"/>
    <cellStyle name="_Currency_LA WACC Discount_1_FP 100 2" xfId="1081" xr:uid="{00000000-0005-0000-0000-0000EB030000}"/>
    <cellStyle name="_Currency_LA WACC Discount_1_Resumo Juros e Variações" xfId="1082" xr:uid="{00000000-0005-0000-0000-0000EC030000}"/>
    <cellStyle name="_Currency_LA WACC Discount_1_Resumo Juros e Variações 2" xfId="1083" xr:uid="{00000000-0005-0000-0000-0000ED030000}"/>
    <cellStyle name="_Currency_LA WACC Discount_1_Sovereign Bonds 060705" xfId="1084" xr:uid="{00000000-0005-0000-0000-0000EE030000}"/>
    <cellStyle name="_Currency_LA WACC Discount_1_Sovereign Bonds 060705 (version 1)" xfId="1085" xr:uid="{00000000-0005-0000-0000-0000EF030000}"/>
    <cellStyle name="_Currency_LA WACC Discount_1_Sovereign Bonds 060705 (version 1) 2" xfId="1086" xr:uid="{00000000-0005-0000-0000-0000F0030000}"/>
    <cellStyle name="_Currency_LA WACC Discount_1_Sovereign Bonds 060705 (version 1)_01 NET DCF Model" xfId="1087" xr:uid="{00000000-0005-0000-0000-0000F1030000}"/>
    <cellStyle name="_Currency_LA WACC Discount_1_Sovereign Bonds 060705 (version 1)_01 NET DCF Model 2" xfId="1088" xr:uid="{00000000-0005-0000-0000-0000F2030000}"/>
    <cellStyle name="_Currency_LA WACC Discount_1_Sovereign Bonds 060705 (version 1)_01 NET DCF Model_Consolidação" xfId="1089" xr:uid="{00000000-0005-0000-0000-0000F3030000}"/>
    <cellStyle name="_Currency_LA WACC Discount_1_Sovereign Bonds 060705 (version 1)_01 NET DCF Model_Consolidação 2" xfId="1090" xr:uid="{00000000-0005-0000-0000-0000F4030000}"/>
    <cellStyle name="_Currency_LA WACC Discount_1_Sovereign Bonds 060705 (version 1)_01 NET DCF Model_Consolidação IMOB" xfId="1091" xr:uid="{00000000-0005-0000-0000-0000F5030000}"/>
    <cellStyle name="_Currency_LA WACC Discount_1_Sovereign Bonds 060705 (version 1)_01 NET DCF Model_Consolidação IMOB 2" xfId="1092" xr:uid="{00000000-0005-0000-0000-0000F6030000}"/>
    <cellStyle name="_Currency_LA WACC Discount_1_Sovereign Bonds 060705 (version 1)_01 NET DCF Model_Estudo de Viabilidade -IMOB Henri" xfId="1093" xr:uid="{00000000-0005-0000-0000-0000F7030000}"/>
    <cellStyle name="_Currency_LA WACC Discount_1_Sovereign Bonds 060705 (version 1)_01 NET DCF Model_Estudo de Viabilidade -IMOB Henri 2" xfId="1094" xr:uid="{00000000-0005-0000-0000-0000F8030000}"/>
    <cellStyle name="_Currency_LA WACC Discount_1_Sovereign Bonds 060705 (version 1)_01 NET DCF Model_FP 100" xfId="1095" xr:uid="{00000000-0005-0000-0000-0000F9030000}"/>
    <cellStyle name="_Currency_LA WACC Discount_1_Sovereign Bonds 060705 (version 1)_01 NET DCF Model_FP 100 2" xfId="1096" xr:uid="{00000000-0005-0000-0000-0000FA030000}"/>
    <cellStyle name="_Currency_LA WACC Discount_1_Sovereign Bonds 060705 (version 1)_01 NET DCF Model_Península" xfId="1097" xr:uid="{00000000-0005-0000-0000-0000FB030000}"/>
    <cellStyle name="_Currency_LA WACC Discount_1_Sovereign Bonds 060705 (version 1)_01 NET DCF Model_Península 2" xfId="1098" xr:uid="{00000000-0005-0000-0000-0000FC030000}"/>
    <cellStyle name="_Currency_LA WACC Discount_1_Sovereign Bonds 060705 (version 1)_01 NET DCF Model_Peninsula_0510" xfId="1099" xr:uid="{00000000-0005-0000-0000-0000FD030000}"/>
    <cellStyle name="_Currency_LA WACC Discount_1_Sovereign Bonds 060705 (version 1)_01 NET DCF Model_Peninsula_0510 2" xfId="1100" xr:uid="{00000000-0005-0000-0000-0000FE030000}"/>
    <cellStyle name="_Currency_LA WACC Discount_1_Sovereign Bonds 060705 (version 1)_01 NET DCF Model_Resumo Juros e Variações" xfId="1101" xr:uid="{00000000-0005-0000-0000-0000FF030000}"/>
    <cellStyle name="_Currency_LA WACC Discount_1_Sovereign Bonds 060705 (version 1)_01 NET DCF Model_Resumo Juros e Variações 2" xfId="1102" xr:uid="{00000000-0005-0000-0000-000000040000}"/>
    <cellStyle name="_Currency_LA WACC Discount_1_Sovereign Bonds 060705 (version 1)_03 Embratel DCF Model_Loscos" xfId="1103" xr:uid="{00000000-0005-0000-0000-000001040000}"/>
    <cellStyle name="_Currency_LA WACC Discount_1_Sovereign Bonds 060705 (version 1)_03 Embratel DCF Model_Loscos 2" xfId="1104" xr:uid="{00000000-0005-0000-0000-000002040000}"/>
    <cellStyle name="_Currency_LA WACC Discount_1_Sovereign Bonds 060705 (version 1)_05 NET DCF Model" xfId="1105" xr:uid="{00000000-0005-0000-0000-000003040000}"/>
    <cellStyle name="_Currency_LA WACC Discount_1_Sovereign Bonds 060705 (version 1)_05 NET DCF Model 2" xfId="1106" xr:uid="{00000000-0005-0000-0000-000004040000}"/>
    <cellStyle name="_Currency_LA WACC Discount_1_Sovereign Bonds 060705 (version 1)_05 NET DCF Model_Consolidação" xfId="1107" xr:uid="{00000000-0005-0000-0000-000005040000}"/>
    <cellStyle name="_Currency_LA WACC Discount_1_Sovereign Bonds 060705 (version 1)_05 NET DCF Model_Consolidação 2" xfId="1108" xr:uid="{00000000-0005-0000-0000-000006040000}"/>
    <cellStyle name="_Currency_LA WACC Discount_1_Sovereign Bonds 060705 (version 1)_05 NET DCF Model_Consolidação IMOB" xfId="1109" xr:uid="{00000000-0005-0000-0000-000007040000}"/>
    <cellStyle name="_Currency_LA WACC Discount_1_Sovereign Bonds 060705 (version 1)_05 NET DCF Model_Consolidação IMOB 2" xfId="1110" xr:uid="{00000000-0005-0000-0000-000008040000}"/>
    <cellStyle name="_Currency_LA WACC Discount_1_Sovereign Bonds 060705 (version 1)_05 NET DCF Model_Estudo de Viabilidade -IMOB Henri" xfId="1111" xr:uid="{00000000-0005-0000-0000-000009040000}"/>
    <cellStyle name="_Currency_LA WACC Discount_1_Sovereign Bonds 060705 (version 1)_05 NET DCF Model_Estudo de Viabilidade -IMOB Henri 2" xfId="1112" xr:uid="{00000000-0005-0000-0000-00000A040000}"/>
    <cellStyle name="_Currency_LA WACC Discount_1_Sovereign Bonds 060705 (version 1)_05 NET DCF Model_FP 100" xfId="1113" xr:uid="{00000000-0005-0000-0000-00000B040000}"/>
    <cellStyle name="_Currency_LA WACC Discount_1_Sovereign Bonds 060705 (version 1)_05 NET DCF Model_FP 100 2" xfId="1114" xr:uid="{00000000-0005-0000-0000-00000C040000}"/>
    <cellStyle name="_Currency_LA WACC Discount_1_Sovereign Bonds 060705 (version 1)_05 NET DCF Model_Península" xfId="1115" xr:uid="{00000000-0005-0000-0000-00000D040000}"/>
    <cellStyle name="_Currency_LA WACC Discount_1_Sovereign Bonds 060705 (version 1)_05 NET DCF Model_Península 2" xfId="1116" xr:uid="{00000000-0005-0000-0000-00000E040000}"/>
    <cellStyle name="_Currency_LA WACC Discount_1_Sovereign Bonds 060705 (version 1)_05 NET DCF Model_Peninsula_0510" xfId="1117" xr:uid="{00000000-0005-0000-0000-00000F040000}"/>
    <cellStyle name="_Currency_LA WACC Discount_1_Sovereign Bonds 060705 (version 1)_05 NET DCF Model_Peninsula_0510 2" xfId="1118" xr:uid="{00000000-0005-0000-0000-000010040000}"/>
    <cellStyle name="_Currency_LA WACC Discount_1_Sovereign Bonds 060705 (version 1)_05 NET DCF Model_Resumo Juros e Variações" xfId="1119" xr:uid="{00000000-0005-0000-0000-000011040000}"/>
    <cellStyle name="_Currency_LA WACC Discount_1_Sovereign Bonds 060705 (version 1)_05 NET DCF Model_Resumo Juros e Variações 2" xfId="1120" xr:uid="{00000000-0005-0000-0000-000012040000}"/>
    <cellStyle name="_Currency_LA WACC Discount_1_Sovereign Bonds 060705 (version 1)_05 TMX Brazil DCF Model" xfId="1121" xr:uid="{00000000-0005-0000-0000-000013040000}"/>
    <cellStyle name="_Currency_LA WACC Discount_1_Sovereign Bonds 060705 (version 1)_05 TMX Brazil DCF Model 2" xfId="1122" xr:uid="{00000000-0005-0000-0000-000014040000}"/>
    <cellStyle name="_Currency_LA WACC Discount_1_Sovereign Bonds 060705 (version 1)_05 TMX Brazil DCF Model_Consolidação" xfId="1123" xr:uid="{00000000-0005-0000-0000-000015040000}"/>
    <cellStyle name="_Currency_LA WACC Discount_1_Sovereign Bonds 060705 (version 1)_05 TMX Brazil DCF Model_Consolidação 2" xfId="1124" xr:uid="{00000000-0005-0000-0000-000016040000}"/>
    <cellStyle name="_Currency_LA WACC Discount_1_Sovereign Bonds 060705 (version 1)_05 TMX Brazil DCF Model_Consolidação IMOB" xfId="1125" xr:uid="{00000000-0005-0000-0000-000017040000}"/>
    <cellStyle name="_Currency_LA WACC Discount_1_Sovereign Bonds 060705 (version 1)_05 TMX Brazil DCF Model_Consolidação IMOB 2" xfId="1126" xr:uid="{00000000-0005-0000-0000-000018040000}"/>
    <cellStyle name="_Currency_LA WACC Discount_1_Sovereign Bonds 060705 (version 1)_05 TMX Brazil DCF Model_Estudo de Viabilidade -IMOB Henri" xfId="1127" xr:uid="{00000000-0005-0000-0000-000019040000}"/>
    <cellStyle name="_Currency_LA WACC Discount_1_Sovereign Bonds 060705 (version 1)_05 TMX Brazil DCF Model_Estudo de Viabilidade -IMOB Henri 2" xfId="1128" xr:uid="{00000000-0005-0000-0000-00001A040000}"/>
    <cellStyle name="_Currency_LA WACC Discount_1_Sovereign Bonds 060705 (version 1)_05 TMX Brazil DCF Model_FP 100" xfId="1129" xr:uid="{00000000-0005-0000-0000-00001B040000}"/>
    <cellStyle name="_Currency_LA WACC Discount_1_Sovereign Bonds 060705 (version 1)_05 TMX Brazil DCF Model_FP 100 2" xfId="1130" xr:uid="{00000000-0005-0000-0000-00001C040000}"/>
    <cellStyle name="_Currency_LA WACC Discount_1_Sovereign Bonds 060705 (version 1)_05 TMX Brazil DCF Model_Península" xfId="1131" xr:uid="{00000000-0005-0000-0000-00001D040000}"/>
    <cellStyle name="_Currency_LA WACC Discount_1_Sovereign Bonds 060705 (version 1)_05 TMX Brazil DCF Model_Península 2" xfId="1132" xr:uid="{00000000-0005-0000-0000-00001E040000}"/>
    <cellStyle name="_Currency_LA WACC Discount_1_Sovereign Bonds 060705 (version 1)_05 TMX Brazil DCF Model_Peninsula_0510" xfId="1133" xr:uid="{00000000-0005-0000-0000-00001F040000}"/>
    <cellStyle name="_Currency_LA WACC Discount_1_Sovereign Bonds 060705 (version 1)_05 TMX Brazil DCF Model_Peninsula_0510 2" xfId="1134" xr:uid="{00000000-0005-0000-0000-000020040000}"/>
    <cellStyle name="_Currency_LA WACC Discount_1_Sovereign Bonds 060705 (version 1)_05 TMX Brazil DCF Model_Resumo Juros e Variações" xfId="1135" xr:uid="{00000000-0005-0000-0000-000021040000}"/>
    <cellStyle name="_Currency_LA WACC Discount_1_Sovereign Bonds 060705 (version 1)_05 TMX Brazil DCF Model_Resumo Juros e Variações 2" xfId="1136" xr:uid="{00000000-0005-0000-0000-000022040000}"/>
    <cellStyle name="_Currency_LA WACC Discount_1_Sovereign Bonds 060705 2" xfId="1137" xr:uid="{00000000-0005-0000-0000-000023040000}"/>
    <cellStyle name="_Currency_LA WACC Discount_1_Sovereign Bonds 060705 3" xfId="1138" xr:uid="{00000000-0005-0000-0000-000024040000}"/>
    <cellStyle name="_Currency_LA WACC Discount_1_Sovereign Bonds 060705 4" xfId="1139" xr:uid="{00000000-0005-0000-0000-000025040000}"/>
    <cellStyle name="_Currency_LA WACC Discount_1_Sovereign Bonds 060705_01 NET DCF Model" xfId="1140" xr:uid="{00000000-0005-0000-0000-000026040000}"/>
    <cellStyle name="_Currency_LA WACC Discount_1_Sovereign Bonds 060705_01 NET DCF Model 2" xfId="1141" xr:uid="{00000000-0005-0000-0000-000027040000}"/>
    <cellStyle name="_Currency_LA WACC Discount_1_Sovereign Bonds 060705_01 NET DCF Model_Consolidação" xfId="1142" xr:uid="{00000000-0005-0000-0000-000028040000}"/>
    <cellStyle name="_Currency_LA WACC Discount_1_Sovereign Bonds 060705_01 NET DCF Model_Consolidação 2" xfId="1143" xr:uid="{00000000-0005-0000-0000-000029040000}"/>
    <cellStyle name="_Currency_LA WACC Discount_1_Sovereign Bonds 060705_01 NET DCF Model_Consolidação IMOB" xfId="1144" xr:uid="{00000000-0005-0000-0000-00002A040000}"/>
    <cellStyle name="_Currency_LA WACC Discount_1_Sovereign Bonds 060705_01 NET DCF Model_Consolidação IMOB 2" xfId="1145" xr:uid="{00000000-0005-0000-0000-00002B040000}"/>
    <cellStyle name="_Currency_LA WACC Discount_1_Sovereign Bonds 060705_01 NET DCF Model_Estudo de Viabilidade -IMOB Henri" xfId="1146" xr:uid="{00000000-0005-0000-0000-00002C040000}"/>
    <cellStyle name="_Currency_LA WACC Discount_1_Sovereign Bonds 060705_01 NET DCF Model_Estudo de Viabilidade -IMOB Henri 2" xfId="1147" xr:uid="{00000000-0005-0000-0000-00002D040000}"/>
    <cellStyle name="_Currency_LA WACC Discount_1_Sovereign Bonds 060705_01 NET DCF Model_FP 100" xfId="1148" xr:uid="{00000000-0005-0000-0000-00002E040000}"/>
    <cellStyle name="_Currency_LA WACC Discount_1_Sovereign Bonds 060705_01 NET DCF Model_FP 100 2" xfId="1149" xr:uid="{00000000-0005-0000-0000-00002F040000}"/>
    <cellStyle name="_Currency_LA WACC Discount_1_Sovereign Bonds 060705_01 NET DCF Model_Península" xfId="1150" xr:uid="{00000000-0005-0000-0000-000030040000}"/>
    <cellStyle name="_Currency_LA WACC Discount_1_Sovereign Bonds 060705_01 NET DCF Model_Península 2" xfId="1151" xr:uid="{00000000-0005-0000-0000-000031040000}"/>
    <cellStyle name="_Currency_LA WACC Discount_1_Sovereign Bonds 060705_01 NET DCF Model_Peninsula_0510" xfId="1152" xr:uid="{00000000-0005-0000-0000-000032040000}"/>
    <cellStyle name="_Currency_LA WACC Discount_1_Sovereign Bonds 060705_01 NET DCF Model_Peninsula_0510 2" xfId="1153" xr:uid="{00000000-0005-0000-0000-000033040000}"/>
    <cellStyle name="_Currency_LA WACC Discount_1_Sovereign Bonds 060705_01 NET DCF Model_Resumo Juros e Variações" xfId="1154" xr:uid="{00000000-0005-0000-0000-000034040000}"/>
    <cellStyle name="_Currency_LA WACC Discount_1_Sovereign Bonds 060705_01 NET DCF Model_Resumo Juros e Variações 2" xfId="1155" xr:uid="{00000000-0005-0000-0000-000035040000}"/>
    <cellStyle name="_Currency_LA WACC Discount_1_Sovereign Bonds 060705_03 Embratel DCF Model_Loscos" xfId="1156" xr:uid="{00000000-0005-0000-0000-000036040000}"/>
    <cellStyle name="_Currency_LA WACC Discount_1_Sovereign Bonds 060705_03 Embratel DCF Model_Loscos 2" xfId="1157" xr:uid="{00000000-0005-0000-0000-000037040000}"/>
    <cellStyle name="_Currency_LA WACC Discount_1_Sovereign Bonds 060705_05 NET DCF Model" xfId="1158" xr:uid="{00000000-0005-0000-0000-000038040000}"/>
    <cellStyle name="_Currency_LA WACC Discount_1_Sovereign Bonds 060705_05 NET DCF Model 2" xfId="1159" xr:uid="{00000000-0005-0000-0000-000039040000}"/>
    <cellStyle name="_Currency_LA WACC Discount_1_Sovereign Bonds 060705_05 NET DCF Model_Consolidação" xfId="1160" xr:uid="{00000000-0005-0000-0000-00003A040000}"/>
    <cellStyle name="_Currency_LA WACC Discount_1_Sovereign Bonds 060705_05 NET DCF Model_Consolidação 2" xfId="1161" xr:uid="{00000000-0005-0000-0000-00003B040000}"/>
    <cellStyle name="_Currency_LA WACC Discount_1_Sovereign Bonds 060705_05 NET DCF Model_Consolidação IMOB" xfId="1162" xr:uid="{00000000-0005-0000-0000-00003C040000}"/>
    <cellStyle name="_Currency_LA WACC Discount_1_Sovereign Bonds 060705_05 NET DCF Model_Consolidação IMOB 2" xfId="1163" xr:uid="{00000000-0005-0000-0000-00003D040000}"/>
    <cellStyle name="_Currency_LA WACC Discount_1_Sovereign Bonds 060705_05 NET DCF Model_Estudo de Viabilidade -IMOB Henri" xfId="1164" xr:uid="{00000000-0005-0000-0000-00003E040000}"/>
    <cellStyle name="_Currency_LA WACC Discount_1_Sovereign Bonds 060705_05 NET DCF Model_Estudo de Viabilidade -IMOB Henri 2" xfId="1165" xr:uid="{00000000-0005-0000-0000-00003F040000}"/>
    <cellStyle name="_Currency_LA WACC Discount_1_Sovereign Bonds 060705_05 NET DCF Model_FP 100" xfId="1166" xr:uid="{00000000-0005-0000-0000-000040040000}"/>
    <cellStyle name="_Currency_LA WACC Discount_1_Sovereign Bonds 060705_05 NET DCF Model_FP 100 2" xfId="1167" xr:uid="{00000000-0005-0000-0000-000041040000}"/>
    <cellStyle name="_Currency_LA WACC Discount_1_Sovereign Bonds 060705_05 NET DCF Model_Península" xfId="1168" xr:uid="{00000000-0005-0000-0000-000042040000}"/>
    <cellStyle name="_Currency_LA WACC Discount_1_Sovereign Bonds 060705_05 NET DCF Model_Península 2" xfId="1169" xr:uid="{00000000-0005-0000-0000-000043040000}"/>
    <cellStyle name="_Currency_LA WACC Discount_1_Sovereign Bonds 060705_05 NET DCF Model_Peninsula_0510" xfId="1170" xr:uid="{00000000-0005-0000-0000-000044040000}"/>
    <cellStyle name="_Currency_LA WACC Discount_1_Sovereign Bonds 060705_05 NET DCF Model_Peninsula_0510 2" xfId="1171" xr:uid="{00000000-0005-0000-0000-000045040000}"/>
    <cellStyle name="_Currency_LA WACC Discount_1_Sovereign Bonds 060705_05 NET DCF Model_Resumo Juros e Variações" xfId="1172" xr:uid="{00000000-0005-0000-0000-000046040000}"/>
    <cellStyle name="_Currency_LA WACC Discount_1_Sovereign Bonds 060705_05 NET DCF Model_Resumo Juros e Variações 2" xfId="1173" xr:uid="{00000000-0005-0000-0000-000047040000}"/>
    <cellStyle name="_Currency_LA WACC Discount_1_Sovereign Bonds 060705_05 TMX Brazil DCF Model" xfId="1174" xr:uid="{00000000-0005-0000-0000-000048040000}"/>
    <cellStyle name="_Currency_LA WACC Discount_1_Sovereign Bonds 060705_05 TMX Brazil DCF Model 2" xfId="1175" xr:uid="{00000000-0005-0000-0000-000049040000}"/>
    <cellStyle name="_Currency_LA WACC Discount_1_Sovereign Bonds 060705_05 TMX Brazil DCF Model_Consolidação" xfId="1176" xr:uid="{00000000-0005-0000-0000-00004A040000}"/>
    <cellStyle name="_Currency_LA WACC Discount_1_Sovereign Bonds 060705_05 TMX Brazil DCF Model_Consolidação 2" xfId="1177" xr:uid="{00000000-0005-0000-0000-00004B040000}"/>
    <cellStyle name="_Currency_LA WACC Discount_1_Sovereign Bonds 060705_05 TMX Brazil DCF Model_Consolidação IMOB" xfId="1178" xr:uid="{00000000-0005-0000-0000-00004C040000}"/>
    <cellStyle name="_Currency_LA WACC Discount_1_Sovereign Bonds 060705_05 TMX Brazil DCF Model_Consolidação IMOB 2" xfId="1179" xr:uid="{00000000-0005-0000-0000-00004D040000}"/>
    <cellStyle name="_Currency_LA WACC Discount_1_Sovereign Bonds 060705_05 TMX Brazil DCF Model_Estudo de Viabilidade -IMOB Henri" xfId="1180" xr:uid="{00000000-0005-0000-0000-00004E040000}"/>
    <cellStyle name="_Currency_LA WACC Discount_1_Sovereign Bonds 060705_05 TMX Brazil DCF Model_Estudo de Viabilidade -IMOB Henri 2" xfId="1181" xr:uid="{00000000-0005-0000-0000-00004F040000}"/>
    <cellStyle name="_Currency_LA WACC Discount_1_Sovereign Bonds 060705_05 TMX Brazil DCF Model_FP 100" xfId="1182" xr:uid="{00000000-0005-0000-0000-000050040000}"/>
    <cellStyle name="_Currency_LA WACC Discount_1_Sovereign Bonds 060705_05 TMX Brazil DCF Model_FP 100 2" xfId="1183" xr:uid="{00000000-0005-0000-0000-000051040000}"/>
    <cellStyle name="_Currency_LA WACC Discount_1_Sovereign Bonds 060705_05 TMX Brazil DCF Model_Península" xfId="1184" xr:uid="{00000000-0005-0000-0000-000052040000}"/>
    <cellStyle name="_Currency_LA WACC Discount_1_Sovereign Bonds 060705_05 TMX Brazil DCF Model_Península 2" xfId="1185" xr:uid="{00000000-0005-0000-0000-000053040000}"/>
    <cellStyle name="_Currency_LA WACC Discount_1_Sovereign Bonds 060705_05 TMX Brazil DCF Model_Peninsula_0510" xfId="1186" xr:uid="{00000000-0005-0000-0000-000054040000}"/>
    <cellStyle name="_Currency_LA WACC Discount_1_Sovereign Bonds 060705_05 TMX Brazil DCF Model_Peninsula_0510 2" xfId="1187" xr:uid="{00000000-0005-0000-0000-000055040000}"/>
    <cellStyle name="_Currency_LA WACC Discount_1_Sovereign Bonds 060705_05 TMX Brazil DCF Model_Resumo Juros e Variações" xfId="1188" xr:uid="{00000000-0005-0000-0000-000056040000}"/>
    <cellStyle name="_Currency_LA WACC Discount_1_Sovereign Bonds 060705_05 TMX Brazil DCF Model_Resumo Juros e Variações 2" xfId="1189" xr:uid="{00000000-0005-0000-0000-000057040000}"/>
    <cellStyle name="_Currency_Net Management Projections_2" xfId="1190" xr:uid="{00000000-0005-0000-0000-000058040000}"/>
    <cellStyle name="_Currency_Net Management Projections_2 2" xfId="1191" xr:uid="{00000000-0005-0000-0000-000059040000}"/>
    <cellStyle name="_Currency_Net Management Projections_2_Consolidação" xfId="1192" xr:uid="{00000000-0005-0000-0000-00005A040000}"/>
    <cellStyle name="_Currency_Net Management Projections_2_Consolidação 2" xfId="1193" xr:uid="{00000000-0005-0000-0000-00005B040000}"/>
    <cellStyle name="_Currency_Net Management Projections_2_Consolidação IMOB" xfId="1194" xr:uid="{00000000-0005-0000-0000-00005C040000}"/>
    <cellStyle name="_Currency_Net Management Projections_2_Consolidação IMOB 2" xfId="1195" xr:uid="{00000000-0005-0000-0000-00005D040000}"/>
    <cellStyle name="_Currency_Net Management Projections_2_Estudo de Viabilidade -IMOB Henri" xfId="1196" xr:uid="{00000000-0005-0000-0000-00005E040000}"/>
    <cellStyle name="_Currency_Net Management Projections_2_Estudo de Viabilidade -IMOB Henri 2" xfId="1197" xr:uid="{00000000-0005-0000-0000-00005F040000}"/>
    <cellStyle name="_Currency_Net Management Projections_2_FP 100" xfId="1198" xr:uid="{00000000-0005-0000-0000-000060040000}"/>
    <cellStyle name="_Currency_Net Management Projections_2_FP 100 2" xfId="1199" xr:uid="{00000000-0005-0000-0000-000061040000}"/>
    <cellStyle name="_Currency_Net Management Projections_2_Península" xfId="1200" xr:uid="{00000000-0005-0000-0000-000062040000}"/>
    <cellStyle name="_Currency_Net Management Projections_2_Península 2" xfId="1201" xr:uid="{00000000-0005-0000-0000-000063040000}"/>
    <cellStyle name="_Currency_Net Management Projections_2_Peninsula_0510" xfId="1202" xr:uid="{00000000-0005-0000-0000-000064040000}"/>
    <cellStyle name="_Currency_Net Management Projections_2_Peninsula_0510 2" xfId="1203" xr:uid="{00000000-0005-0000-0000-000065040000}"/>
    <cellStyle name="_Currency_Net Management Projections_2_Resumo Juros e Variações" xfId="1204" xr:uid="{00000000-0005-0000-0000-000066040000}"/>
    <cellStyle name="_Currency_Net Management Projections_2_Resumo Juros e Variações 2" xfId="1205" xr:uid="{00000000-0005-0000-0000-000067040000}"/>
    <cellStyle name="_Currency_Oil &amp; Gas betas" xfId="1206" xr:uid="{00000000-0005-0000-0000-000068040000}"/>
    <cellStyle name="_Currency_Oil &amp; Gas betas 2" xfId="1207" xr:uid="{00000000-0005-0000-0000-000069040000}"/>
    <cellStyle name="_Currency_Oil &amp; Gas betas_Consolidação" xfId="1208" xr:uid="{00000000-0005-0000-0000-00006A040000}"/>
    <cellStyle name="_Currency_Oil &amp; Gas betas_Consolidação 2" xfId="1209" xr:uid="{00000000-0005-0000-0000-00006B040000}"/>
    <cellStyle name="_Currency_Oil &amp; Gas betas_Consolidação IMOB" xfId="1210" xr:uid="{00000000-0005-0000-0000-00006C040000}"/>
    <cellStyle name="_Currency_Oil &amp; Gas betas_Consolidação IMOB 2" xfId="1211" xr:uid="{00000000-0005-0000-0000-00006D040000}"/>
    <cellStyle name="_Currency_Oil &amp; Gas betas_Estudo de Viabilidade -IMOB Henri" xfId="1212" xr:uid="{00000000-0005-0000-0000-00006E040000}"/>
    <cellStyle name="_Currency_Oil &amp; Gas betas_Estudo de Viabilidade -IMOB Henri 2" xfId="1213" xr:uid="{00000000-0005-0000-0000-00006F040000}"/>
    <cellStyle name="_Currency_Oil &amp; Gas betas_FP 100" xfId="1214" xr:uid="{00000000-0005-0000-0000-000070040000}"/>
    <cellStyle name="_Currency_Oil &amp; Gas betas_FP 100 2" xfId="1215" xr:uid="{00000000-0005-0000-0000-000071040000}"/>
    <cellStyle name="_Currency_Oil &amp; Gas betas_Península" xfId="1216" xr:uid="{00000000-0005-0000-0000-000072040000}"/>
    <cellStyle name="_Currency_Oil &amp; Gas betas_Península 2" xfId="1217" xr:uid="{00000000-0005-0000-0000-000073040000}"/>
    <cellStyle name="_Currency_Oil &amp; Gas betas_Peninsula_0510" xfId="1218" xr:uid="{00000000-0005-0000-0000-000074040000}"/>
    <cellStyle name="_Currency_Oil &amp; Gas betas_Peninsula_0510 2" xfId="1219" xr:uid="{00000000-0005-0000-0000-000075040000}"/>
    <cellStyle name="_Currency_Oil &amp; Gas betas_Resumo Juros e Variações" xfId="1220" xr:uid="{00000000-0005-0000-0000-000076040000}"/>
    <cellStyle name="_Currency_Oil &amp; Gas betas_Resumo Juros e Variações 2" xfId="1221" xr:uid="{00000000-0005-0000-0000-000077040000}"/>
    <cellStyle name="_Currency_PakistabMob2005" xfId="1222" xr:uid="{00000000-0005-0000-0000-000078040000}"/>
    <cellStyle name="_Currency_PakistabMob2005 2" xfId="1223" xr:uid="{00000000-0005-0000-0000-000079040000}"/>
    <cellStyle name="_Currency_Pay TV Subscribers" xfId="1224" xr:uid="{00000000-0005-0000-0000-00007A040000}"/>
    <cellStyle name="_Currency_Pay TV Subscribers 2" xfId="1225" xr:uid="{00000000-0005-0000-0000-00007B040000}"/>
    <cellStyle name="_Currency_Pay TV Subscribers_Consolidação" xfId="1226" xr:uid="{00000000-0005-0000-0000-00007C040000}"/>
    <cellStyle name="_Currency_Pay TV Subscribers_Consolidação 2" xfId="1227" xr:uid="{00000000-0005-0000-0000-00007D040000}"/>
    <cellStyle name="_Currency_Pay TV Subscribers_Consolidação IMOB" xfId="1228" xr:uid="{00000000-0005-0000-0000-00007E040000}"/>
    <cellStyle name="_Currency_Pay TV Subscribers_Consolidação IMOB 2" xfId="1229" xr:uid="{00000000-0005-0000-0000-00007F040000}"/>
    <cellStyle name="_Currency_Pay TV Subscribers_Estudo de Viabilidade -IMOB Henri" xfId="1230" xr:uid="{00000000-0005-0000-0000-000080040000}"/>
    <cellStyle name="_Currency_Pay TV Subscribers_Estudo de Viabilidade -IMOB Henri 2" xfId="1231" xr:uid="{00000000-0005-0000-0000-000081040000}"/>
    <cellStyle name="_Currency_Pay TV Subscribers_FP 100" xfId="1232" xr:uid="{00000000-0005-0000-0000-000082040000}"/>
    <cellStyle name="_Currency_Pay TV Subscribers_FP 100 2" xfId="1233" xr:uid="{00000000-0005-0000-0000-000083040000}"/>
    <cellStyle name="_Currency_Pay TV Subscribers_Península" xfId="1234" xr:uid="{00000000-0005-0000-0000-000084040000}"/>
    <cellStyle name="_Currency_Pay TV Subscribers_Península 2" xfId="1235" xr:uid="{00000000-0005-0000-0000-000085040000}"/>
    <cellStyle name="_Currency_Pay TV Subscribers_Peninsula_0510" xfId="1236" xr:uid="{00000000-0005-0000-0000-000086040000}"/>
    <cellStyle name="_Currency_Pay TV Subscribers_Peninsula_0510 2" xfId="1237" xr:uid="{00000000-0005-0000-0000-000087040000}"/>
    <cellStyle name="_Currency_Pay TV Subscribers_Resumo Juros e Variações" xfId="1238" xr:uid="{00000000-0005-0000-0000-000088040000}"/>
    <cellStyle name="_Currency_Pay TV Subscribers_Resumo Juros e Variações 2" xfId="1239" xr:uid="{00000000-0005-0000-0000-000089040000}"/>
    <cellStyle name="_Currency_Península" xfId="1240" xr:uid="{00000000-0005-0000-0000-00008A040000}"/>
    <cellStyle name="_Currency_Península 2" xfId="1241" xr:uid="{00000000-0005-0000-0000-00008B040000}"/>
    <cellStyle name="_Currency_Peninsula_0510" xfId="1242" xr:uid="{00000000-0005-0000-0000-00008C040000}"/>
    <cellStyle name="_Currency_Peninsula_0510 2" xfId="1243" xr:uid="{00000000-0005-0000-0000-00008D040000}"/>
    <cellStyle name="_Currency_Pyramid LA3Q05" xfId="1244" xr:uid="{00000000-0005-0000-0000-00008E040000}"/>
    <cellStyle name="_Currency_Pyramid LA3Q05 2" xfId="1245" xr:uid="{00000000-0005-0000-0000-00008F040000}"/>
    <cellStyle name="_Currency_Resumo Juros e Variações" xfId="1246" xr:uid="{00000000-0005-0000-0000-000090040000}"/>
    <cellStyle name="_Currency_Resumo Juros e Variações 2" xfId="1247" xr:uid="{00000000-0005-0000-0000-000091040000}"/>
    <cellStyle name="_Currency_Revenue Mix Chart" xfId="1248" xr:uid="{00000000-0005-0000-0000-000092040000}"/>
    <cellStyle name="_Currency_Revenue Mix Chart 2" xfId="1249" xr:uid="{00000000-0005-0000-0000-000093040000}"/>
    <cellStyle name="_Currency_Revenue Mix Chart_Consolidação" xfId="1250" xr:uid="{00000000-0005-0000-0000-000094040000}"/>
    <cellStyle name="_Currency_Revenue Mix Chart_Consolidação 2" xfId="1251" xr:uid="{00000000-0005-0000-0000-000095040000}"/>
    <cellStyle name="_Currency_Revenue Mix Chart_Consolidação IMOB" xfId="1252" xr:uid="{00000000-0005-0000-0000-000096040000}"/>
    <cellStyle name="_Currency_Revenue Mix Chart_Consolidação IMOB 2" xfId="1253" xr:uid="{00000000-0005-0000-0000-000097040000}"/>
    <cellStyle name="_Currency_Revenue Mix Chart_Estudo de Viabilidade -IMOB Henri" xfId="1254" xr:uid="{00000000-0005-0000-0000-000098040000}"/>
    <cellStyle name="_Currency_Revenue Mix Chart_Estudo de Viabilidade -IMOB Henri 2" xfId="1255" xr:uid="{00000000-0005-0000-0000-000099040000}"/>
    <cellStyle name="_Currency_Revenue Mix Chart_FP 100" xfId="1256" xr:uid="{00000000-0005-0000-0000-00009A040000}"/>
    <cellStyle name="_Currency_Revenue Mix Chart_FP 100 2" xfId="1257" xr:uid="{00000000-0005-0000-0000-00009B040000}"/>
    <cellStyle name="_Currency_Revenue Mix Chart_Península" xfId="1258" xr:uid="{00000000-0005-0000-0000-00009C040000}"/>
    <cellStyle name="_Currency_Revenue Mix Chart_Península 2" xfId="1259" xr:uid="{00000000-0005-0000-0000-00009D040000}"/>
    <cellStyle name="_Currency_Revenue Mix Chart_Peninsula_0510" xfId="1260" xr:uid="{00000000-0005-0000-0000-00009E040000}"/>
    <cellStyle name="_Currency_Revenue Mix Chart_Peninsula_0510 2" xfId="1261" xr:uid="{00000000-0005-0000-0000-00009F040000}"/>
    <cellStyle name="_Currency_Revenue Mix Chart_Resumo Juros e Variações" xfId="1262" xr:uid="{00000000-0005-0000-0000-0000A0040000}"/>
    <cellStyle name="_Currency_Revenue Mix Chart_Resumo Juros e Variações 2" xfId="1263" xr:uid="{00000000-0005-0000-0000-0000A1040000}"/>
    <cellStyle name="_Currency_Sovereign Bonds 060705" xfId="1264" xr:uid="{00000000-0005-0000-0000-0000A2040000}"/>
    <cellStyle name="_Currency_Sovereign Bonds 060705 (version 1)" xfId="1265" xr:uid="{00000000-0005-0000-0000-0000A3040000}"/>
    <cellStyle name="_Currency_Sovereign Bonds 060705 (version 1) 2" xfId="1266" xr:uid="{00000000-0005-0000-0000-0000A4040000}"/>
    <cellStyle name="_Currency_Sovereign Bonds 060705 (version 1)_Consolidação" xfId="1267" xr:uid="{00000000-0005-0000-0000-0000A5040000}"/>
    <cellStyle name="_Currency_Sovereign Bonds 060705 (version 1)_Consolidação 2" xfId="1268" xr:uid="{00000000-0005-0000-0000-0000A6040000}"/>
    <cellStyle name="_Currency_Sovereign Bonds 060705 (version 1)_Consolidação IMOB" xfId="1269" xr:uid="{00000000-0005-0000-0000-0000A7040000}"/>
    <cellStyle name="_Currency_Sovereign Bonds 060705 (version 1)_Consolidação IMOB 2" xfId="1270" xr:uid="{00000000-0005-0000-0000-0000A8040000}"/>
    <cellStyle name="_Currency_Sovereign Bonds 060705 (version 1)_Estudo de Viabilidade -IMOB Henri" xfId="1271" xr:uid="{00000000-0005-0000-0000-0000A9040000}"/>
    <cellStyle name="_Currency_Sovereign Bonds 060705 (version 1)_Estudo de Viabilidade -IMOB Henri 2" xfId="1272" xr:uid="{00000000-0005-0000-0000-0000AA040000}"/>
    <cellStyle name="_Currency_Sovereign Bonds 060705 (version 1)_FP 100" xfId="1273" xr:uid="{00000000-0005-0000-0000-0000AB040000}"/>
    <cellStyle name="_Currency_Sovereign Bonds 060705 (version 1)_FP 100 2" xfId="1274" xr:uid="{00000000-0005-0000-0000-0000AC040000}"/>
    <cellStyle name="_Currency_Sovereign Bonds 060705 (version 1)_Península" xfId="1275" xr:uid="{00000000-0005-0000-0000-0000AD040000}"/>
    <cellStyle name="_Currency_Sovereign Bonds 060705 (version 1)_Península 2" xfId="1276" xr:uid="{00000000-0005-0000-0000-0000AE040000}"/>
    <cellStyle name="_Currency_Sovereign Bonds 060705 (version 1)_Peninsula_0510" xfId="1277" xr:uid="{00000000-0005-0000-0000-0000AF040000}"/>
    <cellStyle name="_Currency_Sovereign Bonds 060705 (version 1)_Peninsula_0510 2" xfId="1278" xr:uid="{00000000-0005-0000-0000-0000B0040000}"/>
    <cellStyle name="_Currency_Sovereign Bonds 060705 (version 1)_Resumo Juros e Variações" xfId="1279" xr:uid="{00000000-0005-0000-0000-0000B1040000}"/>
    <cellStyle name="_Currency_Sovereign Bonds 060705 (version 1)_Resumo Juros e Variações 2" xfId="1280" xr:uid="{00000000-0005-0000-0000-0000B2040000}"/>
    <cellStyle name="_Currency_Sovereign Bonds 060705 2" xfId="1281" xr:uid="{00000000-0005-0000-0000-0000B3040000}"/>
    <cellStyle name="_Currency_Sovereign Bonds 060705 3" xfId="1282" xr:uid="{00000000-0005-0000-0000-0000B4040000}"/>
    <cellStyle name="_Currency_Sovereign Bonds 060705 4" xfId="1283" xr:uid="{00000000-0005-0000-0000-0000B5040000}"/>
    <cellStyle name="_Currency_Sovereign Bonds 060705_1" xfId="1284" xr:uid="{00000000-0005-0000-0000-0000B6040000}"/>
    <cellStyle name="_Currency_Sovereign Bonds 060705_1 2" xfId="1285" xr:uid="{00000000-0005-0000-0000-0000B7040000}"/>
    <cellStyle name="_Currency_Sovereign Bonds 060705_1_Consolidação" xfId="1286" xr:uid="{00000000-0005-0000-0000-0000B8040000}"/>
    <cellStyle name="_Currency_Sovereign Bonds 060705_1_Consolidação 2" xfId="1287" xr:uid="{00000000-0005-0000-0000-0000B9040000}"/>
    <cellStyle name="_Currency_Sovereign Bonds 060705_1_Consolidação IMOB" xfId="1288" xr:uid="{00000000-0005-0000-0000-0000BA040000}"/>
    <cellStyle name="_Currency_Sovereign Bonds 060705_1_Consolidação IMOB 2" xfId="1289" xr:uid="{00000000-0005-0000-0000-0000BB040000}"/>
    <cellStyle name="_Currency_Sovereign Bonds 060705_1_Estudo de Viabilidade -IMOB Henri" xfId="1290" xr:uid="{00000000-0005-0000-0000-0000BC040000}"/>
    <cellStyle name="_Currency_Sovereign Bonds 060705_1_Estudo de Viabilidade -IMOB Henri 2" xfId="1291" xr:uid="{00000000-0005-0000-0000-0000BD040000}"/>
    <cellStyle name="_Currency_Sovereign Bonds 060705_1_FP 100" xfId="1292" xr:uid="{00000000-0005-0000-0000-0000BE040000}"/>
    <cellStyle name="_Currency_Sovereign Bonds 060705_1_FP 100 2" xfId="1293" xr:uid="{00000000-0005-0000-0000-0000BF040000}"/>
    <cellStyle name="_Currency_Sovereign Bonds 060705_1_Península" xfId="1294" xr:uid="{00000000-0005-0000-0000-0000C0040000}"/>
    <cellStyle name="_Currency_Sovereign Bonds 060705_1_Península 2" xfId="1295" xr:uid="{00000000-0005-0000-0000-0000C1040000}"/>
    <cellStyle name="_Currency_Sovereign Bonds 060705_1_Peninsula_0510" xfId="1296" xr:uid="{00000000-0005-0000-0000-0000C2040000}"/>
    <cellStyle name="_Currency_Sovereign Bonds 060705_1_Peninsula_0510 2" xfId="1297" xr:uid="{00000000-0005-0000-0000-0000C3040000}"/>
    <cellStyle name="_Currency_Sovereign Bonds 060705_1_Resumo Juros e Variações" xfId="1298" xr:uid="{00000000-0005-0000-0000-0000C4040000}"/>
    <cellStyle name="_Currency_Sovereign Bonds 060705_1_Resumo Juros e Variações 2" xfId="1299" xr:uid="{00000000-0005-0000-0000-0000C5040000}"/>
    <cellStyle name="_Currency_Sovereign Bonds 060705_Consolidação" xfId="1300" xr:uid="{00000000-0005-0000-0000-0000C6040000}"/>
    <cellStyle name="_Currency_Sovereign Bonds 060705_Consolidação 2" xfId="1301" xr:uid="{00000000-0005-0000-0000-0000C7040000}"/>
    <cellStyle name="_Currency_Sovereign Bonds 060705_Dados por segmento julho 06" xfId="1302" xr:uid="{00000000-0005-0000-0000-0000C8040000}"/>
    <cellStyle name="_Currency_Sovereign Bonds 060705_Dados por segmento julho 06 2" xfId="1303" xr:uid="{00000000-0005-0000-0000-0000C9040000}"/>
    <cellStyle name="_Currency_Sovereign Bonds 060705_Estudo de Viabilidade - EXP BHS" xfId="1304" xr:uid="{00000000-0005-0000-0000-0000CA040000}"/>
    <cellStyle name="_Currency_Sovereign Bonds 060705_Estudo de Viabilidade - EXP BHS 2" xfId="1305" xr:uid="{00000000-0005-0000-0000-0000CB040000}"/>
    <cellStyle name="_Currency_Sovereign Bonds 060705_FP 100" xfId="1306" xr:uid="{00000000-0005-0000-0000-0000CC040000}"/>
    <cellStyle name="_Currency_Sovereign Bonds 060705_FP 100 2" xfId="1307" xr:uid="{00000000-0005-0000-0000-0000CD040000}"/>
    <cellStyle name="_Currency_Urca Final Model" xfId="1308" xr:uid="{00000000-0005-0000-0000-0000CE040000}"/>
    <cellStyle name="_Currency_Urca Final Model 2" xfId="1309" xr:uid="{00000000-0005-0000-0000-0000CF040000}"/>
    <cellStyle name="_Currency_Urca Final Model_01_WACC Colombia_Analysis" xfId="1310" xr:uid="{00000000-0005-0000-0000-0000D0040000}"/>
    <cellStyle name="_Currency_Urca Final Model_01_WACC Colombia_Analysis 2" xfId="1311" xr:uid="{00000000-0005-0000-0000-0000D1040000}"/>
    <cellStyle name="_Currency_Urca Final Model_01_WACC Colombia_Analysis_Consolidação" xfId="1312" xr:uid="{00000000-0005-0000-0000-0000D2040000}"/>
    <cellStyle name="_Currency_Urca Final Model_01_WACC Colombia_Analysis_Consolidação 2" xfId="1313" xr:uid="{00000000-0005-0000-0000-0000D3040000}"/>
    <cellStyle name="_Currency_Urca Final Model_01_WACC Colombia_Analysis_Consolidação IMOB" xfId="1314" xr:uid="{00000000-0005-0000-0000-0000D4040000}"/>
    <cellStyle name="_Currency_Urca Final Model_01_WACC Colombia_Analysis_Consolidação IMOB 2" xfId="1315" xr:uid="{00000000-0005-0000-0000-0000D5040000}"/>
    <cellStyle name="_Currency_Urca Final Model_01_WACC Colombia_Analysis_Estudo de Viabilidade -IMOB Henri" xfId="1316" xr:uid="{00000000-0005-0000-0000-0000D6040000}"/>
    <cellStyle name="_Currency_Urca Final Model_01_WACC Colombia_Analysis_Estudo de Viabilidade -IMOB Henri 2" xfId="1317" xr:uid="{00000000-0005-0000-0000-0000D7040000}"/>
    <cellStyle name="_Currency_Urca Final Model_01_WACC Colombia_Analysis_FP 100" xfId="1318" xr:uid="{00000000-0005-0000-0000-0000D8040000}"/>
    <cellStyle name="_Currency_Urca Final Model_01_WACC Colombia_Analysis_FP 100 2" xfId="1319" xr:uid="{00000000-0005-0000-0000-0000D9040000}"/>
    <cellStyle name="_Currency_Urca Final Model_01_WACC Colombia_Analysis_Península" xfId="1320" xr:uid="{00000000-0005-0000-0000-0000DA040000}"/>
    <cellStyle name="_Currency_Urca Final Model_01_WACC Colombia_Analysis_Península 2" xfId="1321" xr:uid="{00000000-0005-0000-0000-0000DB040000}"/>
    <cellStyle name="_Currency_Urca Final Model_01_WACC Colombia_Analysis_Peninsula_0510" xfId="1322" xr:uid="{00000000-0005-0000-0000-0000DC040000}"/>
    <cellStyle name="_Currency_Urca Final Model_01_WACC Colombia_Analysis_Peninsula_0510 2" xfId="1323" xr:uid="{00000000-0005-0000-0000-0000DD040000}"/>
    <cellStyle name="_Currency_Urca Final Model_01_WACC Colombia_Analysis_Resumo Juros e Variações" xfId="1324" xr:uid="{00000000-0005-0000-0000-0000DE040000}"/>
    <cellStyle name="_Currency_Urca Final Model_01_WACC Colombia_Analysis_Resumo Juros e Variações 2" xfId="1325" xr:uid="{00000000-0005-0000-0000-0000DF040000}"/>
    <cellStyle name="_Currency_Urca Final Model_04 WACC Vivax" xfId="1326" xr:uid="{00000000-0005-0000-0000-0000E0040000}"/>
    <cellStyle name="_Currency_Urca Final Model_04 WACC Vivax 2" xfId="1327" xr:uid="{00000000-0005-0000-0000-0000E1040000}"/>
    <cellStyle name="_Currency_Urca Final Model_04 WACC Vivax_Consolidação" xfId="1328" xr:uid="{00000000-0005-0000-0000-0000E2040000}"/>
    <cellStyle name="_Currency_Urca Final Model_04 WACC Vivax_Consolidação 2" xfId="1329" xr:uid="{00000000-0005-0000-0000-0000E3040000}"/>
    <cellStyle name="_Currency_Urca Final Model_04 WACC Vivax_Consolidação IMOB" xfId="1330" xr:uid="{00000000-0005-0000-0000-0000E4040000}"/>
    <cellStyle name="_Currency_Urca Final Model_04 WACC Vivax_Consolidação IMOB 2" xfId="1331" xr:uid="{00000000-0005-0000-0000-0000E5040000}"/>
    <cellStyle name="_Currency_Urca Final Model_04 WACC Vivax_Estudo de Viabilidade -IMOB Henri" xfId="1332" xr:uid="{00000000-0005-0000-0000-0000E6040000}"/>
    <cellStyle name="_Currency_Urca Final Model_04 WACC Vivax_Estudo de Viabilidade -IMOB Henri 2" xfId="1333" xr:uid="{00000000-0005-0000-0000-0000E7040000}"/>
    <cellStyle name="_Currency_Urca Final Model_04 WACC Vivax_FP 100" xfId="1334" xr:uid="{00000000-0005-0000-0000-0000E8040000}"/>
    <cellStyle name="_Currency_Urca Final Model_04 WACC Vivax_FP 100 2" xfId="1335" xr:uid="{00000000-0005-0000-0000-0000E9040000}"/>
    <cellStyle name="_Currency_Urca Final Model_04 WACC Vivax_Península" xfId="1336" xr:uid="{00000000-0005-0000-0000-0000EA040000}"/>
    <cellStyle name="_Currency_Urca Final Model_04 WACC Vivax_Península 2" xfId="1337" xr:uid="{00000000-0005-0000-0000-0000EB040000}"/>
    <cellStyle name="_Currency_Urca Final Model_04 WACC Vivax_Peninsula_0510" xfId="1338" xr:uid="{00000000-0005-0000-0000-0000EC040000}"/>
    <cellStyle name="_Currency_Urca Final Model_04 WACC Vivax_Peninsula_0510 2" xfId="1339" xr:uid="{00000000-0005-0000-0000-0000ED040000}"/>
    <cellStyle name="_Currency_Urca Final Model_04 WACC Vivax_Resumo Juros e Variações" xfId="1340" xr:uid="{00000000-0005-0000-0000-0000EE040000}"/>
    <cellStyle name="_Currency_Urca Final Model_04 WACC Vivax_Resumo Juros e Variações 2" xfId="1341" xr:uid="{00000000-0005-0000-0000-0000EF040000}"/>
    <cellStyle name="_Currency_Urca Final Model_Consolidação" xfId="1342" xr:uid="{00000000-0005-0000-0000-0000F0040000}"/>
    <cellStyle name="_Currency_Urca Final Model_Consolidação 2" xfId="1343" xr:uid="{00000000-0005-0000-0000-0000F1040000}"/>
    <cellStyle name="_Currency_Urca Final Model_Consolidação IMOB" xfId="1344" xr:uid="{00000000-0005-0000-0000-0000F2040000}"/>
    <cellStyle name="_Currency_Urca Final Model_Consolidação IMOB 2" xfId="1345" xr:uid="{00000000-0005-0000-0000-0000F3040000}"/>
    <cellStyle name="_Currency_Urca Final Model_Dados por segmento julho 06" xfId="1346" xr:uid="{00000000-0005-0000-0000-0000F4040000}"/>
    <cellStyle name="_Currency_Urca Final Model_Dados por segmento julho 06 2" xfId="1347" xr:uid="{00000000-0005-0000-0000-0000F5040000}"/>
    <cellStyle name="_Currency_Urca Final Model_Estudo de Viabilidade - EXP BHS" xfId="1348" xr:uid="{00000000-0005-0000-0000-0000F6040000}"/>
    <cellStyle name="_Currency_Urca Final Model_Estudo de Viabilidade - EXP BHS 2" xfId="1349" xr:uid="{00000000-0005-0000-0000-0000F7040000}"/>
    <cellStyle name="_Currency_Urca Final Model_Estudo de Viabilidade - EXP BHS_Consolidação" xfId="1350" xr:uid="{00000000-0005-0000-0000-0000F8040000}"/>
    <cellStyle name="_Currency_Urca Final Model_Estudo de Viabilidade - EXP BHS_Consolidação 2" xfId="1351" xr:uid="{00000000-0005-0000-0000-0000F9040000}"/>
    <cellStyle name="_Currency_Urca Final Model_FP 100" xfId="1352" xr:uid="{00000000-0005-0000-0000-0000FA040000}"/>
    <cellStyle name="_Currency_Urca Final Model_FP 100 2" xfId="1353" xr:uid="{00000000-0005-0000-0000-0000FB040000}"/>
    <cellStyle name="_Currency_Urca Final Model_Resumo Juros e Variações" xfId="1354" xr:uid="{00000000-0005-0000-0000-0000FC040000}"/>
    <cellStyle name="_Currency_Urca Final Model_Resumo Juros e Variações 2" xfId="1355" xr:uid="{00000000-0005-0000-0000-0000FD040000}"/>
    <cellStyle name="_Currency_Urca Final Model_Sovereign Bonds 060705" xfId="1356" xr:uid="{00000000-0005-0000-0000-0000FE040000}"/>
    <cellStyle name="_Currency_Urca Final Model_Sovereign Bonds 060705 (version 1)" xfId="1357" xr:uid="{00000000-0005-0000-0000-0000FF040000}"/>
    <cellStyle name="_Currency_Urca Final Model_Sovereign Bonds 060705 (version 1) 2" xfId="1358" xr:uid="{00000000-0005-0000-0000-000000050000}"/>
    <cellStyle name="_Currency_Urca Final Model_Sovereign Bonds 060705 (version 1)_01 NET DCF Model" xfId="1359" xr:uid="{00000000-0005-0000-0000-000001050000}"/>
    <cellStyle name="_Currency_Urca Final Model_Sovereign Bonds 060705 (version 1)_01 NET DCF Model 2" xfId="1360" xr:uid="{00000000-0005-0000-0000-000002050000}"/>
    <cellStyle name="_Currency_Urca Final Model_Sovereign Bonds 060705 (version 1)_01 NET DCF Model_Consolidação" xfId="1361" xr:uid="{00000000-0005-0000-0000-000003050000}"/>
    <cellStyle name="_Currency_Urca Final Model_Sovereign Bonds 060705 (version 1)_01 NET DCF Model_Consolidação 2" xfId="1362" xr:uid="{00000000-0005-0000-0000-000004050000}"/>
    <cellStyle name="_Currency_Urca Final Model_Sovereign Bonds 060705 (version 1)_01 NET DCF Model_Consolidação IMOB" xfId="1363" xr:uid="{00000000-0005-0000-0000-000005050000}"/>
    <cellStyle name="_Currency_Urca Final Model_Sovereign Bonds 060705 (version 1)_01 NET DCF Model_Consolidação IMOB 2" xfId="1364" xr:uid="{00000000-0005-0000-0000-000006050000}"/>
    <cellStyle name="_Currency_Urca Final Model_Sovereign Bonds 060705 (version 1)_01 NET DCF Model_Estudo de Viabilidade -IMOB Henri" xfId="1365" xr:uid="{00000000-0005-0000-0000-000007050000}"/>
    <cellStyle name="_Currency_Urca Final Model_Sovereign Bonds 060705 (version 1)_01 NET DCF Model_Estudo de Viabilidade -IMOB Henri 2" xfId="1366" xr:uid="{00000000-0005-0000-0000-000008050000}"/>
    <cellStyle name="_Currency_Urca Final Model_Sovereign Bonds 060705 (version 1)_01 NET DCF Model_FP 100" xfId="1367" xr:uid="{00000000-0005-0000-0000-000009050000}"/>
    <cellStyle name="_Currency_Urca Final Model_Sovereign Bonds 060705 (version 1)_01 NET DCF Model_FP 100 2" xfId="1368" xr:uid="{00000000-0005-0000-0000-00000A050000}"/>
    <cellStyle name="_Currency_Urca Final Model_Sovereign Bonds 060705 (version 1)_01 NET DCF Model_Península" xfId="1369" xr:uid="{00000000-0005-0000-0000-00000B050000}"/>
    <cellStyle name="_Currency_Urca Final Model_Sovereign Bonds 060705 (version 1)_01 NET DCF Model_Península 2" xfId="1370" xr:uid="{00000000-0005-0000-0000-00000C050000}"/>
    <cellStyle name="_Currency_Urca Final Model_Sovereign Bonds 060705 (version 1)_01 NET DCF Model_Peninsula_0510" xfId="1371" xr:uid="{00000000-0005-0000-0000-00000D050000}"/>
    <cellStyle name="_Currency_Urca Final Model_Sovereign Bonds 060705 (version 1)_01 NET DCF Model_Peninsula_0510 2" xfId="1372" xr:uid="{00000000-0005-0000-0000-00000E050000}"/>
    <cellStyle name="_Currency_Urca Final Model_Sovereign Bonds 060705 (version 1)_01 NET DCF Model_Resumo Juros e Variações" xfId="1373" xr:uid="{00000000-0005-0000-0000-00000F050000}"/>
    <cellStyle name="_Currency_Urca Final Model_Sovereign Bonds 060705 (version 1)_01 NET DCF Model_Resumo Juros e Variações 2" xfId="1374" xr:uid="{00000000-0005-0000-0000-000010050000}"/>
    <cellStyle name="_Currency_Urca Final Model_Sovereign Bonds 060705 (version 1)_03 Embratel DCF Model_Loscos" xfId="1375" xr:uid="{00000000-0005-0000-0000-000011050000}"/>
    <cellStyle name="_Currency_Urca Final Model_Sovereign Bonds 060705 (version 1)_03 Embratel DCF Model_Loscos 2" xfId="1376" xr:uid="{00000000-0005-0000-0000-000012050000}"/>
    <cellStyle name="_Currency_Urca Final Model_Sovereign Bonds 060705 (version 1)_05 NET DCF Model" xfId="1377" xr:uid="{00000000-0005-0000-0000-000013050000}"/>
    <cellStyle name="_Currency_Urca Final Model_Sovereign Bonds 060705 (version 1)_05 NET DCF Model 2" xfId="1378" xr:uid="{00000000-0005-0000-0000-000014050000}"/>
    <cellStyle name="_Currency_Urca Final Model_Sovereign Bonds 060705 (version 1)_05 NET DCF Model_Consolidação" xfId="1379" xr:uid="{00000000-0005-0000-0000-000015050000}"/>
    <cellStyle name="_Currency_Urca Final Model_Sovereign Bonds 060705 (version 1)_05 NET DCF Model_Consolidação 2" xfId="1380" xr:uid="{00000000-0005-0000-0000-000016050000}"/>
    <cellStyle name="_Currency_Urca Final Model_Sovereign Bonds 060705 (version 1)_05 NET DCF Model_Consolidação IMOB" xfId="1381" xr:uid="{00000000-0005-0000-0000-000017050000}"/>
    <cellStyle name="_Currency_Urca Final Model_Sovereign Bonds 060705 (version 1)_05 NET DCF Model_Consolidação IMOB 2" xfId="1382" xr:uid="{00000000-0005-0000-0000-000018050000}"/>
    <cellStyle name="_Currency_Urca Final Model_Sovereign Bonds 060705 (version 1)_05 NET DCF Model_Estudo de Viabilidade -IMOB Henri" xfId="1383" xr:uid="{00000000-0005-0000-0000-000019050000}"/>
    <cellStyle name="_Currency_Urca Final Model_Sovereign Bonds 060705 (version 1)_05 NET DCF Model_Estudo de Viabilidade -IMOB Henri 2" xfId="1384" xr:uid="{00000000-0005-0000-0000-00001A050000}"/>
    <cellStyle name="_Currency_Urca Final Model_Sovereign Bonds 060705 (version 1)_05 NET DCF Model_FP 100" xfId="1385" xr:uid="{00000000-0005-0000-0000-00001B050000}"/>
    <cellStyle name="_Currency_Urca Final Model_Sovereign Bonds 060705 (version 1)_05 NET DCF Model_FP 100 2" xfId="1386" xr:uid="{00000000-0005-0000-0000-00001C050000}"/>
    <cellStyle name="_Currency_Urca Final Model_Sovereign Bonds 060705 (version 1)_05 NET DCF Model_Península" xfId="1387" xr:uid="{00000000-0005-0000-0000-00001D050000}"/>
    <cellStyle name="_Currency_Urca Final Model_Sovereign Bonds 060705 (version 1)_05 NET DCF Model_Península 2" xfId="1388" xr:uid="{00000000-0005-0000-0000-00001E050000}"/>
    <cellStyle name="_Currency_Urca Final Model_Sovereign Bonds 060705 (version 1)_05 NET DCF Model_Peninsula_0510" xfId="1389" xr:uid="{00000000-0005-0000-0000-00001F050000}"/>
    <cellStyle name="_Currency_Urca Final Model_Sovereign Bonds 060705 (version 1)_05 NET DCF Model_Peninsula_0510 2" xfId="1390" xr:uid="{00000000-0005-0000-0000-000020050000}"/>
    <cellStyle name="_Currency_Urca Final Model_Sovereign Bonds 060705 (version 1)_05 NET DCF Model_Resumo Juros e Variações" xfId="1391" xr:uid="{00000000-0005-0000-0000-000021050000}"/>
    <cellStyle name="_Currency_Urca Final Model_Sovereign Bonds 060705 (version 1)_05 NET DCF Model_Resumo Juros e Variações 2" xfId="1392" xr:uid="{00000000-0005-0000-0000-000022050000}"/>
    <cellStyle name="_Currency_Urca Final Model_Sovereign Bonds 060705 (version 1)_05 TMX Brazil DCF Model" xfId="1393" xr:uid="{00000000-0005-0000-0000-000023050000}"/>
    <cellStyle name="_Currency_Urca Final Model_Sovereign Bonds 060705 (version 1)_05 TMX Brazil DCF Model 2" xfId="1394" xr:uid="{00000000-0005-0000-0000-000024050000}"/>
    <cellStyle name="_Currency_Urca Final Model_Sovereign Bonds 060705 (version 1)_05 TMX Brazil DCF Model_Consolidação" xfId="1395" xr:uid="{00000000-0005-0000-0000-000025050000}"/>
    <cellStyle name="_Currency_Urca Final Model_Sovereign Bonds 060705 (version 1)_05 TMX Brazil DCF Model_Consolidação 2" xfId="1396" xr:uid="{00000000-0005-0000-0000-000026050000}"/>
    <cellStyle name="_Currency_Urca Final Model_Sovereign Bonds 060705 (version 1)_05 TMX Brazil DCF Model_Consolidação IMOB" xfId="1397" xr:uid="{00000000-0005-0000-0000-000027050000}"/>
    <cellStyle name="_Currency_Urca Final Model_Sovereign Bonds 060705 (version 1)_05 TMX Brazil DCF Model_Consolidação IMOB 2" xfId="1398" xr:uid="{00000000-0005-0000-0000-000028050000}"/>
    <cellStyle name="_Currency_Urca Final Model_Sovereign Bonds 060705 (version 1)_05 TMX Brazil DCF Model_Estudo de Viabilidade -IMOB Henri" xfId="1399" xr:uid="{00000000-0005-0000-0000-000029050000}"/>
    <cellStyle name="_Currency_Urca Final Model_Sovereign Bonds 060705 (version 1)_05 TMX Brazil DCF Model_Estudo de Viabilidade -IMOB Henri 2" xfId="1400" xr:uid="{00000000-0005-0000-0000-00002A050000}"/>
    <cellStyle name="_Currency_Urca Final Model_Sovereign Bonds 060705 (version 1)_05 TMX Brazil DCF Model_FP 100" xfId="1401" xr:uid="{00000000-0005-0000-0000-00002B050000}"/>
    <cellStyle name="_Currency_Urca Final Model_Sovereign Bonds 060705 (version 1)_05 TMX Brazil DCF Model_FP 100 2" xfId="1402" xr:uid="{00000000-0005-0000-0000-00002C050000}"/>
    <cellStyle name="_Currency_Urca Final Model_Sovereign Bonds 060705 (version 1)_05 TMX Brazil DCF Model_Península" xfId="1403" xr:uid="{00000000-0005-0000-0000-00002D050000}"/>
    <cellStyle name="_Currency_Urca Final Model_Sovereign Bonds 060705 (version 1)_05 TMX Brazil DCF Model_Península 2" xfId="1404" xr:uid="{00000000-0005-0000-0000-00002E050000}"/>
    <cellStyle name="_Currency_Urca Final Model_Sovereign Bonds 060705 (version 1)_05 TMX Brazil DCF Model_Peninsula_0510" xfId="1405" xr:uid="{00000000-0005-0000-0000-00002F050000}"/>
    <cellStyle name="_Currency_Urca Final Model_Sovereign Bonds 060705 (version 1)_05 TMX Brazil DCF Model_Peninsula_0510 2" xfId="1406" xr:uid="{00000000-0005-0000-0000-000030050000}"/>
    <cellStyle name="_Currency_Urca Final Model_Sovereign Bonds 060705 (version 1)_05 TMX Brazil DCF Model_Resumo Juros e Variações" xfId="1407" xr:uid="{00000000-0005-0000-0000-000031050000}"/>
    <cellStyle name="_Currency_Urca Final Model_Sovereign Bonds 060705 (version 1)_05 TMX Brazil DCF Model_Resumo Juros e Variações 2" xfId="1408" xr:uid="{00000000-0005-0000-0000-000032050000}"/>
    <cellStyle name="_Currency_Urca Final Model_Sovereign Bonds 060705 2" xfId="1409" xr:uid="{00000000-0005-0000-0000-000033050000}"/>
    <cellStyle name="_Currency_Urca Final Model_Sovereign Bonds 060705 3" xfId="1410" xr:uid="{00000000-0005-0000-0000-000034050000}"/>
    <cellStyle name="_Currency_Urca Final Model_Sovereign Bonds 060705 4" xfId="1411" xr:uid="{00000000-0005-0000-0000-000035050000}"/>
    <cellStyle name="_Currency_Urca Final Model_Sovereign Bonds 060705_01 NET DCF Model" xfId="1412" xr:uid="{00000000-0005-0000-0000-000036050000}"/>
    <cellStyle name="_Currency_Urca Final Model_Sovereign Bonds 060705_01 NET DCF Model 2" xfId="1413" xr:uid="{00000000-0005-0000-0000-000037050000}"/>
    <cellStyle name="_Currency_Urca Final Model_Sovereign Bonds 060705_01 NET DCF Model_Consolidação" xfId="1414" xr:uid="{00000000-0005-0000-0000-000038050000}"/>
    <cellStyle name="_Currency_Urca Final Model_Sovereign Bonds 060705_01 NET DCF Model_Consolidação 2" xfId="1415" xr:uid="{00000000-0005-0000-0000-000039050000}"/>
    <cellStyle name="_Currency_Urca Final Model_Sovereign Bonds 060705_01 NET DCF Model_Consolidação IMOB" xfId="1416" xr:uid="{00000000-0005-0000-0000-00003A050000}"/>
    <cellStyle name="_Currency_Urca Final Model_Sovereign Bonds 060705_01 NET DCF Model_Consolidação IMOB 2" xfId="1417" xr:uid="{00000000-0005-0000-0000-00003B050000}"/>
    <cellStyle name="_Currency_Urca Final Model_Sovereign Bonds 060705_01 NET DCF Model_Estudo de Viabilidade -IMOB Henri" xfId="1418" xr:uid="{00000000-0005-0000-0000-00003C050000}"/>
    <cellStyle name="_Currency_Urca Final Model_Sovereign Bonds 060705_01 NET DCF Model_Estudo de Viabilidade -IMOB Henri 2" xfId="1419" xr:uid="{00000000-0005-0000-0000-00003D050000}"/>
    <cellStyle name="_Currency_Urca Final Model_Sovereign Bonds 060705_01 NET DCF Model_FP 100" xfId="1420" xr:uid="{00000000-0005-0000-0000-00003E050000}"/>
    <cellStyle name="_Currency_Urca Final Model_Sovereign Bonds 060705_01 NET DCF Model_FP 100 2" xfId="1421" xr:uid="{00000000-0005-0000-0000-00003F050000}"/>
    <cellStyle name="_Currency_Urca Final Model_Sovereign Bonds 060705_01 NET DCF Model_Península" xfId="1422" xr:uid="{00000000-0005-0000-0000-000040050000}"/>
    <cellStyle name="_Currency_Urca Final Model_Sovereign Bonds 060705_01 NET DCF Model_Península 2" xfId="1423" xr:uid="{00000000-0005-0000-0000-000041050000}"/>
    <cellStyle name="_Currency_Urca Final Model_Sovereign Bonds 060705_01 NET DCF Model_Peninsula_0510" xfId="1424" xr:uid="{00000000-0005-0000-0000-000042050000}"/>
    <cellStyle name="_Currency_Urca Final Model_Sovereign Bonds 060705_01 NET DCF Model_Peninsula_0510 2" xfId="1425" xr:uid="{00000000-0005-0000-0000-000043050000}"/>
    <cellStyle name="_Currency_Urca Final Model_Sovereign Bonds 060705_01 NET DCF Model_Resumo Juros e Variações" xfId="1426" xr:uid="{00000000-0005-0000-0000-000044050000}"/>
    <cellStyle name="_Currency_Urca Final Model_Sovereign Bonds 060705_01 NET DCF Model_Resumo Juros e Variações 2" xfId="1427" xr:uid="{00000000-0005-0000-0000-000045050000}"/>
    <cellStyle name="_Currency_Urca Final Model_Sovereign Bonds 060705_03 Embratel DCF Model_Loscos" xfId="1428" xr:uid="{00000000-0005-0000-0000-000046050000}"/>
    <cellStyle name="_Currency_Urca Final Model_Sovereign Bonds 060705_03 Embratel DCF Model_Loscos 2" xfId="1429" xr:uid="{00000000-0005-0000-0000-000047050000}"/>
    <cellStyle name="_Currency_Urca Final Model_Sovereign Bonds 060705_05 NET DCF Model" xfId="1430" xr:uid="{00000000-0005-0000-0000-000048050000}"/>
    <cellStyle name="_Currency_Urca Final Model_Sovereign Bonds 060705_05 NET DCF Model 2" xfId="1431" xr:uid="{00000000-0005-0000-0000-000049050000}"/>
    <cellStyle name="_Currency_Urca Final Model_Sovereign Bonds 060705_05 NET DCF Model_Consolidação" xfId="1432" xr:uid="{00000000-0005-0000-0000-00004A050000}"/>
    <cellStyle name="_Currency_Urca Final Model_Sovereign Bonds 060705_05 NET DCF Model_Consolidação 2" xfId="1433" xr:uid="{00000000-0005-0000-0000-00004B050000}"/>
    <cellStyle name="_Currency_Urca Final Model_Sovereign Bonds 060705_05 NET DCF Model_Consolidação IMOB" xfId="1434" xr:uid="{00000000-0005-0000-0000-00004C050000}"/>
    <cellStyle name="_Currency_Urca Final Model_Sovereign Bonds 060705_05 NET DCF Model_Consolidação IMOB 2" xfId="1435" xr:uid="{00000000-0005-0000-0000-00004D050000}"/>
    <cellStyle name="_Currency_Urca Final Model_Sovereign Bonds 060705_05 NET DCF Model_Estudo de Viabilidade -IMOB Henri" xfId="1436" xr:uid="{00000000-0005-0000-0000-00004E050000}"/>
    <cellStyle name="_Currency_Urca Final Model_Sovereign Bonds 060705_05 NET DCF Model_Estudo de Viabilidade -IMOB Henri 2" xfId="1437" xr:uid="{00000000-0005-0000-0000-00004F050000}"/>
    <cellStyle name="_Currency_Urca Final Model_Sovereign Bonds 060705_05 NET DCF Model_FP 100" xfId="1438" xr:uid="{00000000-0005-0000-0000-000050050000}"/>
    <cellStyle name="_Currency_Urca Final Model_Sovereign Bonds 060705_05 NET DCF Model_FP 100 2" xfId="1439" xr:uid="{00000000-0005-0000-0000-000051050000}"/>
    <cellStyle name="_Currency_Urca Final Model_Sovereign Bonds 060705_05 NET DCF Model_Península" xfId="1440" xr:uid="{00000000-0005-0000-0000-000052050000}"/>
    <cellStyle name="_Currency_Urca Final Model_Sovereign Bonds 060705_05 NET DCF Model_Península 2" xfId="1441" xr:uid="{00000000-0005-0000-0000-000053050000}"/>
    <cellStyle name="_Currency_Urca Final Model_Sovereign Bonds 060705_05 NET DCF Model_Peninsula_0510" xfId="1442" xr:uid="{00000000-0005-0000-0000-000054050000}"/>
    <cellStyle name="_Currency_Urca Final Model_Sovereign Bonds 060705_05 NET DCF Model_Peninsula_0510 2" xfId="1443" xr:uid="{00000000-0005-0000-0000-000055050000}"/>
    <cellStyle name="_Currency_Urca Final Model_Sovereign Bonds 060705_05 NET DCF Model_Resumo Juros e Variações" xfId="1444" xr:uid="{00000000-0005-0000-0000-000056050000}"/>
    <cellStyle name="_Currency_Urca Final Model_Sovereign Bonds 060705_05 NET DCF Model_Resumo Juros e Variações 2" xfId="1445" xr:uid="{00000000-0005-0000-0000-000057050000}"/>
    <cellStyle name="_Currency_Urca Final Model_Sovereign Bonds 060705_05 TMX Brazil DCF Model" xfId="1446" xr:uid="{00000000-0005-0000-0000-000058050000}"/>
    <cellStyle name="_Currency_Urca Final Model_Sovereign Bonds 060705_05 TMX Brazil DCF Model 2" xfId="1447" xr:uid="{00000000-0005-0000-0000-000059050000}"/>
    <cellStyle name="_Currency_Urca Final Model_Sovereign Bonds 060705_05 TMX Brazil DCF Model_Consolidação" xfId="1448" xr:uid="{00000000-0005-0000-0000-00005A050000}"/>
    <cellStyle name="_Currency_Urca Final Model_Sovereign Bonds 060705_05 TMX Brazil DCF Model_Consolidação 2" xfId="1449" xr:uid="{00000000-0005-0000-0000-00005B050000}"/>
    <cellStyle name="_Currency_Urca Final Model_Sovereign Bonds 060705_05 TMX Brazil DCF Model_Consolidação IMOB" xfId="1450" xr:uid="{00000000-0005-0000-0000-00005C050000}"/>
    <cellStyle name="_Currency_Urca Final Model_Sovereign Bonds 060705_05 TMX Brazil DCF Model_Consolidação IMOB 2" xfId="1451" xr:uid="{00000000-0005-0000-0000-00005D050000}"/>
    <cellStyle name="_Currency_Urca Final Model_Sovereign Bonds 060705_05 TMX Brazil DCF Model_Estudo de Viabilidade -IMOB Henri" xfId="1452" xr:uid="{00000000-0005-0000-0000-00005E050000}"/>
    <cellStyle name="_Currency_Urca Final Model_Sovereign Bonds 060705_05 TMX Brazil DCF Model_Estudo de Viabilidade -IMOB Henri 2" xfId="1453" xr:uid="{00000000-0005-0000-0000-00005F050000}"/>
    <cellStyle name="_Currency_Urca Final Model_Sovereign Bonds 060705_05 TMX Brazil DCF Model_FP 100" xfId="1454" xr:uid="{00000000-0005-0000-0000-000060050000}"/>
    <cellStyle name="_Currency_Urca Final Model_Sovereign Bonds 060705_05 TMX Brazil DCF Model_FP 100 2" xfId="1455" xr:uid="{00000000-0005-0000-0000-000061050000}"/>
    <cellStyle name="_Currency_Urca Final Model_Sovereign Bonds 060705_05 TMX Brazil DCF Model_Península" xfId="1456" xr:uid="{00000000-0005-0000-0000-000062050000}"/>
    <cellStyle name="_Currency_Urca Final Model_Sovereign Bonds 060705_05 TMX Brazil DCF Model_Península 2" xfId="1457" xr:uid="{00000000-0005-0000-0000-000063050000}"/>
    <cellStyle name="_Currency_Urca Final Model_Sovereign Bonds 060705_05 TMX Brazil DCF Model_Peninsula_0510" xfId="1458" xr:uid="{00000000-0005-0000-0000-000064050000}"/>
    <cellStyle name="_Currency_Urca Final Model_Sovereign Bonds 060705_05 TMX Brazil DCF Model_Peninsula_0510 2" xfId="1459" xr:uid="{00000000-0005-0000-0000-000065050000}"/>
    <cellStyle name="_Currency_Urca Final Model_Sovereign Bonds 060705_05 TMX Brazil DCF Model_Resumo Juros e Variações" xfId="1460" xr:uid="{00000000-0005-0000-0000-000066050000}"/>
    <cellStyle name="_Currency_Urca Final Model_Sovereign Bonds 060705_05 TMX Brazil DCF Model_Resumo Juros e Variações 2" xfId="1461" xr:uid="{00000000-0005-0000-0000-000067050000}"/>
    <cellStyle name="_Currency_WACC Analysis" xfId="1462" xr:uid="{00000000-0005-0000-0000-000068050000}"/>
    <cellStyle name="_Currency_WACC Analysis 2" xfId="1463" xr:uid="{00000000-0005-0000-0000-000069050000}"/>
    <cellStyle name="_Currency_WACC Analysis_4b_0827_2" xfId="1464" xr:uid="{00000000-0005-0000-0000-00006A050000}"/>
    <cellStyle name="_Currency_WACC Analysis_4b_0827_2 2" xfId="1465" xr:uid="{00000000-0005-0000-0000-00006B050000}"/>
    <cellStyle name="_Currency_WACC Analysis_4b_0827_2_Consolidação" xfId="1466" xr:uid="{00000000-0005-0000-0000-00006C050000}"/>
    <cellStyle name="_Currency_WACC Analysis_4b_0827_2_Consolidação 2" xfId="1467" xr:uid="{00000000-0005-0000-0000-00006D050000}"/>
    <cellStyle name="_Currency_WACC Analysis_4b_0827_2_Consolidação IMOB" xfId="1468" xr:uid="{00000000-0005-0000-0000-00006E050000}"/>
    <cellStyle name="_Currency_WACC Analysis_4b_0827_2_Consolidação IMOB 2" xfId="1469" xr:uid="{00000000-0005-0000-0000-00006F050000}"/>
    <cellStyle name="_Currency_WACC Analysis_4b_0827_2_Dados por segmento julho 06" xfId="1470" xr:uid="{00000000-0005-0000-0000-000070050000}"/>
    <cellStyle name="_Currency_WACC Analysis_4b_0827_2_Dados por segmento julho 06 2" xfId="1471" xr:uid="{00000000-0005-0000-0000-000071050000}"/>
    <cellStyle name="_Currency_WACC Analysis_4b_0827_2_Estudo de Viabilidade - EXP BHS" xfId="1472" xr:uid="{00000000-0005-0000-0000-000072050000}"/>
    <cellStyle name="_Currency_WACC Analysis_4b_0827_2_Estudo de Viabilidade - EXP BHS 2" xfId="1473" xr:uid="{00000000-0005-0000-0000-000073050000}"/>
    <cellStyle name="_Currency_WACC Analysis_4b_0827_2_Estudo de Viabilidade - EXP BHS_Consolidação" xfId="1474" xr:uid="{00000000-0005-0000-0000-000074050000}"/>
    <cellStyle name="_Currency_WACC Analysis_4b_0827_2_Estudo de Viabilidade - EXP BHS_Consolidação 2" xfId="1475" xr:uid="{00000000-0005-0000-0000-000075050000}"/>
    <cellStyle name="_Currency_WACC Analysis_4b_0827_2_FP 100" xfId="1476" xr:uid="{00000000-0005-0000-0000-000076050000}"/>
    <cellStyle name="_Currency_WACC Analysis_4b_0827_2_FP 100 2" xfId="1477" xr:uid="{00000000-0005-0000-0000-000077050000}"/>
    <cellStyle name="_Currency_WACC Analysis_4b_0827_2_Resumo Juros e Variações" xfId="1478" xr:uid="{00000000-0005-0000-0000-000078050000}"/>
    <cellStyle name="_Currency_WACC Analysis_4b_0827_2_Resumo Juros e Variações 2" xfId="1479" xr:uid="{00000000-0005-0000-0000-000079050000}"/>
    <cellStyle name="_Currency_WACC Analysis_4b_0827_2_Sovereign Bonds 060705" xfId="1480" xr:uid="{00000000-0005-0000-0000-00007A050000}"/>
    <cellStyle name="_Currency_WACC Analysis_4b_0827_2_Sovereign Bonds 060705 (version 1)" xfId="1481" xr:uid="{00000000-0005-0000-0000-00007B050000}"/>
    <cellStyle name="_Currency_WACC Analysis_4b_0827_2_Sovereign Bonds 060705 (version 1) 2" xfId="1482" xr:uid="{00000000-0005-0000-0000-00007C050000}"/>
    <cellStyle name="_Currency_WACC Analysis_4b_0827_2_Sovereign Bonds 060705 (version 1)_01 NET DCF Model" xfId="1483" xr:uid="{00000000-0005-0000-0000-00007D050000}"/>
    <cellStyle name="_Currency_WACC Analysis_4b_0827_2_Sovereign Bonds 060705 (version 1)_01 NET DCF Model 2" xfId="1484" xr:uid="{00000000-0005-0000-0000-00007E050000}"/>
    <cellStyle name="_Currency_WACC Analysis_4b_0827_2_Sovereign Bonds 060705 (version 1)_01 NET DCF Model_Consolidação" xfId="1485" xr:uid="{00000000-0005-0000-0000-00007F050000}"/>
    <cellStyle name="_Currency_WACC Analysis_4b_0827_2_Sovereign Bonds 060705 (version 1)_01 NET DCF Model_Consolidação 2" xfId="1486" xr:uid="{00000000-0005-0000-0000-000080050000}"/>
    <cellStyle name="_Currency_WACC Analysis_4b_0827_2_Sovereign Bonds 060705 (version 1)_01 NET DCF Model_Consolidação IMOB" xfId="1487" xr:uid="{00000000-0005-0000-0000-000081050000}"/>
    <cellStyle name="_Currency_WACC Analysis_4b_0827_2_Sovereign Bonds 060705 (version 1)_01 NET DCF Model_Consolidação IMOB 2" xfId="1488" xr:uid="{00000000-0005-0000-0000-000082050000}"/>
    <cellStyle name="_Currency_WACC Analysis_4b_0827_2_Sovereign Bonds 060705 (version 1)_01 NET DCF Model_Estudo de Viabilidade -IMOB Henri" xfId="1489" xr:uid="{00000000-0005-0000-0000-000083050000}"/>
    <cellStyle name="_Currency_WACC Analysis_4b_0827_2_Sovereign Bonds 060705 (version 1)_01 NET DCF Model_Estudo de Viabilidade -IMOB Henri 2" xfId="1490" xr:uid="{00000000-0005-0000-0000-000084050000}"/>
    <cellStyle name="_Currency_WACC Analysis_4b_0827_2_Sovereign Bonds 060705 (version 1)_01 NET DCF Model_FP 100" xfId="1491" xr:uid="{00000000-0005-0000-0000-000085050000}"/>
    <cellStyle name="_Currency_WACC Analysis_4b_0827_2_Sovereign Bonds 060705 (version 1)_01 NET DCF Model_FP 100 2" xfId="1492" xr:uid="{00000000-0005-0000-0000-000086050000}"/>
    <cellStyle name="_Currency_WACC Analysis_4b_0827_2_Sovereign Bonds 060705 (version 1)_01 NET DCF Model_Península" xfId="1493" xr:uid="{00000000-0005-0000-0000-000087050000}"/>
    <cellStyle name="_Currency_WACC Analysis_4b_0827_2_Sovereign Bonds 060705 (version 1)_01 NET DCF Model_Península 2" xfId="1494" xr:uid="{00000000-0005-0000-0000-000088050000}"/>
    <cellStyle name="_Currency_WACC Analysis_4b_0827_2_Sovereign Bonds 060705 (version 1)_01 NET DCF Model_Peninsula_0510" xfId="1495" xr:uid="{00000000-0005-0000-0000-000089050000}"/>
    <cellStyle name="_Currency_WACC Analysis_4b_0827_2_Sovereign Bonds 060705 (version 1)_01 NET DCF Model_Peninsula_0510 2" xfId="1496" xr:uid="{00000000-0005-0000-0000-00008A050000}"/>
    <cellStyle name="_Currency_WACC Analysis_4b_0827_2_Sovereign Bonds 060705 (version 1)_01 NET DCF Model_Resumo Juros e Variações" xfId="1497" xr:uid="{00000000-0005-0000-0000-00008B050000}"/>
    <cellStyle name="_Currency_WACC Analysis_4b_0827_2_Sovereign Bonds 060705 (version 1)_01 NET DCF Model_Resumo Juros e Variações 2" xfId="1498" xr:uid="{00000000-0005-0000-0000-00008C050000}"/>
    <cellStyle name="_Currency_WACC Analysis_4b_0827_2_Sovereign Bonds 060705 (version 1)_03 Embratel DCF Model_Loscos" xfId="1499" xr:uid="{00000000-0005-0000-0000-00008D050000}"/>
    <cellStyle name="_Currency_WACC Analysis_4b_0827_2_Sovereign Bonds 060705 (version 1)_03 Embratel DCF Model_Loscos 2" xfId="1500" xr:uid="{00000000-0005-0000-0000-00008E050000}"/>
    <cellStyle name="_Currency_WACC Analysis_4b_0827_2_Sovereign Bonds 060705 (version 1)_05 NET DCF Model" xfId="1501" xr:uid="{00000000-0005-0000-0000-00008F050000}"/>
    <cellStyle name="_Currency_WACC Analysis_4b_0827_2_Sovereign Bonds 060705 (version 1)_05 NET DCF Model 2" xfId="1502" xr:uid="{00000000-0005-0000-0000-000090050000}"/>
    <cellStyle name="_Currency_WACC Analysis_4b_0827_2_Sovereign Bonds 060705 (version 1)_05 NET DCF Model_Consolidação" xfId="1503" xr:uid="{00000000-0005-0000-0000-000091050000}"/>
    <cellStyle name="_Currency_WACC Analysis_4b_0827_2_Sovereign Bonds 060705 (version 1)_05 NET DCF Model_Consolidação 2" xfId="1504" xr:uid="{00000000-0005-0000-0000-000092050000}"/>
    <cellStyle name="_Currency_WACC Analysis_4b_0827_2_Sovereign Bonds 060705 (version 1)_05 NET DCF Model_Consolidação IMOB" xfId="1505" xr:uid="{00000000-0005-0000-0000-000093050000}"/>
    <cellStyle name="_Currency_WACC Analysis_4b_0827_2_Sovereign Bonds 060705 (version 1)_05 NET DCF Model_Consolidação IMOB 2" xfId="1506" xr:uid="{00000000-0005-0000-0000-000094050000}"/>
    <cellStyle name="_Currency_WACC Analysis_4b_0827_2_Sovereign Bonds 060705 (version 1)_05 NET DCF Model_Estudo de Viabilidade -IMOB Henri" xfId="1507" xr:uid="{00000000-0005-0000-0000-000095050000}"/>
    <cellStyle name="_Currency_WACC Analysis_4b_0827_2_Sovereign Bonds 060705 (version 1)_05 NET DCF Model_Estudo de Viabilidade -IMOB Henri 2" xfId="1508" xr:uid="{00000000-0005-0000-0000-000096050000}"/>
    <cellStyle name="_Currency_WACC Analysis_4b_0827_2_Sovereign Bonds 060705 (version 1)_05 NET DCF Model_FP 100" xfId="1509" xr:uid="{00000000-0005-0000-0000-000097050000}"/>
    <cellStyle name="_Currency_WACC Analysis_4b_0827_2_Sovereign Bonds 060705 (version 1)_05 NET DCF Model_FP 100 2" xfId="1510" xr:uid="{00000000-0005-0000-0000-000098050000}"/>
    <cellStyle name="_Currency_WACC Analysis_4b_0827_2_Sovereign Bonds 060705 (version 1)_05 NET DCF Model_Península" xfId="1511" xr:uid="{00000000-0005-0000-0000-000099050000}"/>
    <cellStyle name="_Currency_WACC Analysis_4b_0827_2_Sovereign Bonds 060705 (version 1)_05 NET DCF Model_Península 2" xfId="1512" xr:uid="{00000000-0005-0000-0000-00009A050000}"/>
    <cellStyle name="_Currency_WACC Analysis_4b_0827_2_Sovereign Bonds 060705 (version 1)_05 NET DCF Model_Peninsula_0510" xfId="1513" xr:uid="{00000000-0005-0000-0000-00009B050000}"/>
    <cellStyle name="_Currency_WACC Analysis_4b_0827_2_Sovereign Bonds 060705 (version 1)_05 NET DCF Model_Peninsula_0510 2" xfId="1514" xr:uid="{00000000-0005-0000-0000-00009C050000}"/>
    <cellStyle name="_Currency_WACC Analysis_4b_0827_2_Sovereign Bonds 060705 (version 1)_05 NET DCF Model_Resumo Juros e Variações" xfId="1515" xr:uid="{00000000-0005-0000-0000-00009D050000}"/>
    <cellStyle name="_Currency_WACC Analysis_4b_0827_2_Sovereign Bonds 060705 (version 1)_05 NET DCF Model_Resumo Juros e Variações 2" xfId="1516" xr:uid="{00000000-0005-0000-0000-00009E050000}"/>
    <cellStyle name="_Currency_WACC Analysis_4b_0827_2_Sovereign Bonds 060705 (version 1)_05 TMX Brazil DCF Model" xfId="1517" xr:uid="{00000000-0005-0000-0000-00009F050000}"/>
    <cellStyle name="_Currency_WACC Analysis_4b_0827_2_Sovereign Bonds 060705 (version 1)_05 TMX Brazil DCF Model 2" xfId="1518" xr:uid="{00000000-0005-0000-0000-0000A0050000}"/>
    <cellStyle name="_Currency_WACC Analysis_4b_0827_2_Sovereign Bonds 060705 (version 1)_05 TMX Brazil DCF Model_Consolidação" xfId="1519" xr:uid="{00000000-0005-0000-0000-0000A1050000}"/>
    <cellStyle name="_Currency_WACC Analysis_4b_0827_2_Sovereign Bonds 060705 (version 1)_05 TMX Brazil DCF Model_Consolidação 2" xfId="1520" xr:uid="{00000000-0005-0000-0000-0000A2050000}"/>
    <cellStyle name="_Currency_WACC Analysis_4b_0827_2_Sovereign Bonds 060705 (version 1)_05 TMX Brazil DCF Model_Consolidação IMOB" xfId="1521" xr:uid="{00000000-0005-0000-0000-0000A3050000}"/>
    <cellStyle name="_Currency_WACC Analysis_4b_0827_2_Sovereign Bonds 060705 (version 1)_05 TMX Brazil DCF Model_Consolidação IMOB 2" xfId="1522" xr:uid="{00000000-0005-0000-0000-0000A4050000}"/>
    <cellStyle name="_Currency_WACC Analysis_4b_0827_2_Sovereign Bonds 060705 (version 1)_05 TMX Brazil DCF Model_Estudo de Viabilidade -IMOB Henri" xfId="1523" xr:uid="{00000000-0005-0000-0000-0000A5050000}"/>
    <cellStyle name="_Currency_WACC Analysis_4b_0827_2_Sovereign Bonds 060705 (version 1)_05 TMX Brazil DCF Model_Estudo de Viabilidade -IMOB Henri 2" xfId="1524" xr:uid="{00000000-0005-0000-0000-0000A6050000}"/>
    <cellStyle name="_Currency_WACC Analysis_4b_0827_2_Sovereign Bonds 060705 (version 1)_05 TMX Brazil DCF Model_FP 100" xfId="1525" xr:uid="{00000000-0005-0000-0000-0000A7050000}"/>
    <cellStyle name="_Currency_WACC Analysis_4b_0827_2_Sovereign Bonds 060705 (version 1)_05 TMX Brazil DCF Model_FP 100 2" xfId="1526" xr:uid="{00000000-0005-0000-0000-0000A8050000}"/>
    <cellStyle name="_Currency_WACC Analysis_4b_0827_2_Sovereign Bonds 060705 (version 1)_05 TMX Brazil DCF Model_Península" xfId="1527" xr:uid="{00000000-0005-0000-0000-0000A9050000}"/>
    <cellStyle name="_Currency_WACC Analysis_4b_0827_2_Sovereign Bonds 060705 (version 1)_05 TMX Brazil DCF Model_Península 2" xfId="1528" xr:uid="{00000000-0005-0000-0000-0000AA050000}"/>
    <cellStyle name="_Currency_WACC Analysis_4b_0827_2_Sovereign Bonds 060705 (version 1)_05 TMX Brazil DCF Model_Peninsula_0510" xfId="1529" xr:uid="{00000000-0005-0000-0000-0000AB050000}"/>
    <cellStyle name="_Currency_WACC Analysis_4b_0827_2_Sovereign Bonds 060705 (version 1)_05 TMX Brazil DCF Model_Peninsula_0510 2" xfId="1530" xr:uid="{00000000-0005-0000-0000-0000AC050000}"/>
    <cellStyle name="_Currency_WACC Analysis_4b_0827_2_Sovereign Bonds 060705 (version 1)_05 TMX Brazil DCF Model_Resumo Juros e Variações" xfId="1531" xr:uid="{00000000-0005-0000-0000-0000AD050000}"/>
    <cellStyle name="_Currency_WACC Analysis_4b_0827_2_Sovereign Bonds 060705 (version 1)_05 TMX Brazil DCF Model_Resumo Juros e Variações 2" xfId="1532" xr:uid="{00000000-0005-0000-0000-0000AE050000}"/>
    <cellStyle name="_Currency_WACC Analysis_4b_0827_2_Sovereign Bonds 060705 2" xfId="1533" xr:uid="{00000000-0005-0000-0000-0000AF050000}"/>
    <cellStyle name="_Currency_WACC Analysis_4b_0827_2_Sovereign Bonds 060705 3" xfId="1534" xr:uid="{00000000-0005-0000-0000-0000B0050000}"/>
    <cellStyle name="_Currency_WACC Analysis_4b_0827_2_Sovereign Bonds 060705 4" xfId="1535" xr:uid="{00000000-0005-0000-0000-0000B1050000}"/>
    <cellStyle name="_Currency_WACC Analysis_4b_0827_2_Sovereign Bonds 060705_01 NET DCF Model" xfId="1536" xr:uid="{00000000-0005-0000-0000-0000B2050000}"/>
    <cellStyle name="_Currency_WACC Analysis_4b_0827_2_Sovereign Bonds 060705_01 NET DCF Model 2" xfId="1537" xr:uid="{00000000-0005-0000-0000-0000B3050000}"/>
    <cellStyle name="_Currency_WACC Analysis_4b_0827_2_Sovereign Bonds 060705_01 NET DCF Model_Consolidação" xfId="1538" xr:uid="{00000000-0005-0000-0000-0000B4050000}"/>
    <cellStyle name="_Currency_WACC Analysis_4b_0827_2_Sovereign Bonds 060705_01 NET DCF Model_Consolidação 2" xfId="1539" xr:uid="{00000000-0005-0000-0000-0000B5050000}"/>
    <cellStyle name="_Currency_WACC Analysis_4b_0827_2_Sovereign Bonds 060705_01 NET DCF Model_Consolidação IMOB" xfId="1540" xr:uid="{00000000-0005-0000-0000-0000B6050000}"/>
    <cellStyle name="_Currency_WACC Analysis_4b_0827_2_Sovereign Bonds 060705_01 NET DCF Model_Consolidação IMOB 2" xfId="1541" xr:uid="{00000000-0005-0000-0000-0000B7050000}"/>
    <cellStyle name="_Currency_WACC Analysis_4b_0827_2_Sovereign Bonds 060705_01 NET DCF Model_Estudo de Viabilidade -IMOB Henri" xfId="1542" xr:uid="{00000000-0005-0000-0000-0000B8050000}"/>
    <cellStyle name="_Currency_WACC Analysis_4b_0827_2_Sovereign Bonds 060705_01 NET DCF Model_Estudo de Viabilidade -IMOB Henri 2" xfId="1543" xr:uid="{00000000-0005-0000-0000-0000B9050000}"/>
    <cellStyle name="_Currency_WACC Analysis_4b_0827_2_Sovereign Bonds 060705_01 NET DCF Model_FP 100" xfId="1544" xr:uid="{00000000-0005-0000-0000-0000BA050000}"/>
    <cellStyle name="_Currency_WACC Analysis_4b_0827_2_Sovereign Bonds 060705_01 NET DCF Model_FP 100 2" xfId="1545" xr:uid="{00000000-0005-0000-0000-0000BB050000}"/>
    <cellStyle name="_Currency_WACC Analysis_4b_0827_2_Sovereign Bonds 060705_01 NET DCF Model_Península" xfId="1546" xr:uid="{00000000-0005-0000-0000-0000BC050000}"/>
    <cellStyle name="_Currency_WACC Analysis_4b_0827_2_Sovereign Bonds 060705_01 NET DCF Model_Península 2" xfId="1547" xr:uid="{00000000-0005-0000-0000-0000BD050000}"/>
    <cellStyle name="_Currency_WACC Analysis_4b_0827_2_Sovereign Bonds 060705_01 NET DCF Model_Peninsula_0510" xfId="1548" xr:uid="{00000000-0005-0000-0000-0000BE050000}"/>
    <cellStyle name="_Currency_WACC Analysis_4b_0827_2_Sovereign Bonds 060705_01 NET DCF Model_Peninsula_0510 2" xfId="1549" xr:uid="{00000000-0005-0000-0000-0000BF050000}"/>
    <cellStyle name="_Currency_WACC Analysis_4b_0827_2_Sovereign Bonds 060705_01 NET DCF Model_Resumo Juros e Variações" xfId="1550" xr:uid="{00000000-0005-0000-0000-0000C0050000}"/>
    <cellStyle name="_Currency_WACC Analysis_4b_0827_2_Sovereign Bonds 060705_01 NET DCF Model_Resumo Juros e Variações 2" xfId="1551" xr:uid="{00000000-0005-0000-0000-0000C1050000}"/>
    <cellStyle name="_Currency_WACC Analysis_4b_0827_2_Sovereign Bonds 060705_03 Embratel DCF Model_Loscos" xfId="1552" xr:uid="{00000000-0005-0000-0000-0000C2050000}"/>
    <cellStyle name="_Currency_WACC Analysis_4b_0827_2_Sovereign Bonds 060705_03 Embratel DCF Model_Loscos 2" xfId="1553" xr:uid="{00000000-0005-0000-0000-0000C3050000}"/>
    <cellStyle name="_Currency_WACC Analysis_4b_0827_2_Sovereign Bonds 060705_05 NET DCF Model" xfId="1554" xr:uid="{00000000-0005-0000-0000-0000C4050000}"/>
    <cellStyle name="_Currency_WACC Analysis_4b_0827_2_Sovereign Bonds 060705_05 NET DCF Model 2" xfId="1555" xr:uid="{00000000-0005-0000-0000-0000C5050000}"/>
    <cellStyle name="_Currency_WACC Analysis_4b_0827_2_Sovereign Bonds 060705_05 NET DCF Model_Consolidação" xfId="1556" xr:uid="{00000000-0005-0000-0000-0000C6050000}"/>
    <cellStyle name="_Currency_WACC Analysis_4b_0827_2_Sovereign Bonds 060705_05 NET DCF Model_Consolidação 2" xfId="1557" xr:uid="{00000000-0005-0000-0000-0000C7050000}"/>
    <cellStyle name="_Currency_WACC Analysis_4b_0827_2_Sovereign Bonds 060705_05 NET DCF Model_Consolidação IMOB" xfId="1558" xr:uid="{00000000-0005-0000-0000-0000C8050000}"/>
    <cellStyle name="_Currency_WACC Analysis_4b_0827_2_Sovereign Bonds 060705_05 NET DCF Model_Consolidação IMOB 2" xfId="1559" xr:uid="{00000000-0005-0000-0000-0000C9050000}"/>
    <cellStyle name="_Currency_WACC Analysis_4b_0827_2_Sovereign Bonds 060705_05 NET DCF Model_Estudo de Viabilidade -IMOB Henri" xfId="1560" xr:uid="{00000000-0005-0000-0000-0000CA050000}"/>
    <cellStyle name="_Currency_WACC Analysis_4b_0827_2_Sovereign Bonds 060705_05 NET DCF Model_Estudo de Viabilidade -IMOB Henri 2" xfId="1561" xr:uid="{00000000-0005-0000-0000-0000CB050000}"/>
    <cellStyle name="_Currency_WACC Analysis_4b_0827_2_Sovereign Bonds 060705_05 NET DCF Model_FP 100" xfId="1562" xr:uid="{00000000-0005-0000-0000-0000CC050000}"/>
    <cellStyle name="_Currency_WACC Analysis_4b_0827_2_Sovereign Bonds 060705_05 NET DCF Model_FP 100 2" xfId="1563" xr:uid="{00000000-0005-0000-0000-0000CD050000}"/>
    <cellStyle name="_Currency_WACC Analysis_4b_0827_2_Sovereign Bonds 060705_05 NET DCF Model_Península" xfId="1564" xr:uid="{00000000-0005-0000-0000-0000CE050000}"/>
    <cellStyle name="_Currency_WACC Analysis_4b_0827_2_Sovereign Bonds 060705_05 NET DCF Model_Península 2" xfId="1565" xr:uid="{00000000-0005-0000-0000-0000CF050000}"/>
    <cellStyle name="_Currency_WACC Analysis_4b_0827_2_Sovereign Bonds 060705_05 NET DCF Model_Peninsula_0510" xfId="1566" xr:uid="{00000000-0005-0000-0000-0000D0050000}"/>
    <cellStyle name="_Currency_WACC Analysis_4b_0827_2_Sovereign Bonds 060705_05 NET DCF Model_Peninsula_0510 2" xfId="1567" xr:uid="{00000000-0005-0000-0000-0000D1050000}"/>
    <cellStyle name="_Currency_WACC Analysis_4b_0827_2_Sovereign Bonds 060705_05 NET DCF Model_Resumo Juros e Variações" xfId="1568" xr:uid="{00000000-0005-0000-0000-0000D2050000}"/>
    <cellStyle name="_Currency_WACC Analysis_4b_0827_2_Sovereign Bonds 060705_05 NET DCF Model_Resumo Juros e Variações 2" xfId="1569" xr:uid="{00000000-0005-0000-0000-0000D3050000}"/>
    <cellStyle name="_Currency_WACC Analysis_4b_0827_2_Sovereign Bonds 060705_05 TMX Brazil DCF Model" xfId="1570" xr:uid="{00000000-0005-0000-0000-0000D4050000}"/>
    <cellStyle name="_Currency_WACC Analysis_4b_0827_2_Sovereign Bonds 060705_05 TMX Brazil DCF Model 2" xfId="1571" xr:uid="{00000000-0005-0000-0000-0000D5050000}"/>
    <cellStyle name="_Currency_WACC Analysis_4b_0827_2_Sovereign Bonds 060705_05 TMX Brazil DCF Model_Consolidação" xfId="1572" xr:uid="{00000000-0005-0000-0000-0000D6050000}"/>
    <cellStyle name="_Currency_WACC Analysis_4b_0827_2_Sovereign Bonds 060705_05 TMX Brazil DCF Model_Consolidação 2" xfId="1573" xr:uid="{00000000-0005-0000-0000-0000D7050000}"/>
    <cellStyle name="_Currency_WACC Analysis_4b_0827_2_Sovereign Bonds 060705_05 TMX Brazil DCF Model_Consolidação IMOB" xfId="1574" xr:uid="{00000000-0005-0000-0000-0000D8050000}"/>
    <cellStyle name="_Currency_WACC Analysis_4b_0827_2_Sovereign Bonds 060705_05 TMX Brazil DCF Model_Consolidação IMOB 2" xfId="1575" xr:uid="{00000000-0005-0000-0000-0000D9050000}"/>
    <cellStyle name="_Currency_WACC Analysis_4b_0827_2_Sovereign Bonds 060705_05 TMX Brazil DCF Model_Estudo de Viabilidade -IMOB Henri" xfId="1576" xr:uid="{00000000-0005-0000-0000-0000DA050000}"/>
    <cellStyle name="_Currency_WACC Analysis_4b_0827_2_Sovereign Bonds 060705_05 TMX Brazil DCF Model_Estudo de Viabilidade -IMOB Henri 2" xfId="1577" xr:uid="{00000000-0005-0000-0000-0000DB050000}"/>
    <cellStyle name="_Currency_WACC Analysis_4b_0827_2_Sovereign Bonds 060705_05 TMX Brazil DCF Model_FP 100" xfId="1578" xr:uid="{00000000-0005-0000-0000-0000DC050000}"/>
    <cellStyle name="_Currency_WACC Analysis_4b_0827_2_Sovereign Bonds 060705_05 TMX Brazil DCF Model_FP 100 2" xfId="1579" xr:uid="{00000000-0005-0000-0000-0000DD050000}"/>
    <cellStyle name="_Currency_WACC Analysis_4b_0827_2_Sovereign Bonds 060705_05 TMX Brazil DCF Model_Península" xfId="1580" xr:uid="{00000000-0005-0000-0000-0000DE050000}"/>
    <cellStyle name="_Currency_WACC Analysis_4b_0827_2_Sovereign Bonds 060705_05 TMX Brazil DCF Model_Península 2" xfId="1581" xr:uid="{00000000-0005-0000-0000-0000DF050000}"/>
    <cellStyle name="_Currency_WACC Analysis_4b_0827_2_Sovereign Bonds 060705_05 TMX Brazil DCF Model_Peninsula_0510" xfId="1582" xr:uid="{00000000-0005-0000-0000-0000E0050000}"/>
    <cellStyle name="_Currency_WACC Analysis_4b_0827_2_Sovereign Bonds 060705_05 TMX Brazil DCF Model_Peninsula_0510 2" xfId="1583" xr:uid="{00000000-0005-0000-0000-0000E1050000}"/>
    <cellStyle name="_Currency_WACC Analysis_4b_0827_2_Sovereign Bonds 060705_05 TMX Brazil DCF Model_Resumo Juros e Variações" xfId="1584" xr:uid="{00000000-0005-0000-0000-0000E2050000}"/>
    <cellStyle name="_Currency_WACC Analysis_4b_0827_2_Sovereign Bonds 060705_05 TMX Brazil DCF Model_Resumo Juros e Variações 2" xfId="1585" xr:uid="{00000000-0005-0000-0000-0000E3050000}"/>
    <cellStyle name="_Currency_WACC Analysis_Consolidação" xfId="1586" xr:uid="{00000000-0005-0000-0000-0000E4050000}"/>
    <cellStyle name="_Currency_WACC Analysis_Consolidação 2" xfId="1587" xr:uid="{00000000-0005-0000-0000-0000E5050000}"/>
    <cellStyle name="_Currency_WACC Analysis_Consolidação IMOB" xfId="1588" xr:uid="{00000000-0005-0000-0000-0000E6050000}"/>
    <cellStyle name="_Currency_WACC Analysis_Consolidação IMOB 2" xfId="1589" xr:uid="{00000000-0005-0000-0000-0000E7050000}"/>
    <cellStyle name="_Currency_WACC Analysis_Estudo de Viabilidade -IMOB Henri" xfId="1590" xr:uid="{00000000-0005-0000-0000-0000E8050000}"/>
    <cellStyle name="_Currency_WACC Analysis_Estudo de Viabilidade -IMOB Henri 2" xfId="1591" xr:uid="{00000000-0005-0000-0000-0000E9050000}"/>
    <cellStyle name="_Currency_WACC Analysis_FP 100" xfId="1592" xr:uid="{00000000-0005-0000-0000-0000EA050000}"/>
    <cellStyle name="_Currency_WACC Analysis_FP 100 2" xfId="1593" xr:uid="{00000000-0005-0000-0000-0000EB050000}"/>
    <cellStyle name="_Currency_WACC Analysis_Península" xfId="1594" xr:uid="{00000000-0005-0000-0000-0000EC050000}"/>
    <cellStyle name="_Currency_WACC Analysis_Península 2" xfId="1595" xr:uid="{00000000-0005-0000-0000-0000ED050000}"/>
    <cellStyle name="_Currency_WACC Analysis_Peninsula_0510" xfId="1596" xr:uid="{00000000-0005-0000-0000-0000EE050000}"/>
    <cellStyle name="_Currency_WACC Analysis_Peninsula_0510 2" xfId="1597" xr:uid="{00000000-0005-0000-0000-0000EF050000}"/>
    <cellStyle name="_Currency_WACC Analysis_Resumo Juros e Variações" xfId="1598" xr:uid="{00000000-0005-0000-0000-0000F0050000}"/>
    <cellStyle name="_Currency_WACC Analysis_Resumo Juros e Variações 2" xfId="1599" xr:uid="{00000000-0005-0000-0000-0000F1050000}"/>
    <cellStyle name="_CurrencySpace" xfId="1600" xr:uid="{00000000-0005-0000-0000-0000F2050000}"/>
    <cellStyle name="_CurrencySpace 2" xfId="1601" xr:uid="{00000000-0005-0000-0000-0000F3050000}"/>
    <cellStyle name="_CurrencySpace_01 AVP_ Project Infinitum" xfId="1602" xr:uid="{00000000-0005-0000-0000-0000F4050000}"/>
    <cellStyle name="_CurrencySpace_01 AVP_ Project Infinitum 2" xfId="1603" xr:uid="{00000000-0005-0000-0000-0000F5050000}"/>
    <cellStyle name="_CurrencySpace_01 TMX BR Revenue mix" xfId="1604" xr:uid="{00000000-0005-0000-0000-0000F6050000}"/>
    <cellStyle name="_CurrencySpace_01 TMX BR Revenue mix 2" xfId="1605" xr:uid="{00000000-0005-0000-0000-0000F7050000}"/>
    <cellStyle name="_CurrencySpace_02 Backup Charts" xfId="1606" xr:uid="{00000000-0005-0000-0000-0000F8050000}"/>
    <cellStyle name="_CurrencySpace_02 Backup Charts 2" xfId="1607" xr:uid="{00000000-0005-0000-0000-0000F9050000}"/>
    <cellStyle name="_CurrencySpace_02 Blended and actual_Telmex_ buying_ NET" xfId="1608" xr:uid="{00000000-0005-0000-0000-0000FA050000}"/>
    <cellStyle name="_CurrencySpace_02 Blended and actual_Telmex_ buying_ NET 2" xfId="1609" xr:uid="{00000000-0005-0000-0000-0000FB050000}"/>
    <cellStyle name="_CurrencySpace_02 TMX Brazil Management Projections_R$" xfId="1610" xr:uid="{00000000-0005-0000-0000-0000FC050000}"/>
    <cellStyle name="_CurrencySpace_03 Projections Comparison - Infinitum" xfId="1611" xr:uid="{00000000-0005-0000-0000-0000FD050000}"/>
    <cellStyle name="_CurrencySpace_03 Projections Comparison - Infinitum 2" xfId="1612" xr:uid="{00000000-0005-0000-0000-0000FE050000}"/>
    <cellStyle name="_CurrencySpace_04 WACC Vivax" xfId="1613" xr:uid="{00000000-0005-0000-0000-0000FF050000}"/>
    <cellStyle name="_CurrencySpace_04 WACC Vivax 2" xfId="1614" xr:uid="{00000000-0005-0000-0000-000000060000}"/>
    <cellStyle name="_CurrencySpace_05 Embratel DCF Model_NEW" xfId="1615" xr:uid="{00000000-0005-0000-0000-000001060000}"/>
    <cellStyle name="_CurrencySpace_05 Embratel DCF Model_NEW 2" xfId="1616" xr:uid="{00000000-0005-0000-0000-000002060000}"/>
    <cellStyle name="_CurrencySpace_12 Blended and actual _Telmex_buying_Embratel" xfId="1617" xr:uid="{00000000-0005-0000-0000-000003060000}"/>
    <cellStyle name="_CurrencySpace_12 Blended and actual _Telmex_buying_Embratel 2" xfId="1618" xr:uid="{00000000-0005-0000-0000-000004060000}"/>
    <cellStyle name="_CurrencySpace_AP Mobile Demand Check File 4Q w.Pakistan" xfId="1619" xr:uid="{00000000-0005-0000-0000-000005060000}"/>
    <cellStyle name="_CurrencySpace_avp" xfId="1620" xr:uid="{00000000-0005-0000-0000-000006060000}"/>
    <cellStyle name="_CurrencySpace_avp 2" xfId="1621" xr:uid="{00000000-0005-0000-0000-000007060000}"/>
    <cellStyle name="_CurrencySpace_AVP_ NewCo" xfId="1622" xr:uid="{00000000-0005-0000-0000-000008060000}"/>
    <cellStyle name="_CurrencySpace_AVP_ NewCo 2" xfId="1623" xr:uid="{00000000-0005-0000-0000-000009060000}"/>
    <cellStyle name="_CurrencySpace_Brazil bond data" xfId="1624" xr:uid="{00000000-0005-0000-0000-00000A060000}"/>
    <cellStyle name="_CurrencySpace_Brazil bond data 2" xfId="1625" xr:uid="{00000000-0005-0000-0000-00000B060000}"/>
    <cellStyle name="_CurrencySpace_Copy of AP Mobile Demand Check File 4Q2005 v.final" xfId="1626" xr:uid="{00000000-0005-0000-0000-00000C060000}"/>
    <cellStyle name="_CurrencySpace_dcf" xfId="1627" xr:uid="{00000000-0005-0000-0000-00000D060000}"/>
    <cellStyle name="_CurrencySpace_dcf 2" xfId="1628" xr:uid="{00000000-0005-0000-0000-00000E060000}"/>
    <cellStyle name="_CurrencySpace_Definitions" xfId="1629" xr:uid="{00000000-0005-0000-0000-00000F060000}"/>
    <cellStyle name="_CurrencySpace_EMT Management Assumptions_v2" xfId="1630" xr:uid="{00000000-0005-0000-0000-000010060000}"/>
    <cellStyle name="_CurrencySpace_EMT Management Assumptions_v2 2" xfId="1631" xr:uid="{00000000-0005-0000-0000-000011060000}"/>
    <cellStyle name="_CurrencySpace_LA WACC Discount_1" xfId="1632" xr:uid="{00000000-0005-0000-0000-000012060000}"/>
    <cellStyle name="_CurrencySpace_LA WACC Discount_1 2" xfId="1633" xr:uid="{00000000-0005-0000-0000-000013060000}"/>
    <cellStyle name="_CurrencySpace_merval_argent_correl" xfId="1634" xr:uid="{00000000-0005-0000-0000-000014060000}"/>
    <cellStyle name="_CurrencySpace_merval_argent_correl 2" xfId="1635" xr:uid="{00000000-0005-0000-0000-000015060000}"/>
    <cellStyle name="_CurrencySpace_Net Management Projections_2" xfId="1636" xr:uid="{00000000-0005-0000-0000-000016060000}"/>
    <cellStyle name="_CurrencySpace_Net Management Projections_2 2" xfId="1637" xr:uid="{00000000-0005-0000-0000-000017060000}"/>
    <cellStyle name="_CurrencySpace_Oil &amp; Gas betas" xfId="1638" xr:uid="{00000000-0005-0000-0000-000018060000}"/>
    <cellStyle name="_CurrencySpace_Oil &amp; Gas betas 2" xfId="1639" xr:uid="{00000000-0005-0000-0000-000019060000}"/>
    <cellStyle name="_CurrencySpace_PakistabMob2005" xfId="1640" xr:uid="{00000000-0005-0000-0000-00001A060000}"/>
    <cellStyle name="_CurrencySpace_PakistabMob2005 2" xfId="1641" xr:uid="{00000000-0005-0000-0000-00001B060000}"/>
    <cellStyle name="_CurrencySpace_Pay TV Subscribers" xfId="1642" xr:uid="{00000000-0005-0000-0000-00001C060000}"/>
    <cellStyle name="_CurrencySpace_Pay TV Subscribers 2" xfId="1643" xr:uid="{00000000-0005-0000-0000-00001D060000}"/>
    <cellStyle name="_CurrencySpace_Pyramid LA3Q05" xfId="1644" xr:uid="{00000000-0005-0000-0000-00001E060000}"/>
    <cellStyle name="_CurrencySpace_Pyramid LA3Q05 2" xfId="1645" xr:uid="{00000000-0005-0000-0000-00001F060000}"/>
    <cellStyle name="_CurrencySpace_Revenue Mix Chart" xfId="1646" xr:uid="{00000000-0005-0000-0000-000020060000}"/>
    <cellStyle name="_CurrencySpace_Revenue Mix Chart 2" xfId="1647" xr:uid="{00000000-0005-0000-0000-000021060000}"/>
    <cellStyle name="_CurrencySpace_Sovereign Bonds 060705" xfId="1648" xr:uid="{00000000-0005-0000-0000-000022060000}"/>
    <cellStyle name="_CurrencySpace_Sovereign Bonds 060705 (version 1)" xfId="1649" xr:uid="{00000000-0005-0000-0000-000023060000}"/>
    <cellStyle name="_CurrencySpace_Sovereign Bonds 060705 (version 1) 2" xfId="1650" xr:uid="{00000000-0005-0000-0000-000024060000}"/>
    <cellStyle name="_CurrencySpace_Sovereign Bonds 060705 2" xfId="1651" xr:uid="{00000000-0005-0000-0000-000025060000}"/>
    <cellStyle name="_CurrencySpace_Sovereign Bonds 060705 3" xfId="1652" xr:uid="{00000000-0005-0000-0000-000026060000}"/>
    <cellStyle name="_CurrencySpace_Sovereign Bonds 060705 4" xfId="1653" xr:uid="{00000000-0005-0000-0000-000027060000}"/>
    <cellStyle name="_CurrencySpace_Sovereign Bonds 060705_1" xfId="1654" xr:uid="{00000000-0005-0000-0000-000028060000}"/>
    <cellStyle name="_CurrencySpace_Sovereign Bonds 060705_1 2" xfId="1655" xr:uid="{00000000-0005-0000-0000-000029060000}"/>
    <cellStyle name="_CurrencySpace_Sovereign Bonds 060705_Consolidação" xfId="1656" xr:uid="{00000000-0005-0000-0000-00002A060000}"/>
    <cellStyle name="_CurrencySpace_Sovereign Bonds 060705_Consolidação 2" xfId="1657" xr:uid="{00000000-0005-0000-0000-00002B060000}"/>
    <cellStyle name="_CurrencySpace_Sovereign Bonds 060705_Dados por segmento julho 06" xfId="1658" xr:uid="{00000000-0005-0000-0000-00002C060000}"/>
    <cellStyle name="_CurrencySpace_Sovereign Bonds 060705_Dados por segmento julho 06 2" xfId="1659" xr:uid="{00000000-0005-0000-0000-00002D060000}"/>
    <cellStyle name="_CurrencySpace_Sovereign Bonds 060705_Estudo de Viabilidade - EXP BHS" xfId="1660" xr:uid="{00000000-0005-0000-0000-00002E060000}"/>
    <cellStyle name="_CurrencySpace_Sovereign Bonds 060705_Estudo de Viabilidade - EXP BHS 2" xfId="1661" xr:uid="{00000000-0005-0000-0000-00002F060000}"/>
    <cellStyle name="_CurrencySpace_Sovereign Bonds 060705_FP 100" xfId="1662" xr:uid="{00000000-0005-0000-0000-000030060000}"/>
    <cellStyle name="_CurrencySpace_Sovereign Bonds 060705_FP 100 2" xfId="1663" xr:uid="{00000000-0005-0000-0000-000031060000}"/>
    <cellStyle name="_CurrencySpace_WACC Analysis" xfId="1664" xr:uid="{00000000-0005-0000-0000-000032060000}"/>
    <cellStyle name="_CurrencySpace_WACC Analysis 2" xfId="1665" xr:uid="{00000000-0005-0000-0000-000033060000}"/>
    <cellStyle name="_CurrencySpace_WACC Analysis_4b_0827_2" xfId="1666" xr:uid="{00000000-0005-0000-0000-000034060000}"/>
    <cellStyle name="_CurrencySpace_WACC Analysis_4b_0827_2 2" xfId="1667" xr:uid="{00000000-0005-0000-0000-000035060000}"/>
    <cellStyle name="_D_Consolidated2" xfId="1668" xr:uid="{00000000-0005-0000-0000-000036060000}"/>
    <cellStyle name="_Dell with sensitivity" xfId="1669" xr:uid="{00000000-0005-0000-0000-000037060000}"/>
    <cellStyle name="_Dell with sensitivity_Copy of CNL Consolidated model_v.FPL_v37" xfId="1670" xr:uid="{00000000-0005-0000-0000-000038060000}"/>
    <cellStyle name="_Dell with sensitivity_Copy of CNL Consolidated model_v.FPL_v37_Exelon Power Fuel Forecast - Project P 6-11-2004 ver21" xfId="1671" xr:uid="{00000000-0005-0000-0000-000039060000}"/>
    <cellStyle name="_Dell with sensitivity_Copy of CNL Consolidated model_v.FPL_v37_ML Outputs" xfId="1672" xr:uid="{00000000-0005-0000-0000-00003A060000}"/>
    <cellStyle name="_Dell with sensitivity_Copy of CNL Consolidated model_v.FPL_v37_Project Forest Pro Forma Model v58" xfId="1673" xr:uid="{00000000-0005-0000-0000-00003B060000}"/>
    <cellStyle name="_Dell with sensitivity_D_Consolidated2" xfId="1674" xr:uid="{00000000-0005-0000-0000-00003C060000}"/>
    <cellStyle name="_Dell with sensitivity_Model v9.8" xfId="1675" xr:uid="{00000000-0005-0000-0000-00003D060000}"/>
    <cellStyle name="_Dell with sensitivity_Mutilples Template2" xfId="1676" xr:uid="{00000000-0005-0000-0000-00003E060000}"/>
    <cellStyle name="_Dell with sensitivity_Mutilples Template2_Exelon Power Fuel Forecast - Project P 6-11-2004 ver21" xfId="1677" xr:uid="{00000000-0005-0000-0000-00003F060000}"/>
    <cellStyle name="_Dell with sensitivity_Mutilples Template2_ML Outputs" xfId="1678" xr:uid="{00000000-0005-0000-0000-000040060000}"/>
    <cellStyle name="_Dell with sensitivity_Mutilples Template2_Project Forest Pro Forma Model v58" xfId="1679" xr:uid="{00000000-0005-0000-0000-000041060000}"/>
    <cellStyle name="_Dell with sensitivity_pom consolidated v3" xfId="1680" xr:uid="{00000000-0005-0000-0000-000042060000}"/>
    <cellStyle name="_Dell with sensitivity_pom consolidated v3_Exelon Power Fuel Forecast - Project P 6-11-2004 ver21" xfId="1681" xr:uid="{00000000-0005-0000-0000-000043060000}"/>
    <cellStyle name="_Dell with sensitivity_pom consolidated v3_ML Outputs" xfId="1682" xr:uid="{00000000-0005-0000-0000-000044060000}"/>
    <cellStyle name="_Dell with sensitivity_pom consolidated v3_Project Forest Pro Forma Model v58" xfId="1683" xr:uid="{00000000-0005-0000-0000-000045060000}"/>
    <cellStyle name="_Dell_6c_Stdv10_sensitivity sheet" xfId="1684" xr:uid="{00000000-0005-0000-0000-000046060000}"/>
    <cellStyle name="_Dell_6c_Stdv10_sensitivity sheet_Copy of CNL Consolidated model_v.FPL_v37" xfId="1685" xr:uid="{00000000-0005-0000-0000-000047060000}"/>
    <cellStyle name="_Dell_6c_Stdv10_sensitivity sheet_Copy of CNL Consolidated model_v.FPL_v37_Exelon Power Fuel Forecast - Project P 6-11-2004 ver21" xfId="1686" xr:uid="{00000000-0005-0000-0000-000048060000}"/>
    <cellStyle name="_Dell_6c_Stdv10_sensitivity sheet_Copy of CNL Consolidated model_v.FPL_v37_ML Outputs" xfId="1687" xr:uid="{00000000-0005-0000-0000-000049060000}"/>
    <cellStyle name="_Dell_6c_Stdv10_sensitivity sheet_Copy of CNL Consolidated model_v.FPL_v37_Project Forest Pro Forma Model v58" xfId="1688" xr:uid="{00000000-0005-0000-0000-00004A060000}"/>
    <cellStyle name="_Dell_6c_Stdv10_sensitivity sheet_D_Consolidated2" xfId="1689" xr:uid="{00000000-0005-0000-0000-00004B060000}"/>
    <cellStyle name="_Dell_6c_Stdv10_sensitivity sheet_Model v9.8" xfId="1690" xr:uid="{00000000-0005-0000-0000-00004C060000}"/>
    <cellStyle name="_Dell_6c_Stdv10_sensitivity sheet_Mutilples Template2" xfId="1691" xr:uid="{00000000-0005-0000-0000-00004D060000}"/>
    <cellStyle name="_Dell_6c_Stdv10_sensitivity sheet_Mutilples Template2_Exelon Power Fuel Forecast - Project P 6-11-2004 ver21" xfId="1692" xr:uid="{00000000-0005-0000-0000-00004E060000}"/>
    <cellStyle name="_Dell_6c_Stdv10_sensitivity sheet_Mutilples Template2_ML Outputs" xfId="1693" xr:uid="{00000000-0005-0000-0000-00004F060000}"/>
    <cellStyle name="_Dell_6c_Stdv10_sensitivity sheet_Mutilples Template2_Project Forest Pro Forma Model v58" xfId="1694" xr:uid="{00000000-0005-0000-0000-000050060000}"/>
    <cellStyle name="_Dell_6c_Stdv10_sensitivity sheet_pom consolidated v3" xfId="1695" xr:uid="{00000000-0005-0000-0000-000051060000}"/>
    <cellStyle name="_Dell_6c_Stdv10_sensitivity sheet_pom consolidated v3_Exelon Power Fuel Forecast - Project P 6-11-2004 ver21" xfId="1696" xr:uid="{00000000-0005-0000-0000-000052060000}"/>
    <cellStyle name="_Dell_6c_Stdv10_sensitivity sheet_pom consolidated v3_ML Outputs" xfId="1697" xr:uid="{00000000-0005-0000-0000-000053060000}"/>
    <cellStyle name="_Dell_6c_Stdv10_sensitivity sheet_pom consolidated v3_Project Forest Pro Forma Model v58" xfId="1698" xr:uid="{00000000-0005-0000-0000-000054060000}"/>
    <cellStyle name="_Dell_Level_6c" xfId="1699" xr:uid="{00000000-0005-0000-0000-000055060000}"/>
    <cellStyle name="_Dell_Level_6c 2" xfId="1700" xr:uid="{00000000-0005-0000-0000-000056060000}"/>
    <cellStyle name="_Dell_Level_6c_Copy of CNL Consolidated model_v.FPL_v37" xfId="1701" xr:uid="{00000000-0005-0000-0000-000057060000}"/>
    <cellStyle name="_Dell_Level_6c_Copy of CNL Consolidated model_v.FPL_v37 2" xfId="1702" xr:uid="{00000000-0005-0000-0000-000058060000}"/>
    <cellStyle name="_Dell_Level_6c_Copy of CNL Consolidated model_v.FPL_v37_Exelon Power Fuel Forecast - Project P 6-11-2004 ver21" xfId="1703" xr:uid="{00000000-0005-0000-0000-000059060000}"/>
    <cellStyle name="_Dell_Level_6c_Copy of CNL Consolidated model_v.FPL_v37_Exelon Power Fuel Forecast - Project P 6-11-2004 ver21 2" xfId="1704" xr:uid="{00000000-0005-0000-0000-00005A060000}"/>
    <cellStyle name="_Dell_Level_6c_Copy of CNL Consolidated model_v.FPL_v37_ML Outputs" xfId="1705" xr:uid="{00000000-0005-0000-0000-00005B060000}"/>
    <cellStyle name="_Dell_Level_6c_Copy of CNL Consolidated model_v.FPL_v37_ML Outputs 2" xfId="1706" xr:uid="{00000000-0005-0000-0000-00005C060000}"/>
    <cellStyle name="_Dell_Level_6c_Copy of CNL Consolidated model_v.FPL_v37_Project Forest Pro Forma Model v58" xfId="1707" xr:uid="{00000000-0005-0000-0000-00005D060000}"/>
    <cellStyle name="_Dell_Level_6c_Copy of CNL Consolidated model_v.FPL_v37_Project Forest Pro Forma Model v58 2" xfId="1708" xr:uid="{00000000-0005-0000-0000-00005E060000}"/>
    <cellStyle name="_Dell_Level_6c_D_Consolidated2" xfId="1709" xr:uid="{00000000-0005-0000-0000-00005F060000}"/>
    <cellStyle name="_Dell_Level_6c_D_Consolidated2 2" xfId="1710" xr:uid="{00000000-0005-0000-0000-000060060000}"/>
    <cellStyle name="_Dell_Level_6c_Model v9.8" xfId="1711" xr:uid="{00000000-0005-0000-0000-000061060000}"/>
    <cellStyle name="_Dell_Level_6c_Model v9.8 2" xfId="1712" xr:uid="{00000000-0005-0000-0000-000062060000}"/>
    <cellStyle name="_Dell_Level_6c_Mutilples Template2" xfId="1713" xr:uid="{00000000-0005-0000-0000-000063060000}"/>
    <cellStyle name="_Dell_Level_6c_Mutilples Template2 2" xfId="1714" xr:uid="{00000000-0005-0000-0000-000064060000}"/>
    <cellStyle name="_Dell_Level_6c_Mutilples Template2_Exelon Power Fuel Forecast - Project P 6-11-2004 ver21" xfId="1715" xr:uid="{00000000-0005-0000-0000-000065060000}"/>
    <cellStyle name="_Dell_Level_6c_Mutilples Template2_Exelon Power Fuel Forecast - Project P 6-11-2004 ver21 2" xfId="1716" xr:uid="{00000000-0005-0000-0000-000066060000}"/>
    <cellStyle name="_Dell_Level_6c_Mutilples Template2_ML Outputs" xfId="1717" xr:uid="{00000000-0005-0000-0000-000067060000}"/>
    <cellStyle name="_Dell_Level_6c_Mutilples Template2_ML Outputs 2" xfId="1718" xr:uid="{00000000-0005-0000-0000-000068060000}"/>
    <cellStyle name="_Dell_Level_6c_Mutilples Template2_Project Forest Pro Forma Model v58" xfId="1719" xr:uid="{00000000-0005-0000-0000-000069060000}"/>
    <cellStyle name="_Dell_Level_6c_Mutilples Template2_Project Forest Pro Forma Model v58 2" xfId="1720" xr:uid="{00000000-0005-0000-0000-00006A060000}"/>
    <cellStyle name="_Dell_Level_6c_pom consolidated v3" xfId="1721" xr:uid="{00000000-0005-0000-0000-00006B060000}"/>
    <cellStyle name="_Dell_Level_6c_pom consolidated v3 2" xfId="1722" xr:uid="{00000000-0005-0000-0000-00006C060000}"/>
    <cellStyle name="_Dell_Level_6c_pom consolidated v3_Exelon Power Fuel Forecast - Project P 6-11-2004 ver21" xfId="1723" xr:uid="{00000000-0005-0000-0000-00006D060000}"/>
    <cellStyle name="_Dell_Level_6c_pom consolidated v3_Exelon Power Fuel Forecast - Project P 6-11-2004 ver21 2" xfId="1724" xr:uid="{00000000-0005-0000-0000-00006E060000}"/>
    <cellStyle name="_Dell_Level_6c_pom consolidated v3_ML Outputs" xfId="1725" xr:uid="{00000000-0005-0000-0000-00006F060000}"/>
    <cellStyle name="_Dell_Level_6c_pom consolidated v3_ML Outputs 2" xfId="1726" xr:uid="{00000000-0005-0000-0000-000070060000}"/>
    <cellStyle name="_Dell_Level_6c_pom consolidated v3_Project Forest Pro Forma Model v58" xfId="1727" xr:uid="{00000000-0005-0000-0000-000071060000}"/>
    <cellStyle name="_Dell_Level_6c_pom consolidated v3_Project Forest Pro Forma Model v58 2" xfId="1728" xr:uid="{00000000-0005-0000-0000-000072060000}"/>
    <cellStyle name="_ECP Model v30 B" xfId="1729" xr:uid="{00000000-0005-0000-0000-000073060000}"/>
    <cellStyle name="_ECP Model v30 B 2" xfId="1730" xr:uid="{00000000-0005-0000-0000-000074060000}"/>
    <cellStyle name="_ECP Model v30 B_Copy of CNL Consolidated model_v.FPL_v37" xfId="1731" xr:uid="{00000000-0005-0000-0000-000075060000}"/>
    <cellStyle name="_ECP Model v30 B_Copy of CNL Consolidated model_v.FPL_v37 2" xfId="1732" xr:uid="{00000000-0005-0000-0000-000076060000}"/>
    <cellStyle name="_ECP Model v30 B_Copy of CNL Consolidated model_v.FPL_v37_Exelon Power Fuel Forecast - Project P 6-11-2004 ver21" xfId="1733" xr:uid="{00000000-0005-0000-0000-000077060000}"/>
    <cellStyle name="_ECP Model v30 B_Copy of CNL Consolidated model_v.FPL_v37_Exelon Power Fuel Forecast - Project P 6-11-2004 ver21 2" xfId="1734" xr:uid="{00000000-0005-0000-0000-000078060000}"/>
    <cellStyle name="_ECP Model v30 B_Copy of CNL Consolidated model_v.FPL_v37_ML Outputs" xfId="1735" xr:uid="{00000000-0005-0000-0000-000079060000}"/>
    <cellStyle name="_ECP Model v30 B_Copy of CNL Consolidated model_v.FPL_v37_ML Outputs 2" xfId="1736" xr:uid="{00000000-0005-0000-0000-00007A060000}"/>
    <cellStyle name="_ECP Model v30 B_Copy of CNL Consolidated model_v.FPL_v37_Project Forest Pro Forma Model v58" xfId="1737" xr:uid="{00000000-0005-0000-0000-00007B060000}"/>
    <cellStyle name="_ECP Model v30 B_Copy of CNL Consolidated model_v.FPL_v37_Project Forest Pro Forma Model v58 2" xfId="1738" xr:uid="{00000000-0005-0000-0000-00007C060000}"/>
    <cellStyle name="_ECP Model v30 B_D_Consolidated2" xfId="1739" xr:uid="{00000000-0005-0000-0000-00007D060000}"/>
    <cellStyle name="_ECP Model v30 B_D_Consolidated2 2" xfId="1740" xr:uid="{00000000-0005-0000-0000-00007E060000}"/>
    <cellStyle name="_ECP Model v30 B_Model v9.8" xfId="1741" xr:uid="{00000000-0005-0000-0000-00007F060000}"/>
    <cellStyle name="_ECP Model v30 B_Model v9.8 2" xfId="1742" xr:uid="{00000000-0005-0000-0000-000080060000}"/>
    <cellStyle name="_ECP Model v30 B_Mutilples Template2" xfId="1743" xr:uid="{00000000-0005-0000-0000-000081060000}"/>
    <cellStyle name="_ECP Model v30 B_Mutilples Template2 2" xfId="1744" xr:uid="{00000000-0005-0000-0000-000082060000}"/>
    <cellStyle name="_ECP Model v30 B_Mutilples Template2_Exelon Power Fuel Forecast - Project P 6-11-2004 ver21" xfId="1745" xr:uid="{00000000-0005-0000-0000-000083060000}"/>
    <cellStyle name="_ECP Model v30 B_Mutilples Template2_Exelon Power Fuel Forecast - Project P 6-11-2004 ver21 2" xfId="1746" xr:uid="{00000000-0005-0000-0000-000084060000}"/>
    <cellStyle name="_ECP Model v30 B_Mutilples Template2_ML Outputs" xfId="1747" xr:uid="{00000000-0005-0000-0000-000085060000}"/>
    <cellStyle name="_ECP Model v30 B_Mutilples Template2_ML Outputs 2" xfId="1748" xr:uid="{00000000-0005-0000-0000-000086060000}"/>
    <cellStyle name="_ECP Model v30 B_Mutilples Template2_Project Forest Pro Forma Model v58" xfId="1749" xr:uid="{00000000-0005-0000-0000-000087060000}"/>
    <cellStyle name="_ECP Model v30 B_Mutilples Template2_Project Forest Pro Forma Model v58 2" xfId="1750" xr:uid="{00000000-0005-0000-0000-000088060000}"/>
    <cellStyle name="_ECP Model v30 B_pom consolidated v3" xfId="1751" xr:uid="{00000000-0005-0000-0000-000089060000}"/>
    <cellStyle name="_ECP Model v30 B_pom consolidated v3 2" xfId="1752" xr:uid="{00000000-0005-0000-0000-00008A060000}"/>
    <cellStyle name="_ECP Model v30 B_pom consolidated v3_Exelon Power Fuel Forecast - Project P 6-11-2004 ver21" xfId="1753" xr:uid="{00000000-0005-0000-0000-00008B060000}"/>
    <cellStyle name="_ECP Model v30 B_pom consolidated v3_Exelon Power Fuel Forecast - Project P 6-11-2004 ver21 2" xfId="1754" xr:uid="{00000000-0005-0000-0000-00008C060000}"/>
    <cellStyle name="_ECP Model v30 B_pom consolidated v3_ML Outputs" xfId="1755" xr:uid="{00000000-0005-0000-0000-00008D060000}"/>
    <cellStyle name="_ECP Model v30 B_pom consolidated v3_ML Outputs 2" xfId="1756" xr:uid="{00000000-0005-0000-0000-00008E060000}"/>
    <cellStyle name="_ECP Model v30 B_pom consolidated v3_Project Forest Pro Forma Model v58" xfId="1757" xr:uid="{00000000-0005-0000-0000-00008F060000}"/>
    <cellStyle name="_ECP Model v30 B_pom consolidated v3_Project Forest Pro Forma Model v58 2" xfId="1758" xr:uid="{00000000-0005-0000-0000-000090060000}"/>
    <cellStyle name="_ECP Model v65" xfId="1759" xr:uid="{00000000-0005-0000-0000-000091060000}"/>
    <cellStyle name="_ECP Model v65 2" xfId="1760" xr:uid="{00000000-0005-0000-0000-000092060000}"/>
    <cellStyle name="_ECP Model v65_Copy of CNL Consolidated model_v.FPL_v37" xfId="1761" xr:uid="{00000000-0005-0000-0000-000093060000}"/>
    <cellStyle name="_ECP Model v65_Copy of CNL Consolidated model_v.FPL_v37 2" xfId="1762" xr:uid="{00000000-0005-0000-0000-000094060000}"/>
    <cellStyle name="_ECP Model v65_Copy of CNL Consolidated model_v.FPL_v37_Exelon Power Fuel Forecast - Project P 6-11-2004 ver21" xfId="1763" xr:uid="{00000000-0005-0000-0000-000095060000}"/>
    <cellStyle name="_ECP Model v65_Copy of CNL Consolidated model_v.FPL_v37_Exelon Power Fuel Forecast - Project P 6-11-2004 ver21 2" xfId="1764" xr:uid="{00000000-0005-0000-0000-000096060000}"/>
    <cellStyle name="_ECP Model v65_Copy of CNL Consolidated model_v.FPL_v37_ML Outputs" xfId="1765" xr:uid="{00000000-0005-0000-0000-000097060000}"/>
    <cellStyle name="_ECP Model v65_Copy of CNL Consolidated model_v.FPL_v37_ML Outputs 2" xfId="1766" xr:uid="{00000000-0005-0000-0000-000098060000}"/>
    <cellStyle name="_ECP Model v65_Copy of CNL Consolidated model_v.FPL_v37_Project Forest Pro Forma Model v58" xfId="1767" xr:uid="{00000000-0005-0000-0000-000099060000}"/>
    <cellStyle name="_ECP Model v65_Copy of CNL Consolidated model_v.FPL_v37_Project Forest Pro Forma Model v58 2" xfId="1768" xr:uid="{00000000-0005-0000-0000-00009A060000}"/>
    <cellStyle name="_ECP Model v65_D_Consolidated2" xfId="1769" xr:uid="{00000000-0005-0000-0000-00009B060000}"/>
    <cellStyle name="_ECP Model v65_D_Consolidated2 2" xfId="1770" xr:uid="{00000000-0005-0000-0000-00009C060000}"/>
    <cellStyle name="_ECP Model v65_Model v9.8" xfId="1771" xr:uid="{00000000-0005-0000-0000-00009D060000}"/>
    <cellStyle name="_ECP Model v65_Model v9.8 2" xfId="1772" xr:uid="{00000000-0005-0000-0000-00009E060000}"/>
    <cellStyle name="_ECP Model v65_Mutilples Template2" xfId="1773" xr:uid="{00000000-0005-0000-0000-00009F060000}"/>
    <cellStyle name="_ECP Model v65_Mutilples Template2 2" xfId="1774" xr:uid="{00000000-0005-0000-0000-0000A0060000}"/>
    <cellStyle name="_ECP Model v65_Mutilples Template2_Exelon Power Fuel Forecast - Project P 6-11-2004 ver21" xfId="1775" xr:uid="{00000000-0005-0000-0000-0000A1060000}"/>
    <cellStyle name="_ECP Model v65_Mutilples Template2_Exelon Power Fuel Forecast - Project P 6-11-2004 ver21 2" xfId="1776" xr:uid="{00000000-0005-0000-0000-0000A2060000}"/>
    <cellStyle name="_ECP Model v65_Mutilples Template2_ML Outputs" xfId="1777" xr:uid="{00000000-0005-0000-0000-0000A3060000}"/>
    <cellStyle name="_ECP Model v65_Mutilples Template2_ML Outputs 2" xfId="1778" xr:uid="{00000000-0005-0000-0000-0000A4060000}"/>
    <cellStyle name="_ECP Model v65_Mutilples Template2_Project Forest Pro Forma Model v58" xfId="1779" xr:uid="{00000000-0005-0000-0000-0000A5060000}"/>
    <cellStyle name="_ECP Model v65_Mutilples Template2_Project Forest Pro Forma Model v58 2" xfId="1780" xr:uid="{00000000-0005-0000-0000-0000A6060000}"/>
    <cellStyle name="_ECP Model v65_pom consolidated v3" xfId="1781" xr:uid="{00000000-0005-0000-0000-0000A7060000}"/>
    <cellStyle name="_ECP Model v65_pom consolidated v3 2" xfId="1782" xr:uid="{00000000-0005-0000-0000-0000A8060000}"/>
    <cellStyle name="_ECP Model v65_pom consolidated v3_Exelon Power Fuel Forecast - Project P 6-11-2004 ver21" xfId="1783" xr:uid="{00000000-0005-0000-0000-0000A9060000}"/>
    <cellStyle name="_ECP Model v65_pom consolidated v3_Exelon Power Fuel Forecast - Project P 6-11-2004 ver21 2" xfId="1784" xr:uid="{00000000-0005-0000-0000-0000AA060000}"/>
    <cellStyle name="_ECP Model v65_pom consolidated v3_ML Outputs" xfId="1785" xr:uid="{00000000-0005-0000-0000-0000AB060000}"/>
    <cellStyle name="_ECP Model v65_pom consolidated v3_ML Outputs 2" xfId="1786" xr:uid="{00000000-0005-0000-0000-0000AC060000}"/>
    <cellStyle name="_ECP Model v65_pom consolidated v3_Project Forest Pro Forma Model v58" xfId="1787" xr:uid="{00000000-0005-0000-0000-0000AD060000}"/>
    <cellStyle name="_ECP Model v65_pom consolidated v3_Project Forest Pro Forma Model v58 2" xfId="1788" xr:uid="{00000000-0005-0000-0000-0000AE060000}"/>
    <cellStyle name="_ecp new - Enron buyout 01-05-01" xfId="1789" xr:uid="{00000000-0005-0000-0000-0000AF060000}"/>
    <cellStyle name="_ecp new - Enron buyout 01-05-01 2" xfId="1790" xr:uid="{00000000-0005-0000-0000-0000B0060000}"/>
    <cellStyle name="_ecp new - Enron buyout 01-05-01_Copy of CNL Consolidated model_v.FPL_v37" xfId="1791" xr:uid="{00000000-0005-0000-0000-0000B1060000}"/>
    <cellStyle name="_ecp new - Enron buyout 01-05-01_Copy of CNL Consolidated model_v.FPL_v37 2" xfId="1792" xr:uid="{00000000-0005-0000-0000-0000B2060000}"/>
    <cellStyle name="_ecp new - Enron buyout 01-05-01_Copy of CNL Consolidated model_v.FPL_v37_Exelon Power Fuel Forecast - Project P 6-11-2004 ver21" xfId="1793" xr:uid="{00000000-0005-0000-0000-0000B3060000}"/>
    <cellStyle name="_ecp new - Enron buyout 01-05-01_Copy of CNL Consolidated model_v.FPL_v37_Exelon Power Fuel Forecast - Project P 6-11-2004 ver21 2" xfId="1794" xr:uid="{00000000-0005-0000-0000-0000B4060000}"/>
    <cellStyle name="_ecp new - Enron buyout 01-05-01_Copy of CNL Consolidated model_v.FPL_v37_ML Outputs" xfId="1795" xr:uid="{00000000-0005-0000-0000-0000B5060000}"/>
    <cellStyle name="_ecp new - Enron buyout 01-05-01_Copy of CNL Consolidated model_v.FPL_v37_ML Outputs 2" xfId="1796" xr:uid="{00000000-0005-0000-0000-0000B6060000}"/>
    <cellStyle name="_ecp new - Enron buyout 01-05-01_Copy of CNL Consolidated model_v.FPL_v37_Project Forest Pro Forma Model v58" xfId="1797" xr:uid="{00000000-0005-0000-0000-0000B7060000}"/>
    <cellStyle name="_ecp new - Enron buyout 01-05-01_Copy of CNL Consolidated model_v.FPL_v37_Project Forest Pro Forma Model v58 2" xfId="1798" xr:uid="{00000000-0005-0000-0000-0000B8060000}"/>
    <cellStyle name="_ecp new - Enron buyout 01-05-01_D_Consolidated2" xfId="1799" xr:uid="{00000000-0005-0000-0000-0000B9060000}"/>
    <cellStyle name="_ecp new - Enron buyout 01-05-01_D_Consolidated2 2" xfId="1800" xr:uid="{00000000-0005-0000-0000-0000BA060000}"/>
    <cellStyle name="_ecp new - Enron buyout 01-05-01_Model v9.8" xfId="1801" xr:uid="{00000000-0005-0000-0000-0000BB060000}"/>
    <cellStyle name="_ecp new - Enron buyout 01-05-01_Model v9.8 2" xfId="1802" xr:uid="{00000000-0005-0000-0000-0000BC060000}"/>
    <cellStyle name="_ecp new - Enron buyout 01-05-01_Mutilples Template2" xfId="1803" xr:uid="{00000000-0005-0000-0000-0000BD060000}"/>
    <cellStyle name="_ecp new - Enron buyout 01-05-01_Mutilples Template2 2" xfId="1804" xr:uid="{00000000-0005-0000-0000-0000BE060000}"/>
    <cellStyle name="_ecp new - Enron buyout 01-05-01_Mutilples Template2_Exelon Power Fuel Forecast - Project P 6-11-2004 ver21" xfId="1805" xr:uid="{00000000-0005-0000-0000-0000BF060000}"/>
    <cellStyle name="_ecp new - Enron buyout 01-05-01_Mutilples Template2_Exelon Power Fuel Forecast - Project P 6-11-2004 ver21 2" xfId="1806" xr:uid="{00000000-0005-0000-0000-0000C0060000}"/>
    <cellStyle name="_ecp new - Enron buyout 01-05-01_Mutilples Template2_ML Outputs" xfId="1807" xr:uid="{00000000-0005-0000-0000-0000C1060000}"/>
    <cellStyle name="_ecp new - Enron buyout 01-05-01_Mutilples Template2_ML Outputs 2" xfId="1808" xr:uid="{00000000-0005-0000-0000-0000C2060000}"/>
    <cellStyle name="_ecp new - Enron buyout 01-05-01_Mutilples Template2_Project Forest Pro Forma Model v58" xfId="1809" xr:uid="{00000000-0005-0000-0000-0000C3060000}"/>
    <cellStyle name="_ecp new - Enron buyout 01-05-01_Mutilples Template2_Project Forest Pro Forma Model v58 2" xfId="1810" xr:uid="{00000000-0005-0000-0000-0000C4060000}"/>
    <cellStyle name="_ecp new - Enron buyout 01-05-01_pom consolidated v3" xfId="1811" xr:uid="{00000000-0005-0000-0000-0000C5060000}"/>
    <cellStyle name="_ecp new - Enron buyout 01-05-01_pom consolidated v3 2" xfId="1812" xr:uid="{00000000-0005-0000-0000-0000C6060000}"/>
    <cellStyle name="_ecp new - Enron buyout 01-05-01_pom consolidated v3_Exelon Power Fuel Forecast - Project P 6-11-2004 ver21" xfId="1813" xr:uid="{00000000-0005-0000-0000-0000C7060000}"/>
    <cellStyle name="_ecp new - Enron buyout 01-05-01_pom consolidated v3_Exelon Power Fuel Forecast - Project P 6-11-2004 ver21 2" xfId="1814" xr:uid="{00000000-0005-0000-0000-0000C8060000}"/>
    <cellStyle name="_ecp new - Enron buyout 01-05-01_pom consolidated v3_ML Outputs" xfId="1815" xr:uid="{00000000-0005-0000-0000-0000C9060000}"/>
    <cellStyle name="_ecp new - Enron buyout 01-05-01_pom consolidated v3_ML Outputs 2" xfId="1816" xr:uid="{00000000-0005-0000-0000-0000CA060000}"/>
    <cellStyle name="_ecp new - Enron buyout 01-05-01_pom consolidated v3_Project Forest Pro Forma Model v58" xfId="1817" xr:uid="{00000000-0005-0000-0000-0000CB060000}"/>
    <cellStyle name="_ecp new - Enron buyout 01-05-01_pom consolidated v3_Project Forest Pro Forma Model v58 2" xfId="1818" xr:uid="{00000000-0005-0000-0000-0000CC060000}"/>
    <cellStyle name="_ecp new - Enron buyout 04-09-01" xfId="1819" xr:uid="{00000000-0005-0000-0000-0000CD060000}"/>
    <cellStyle name="_ecp new - Enron buyout 04-09-01 2" xfId="1820" xr:uid="{00000000-0005-0000-0000-0000CE060000}"/>
    <cellStyle name="_ecp new - Enron buyout 04-09-01_Copy of CNL Consolidated model_v.FPL_v37" xfId="1821" xr:uid="{00000000-0005-0000-0000-0000CF060000}"/>
    <cellStyle name="_ecp new - Enron buyout 04-09-01_Copy of CNL Consolidated model_v.FPL_v37 2" xfId="1822" xr:uid="{00000000-0005-0000-0000-0000D0060000}"/>
    <cellStyle name="_ecp new - Enron buyout 04-09-01_Copy of CNL Consolidated model_v.FPL_v37_Exelon Power Fuel Forecast - Project P 6-11-2004 ver21" xfId="1823" xr:uid="{00000000-0005-0000-0000-0000D1060000}"/>
    <cellStyle name="_ecp new - Enron buyout 04-09-01_Copy of CNL Consolidated model_v.FPL_v37_Exelon Power Fuel Forecast - Project P 6-11-2004 ver21 2" xfId="1824" xr:uid="{00000000-0005-0000-0000-0000D2060000}"/>
    <cellStyle name="_ecp new - Enron buyout 04-09-01_Copy of CNL Consolidated model_v.FPL_v37_ML Outputs" xfId="1825" xr:uid="{00000000-0005-0000-0000-0000D3060000}"/>
    <cellStyle name="_ecp new - Enron buyout 04-09-01_Copy of CNL Consolidated model_v.FPL_v37_ML Outputs 2" xfId="1826" xr:uid="{00000000-0005-0000-0000-0000D4060000}"/>
    <cellStyle name="_ecp new - Enron buyout 04-09-01_Copy of CNL Consolidated model_v.FPL_v37_Project Forest Pro Forma Model v58" xfId="1827" xr:uid="{00000000-0005-0000-0000-0000D5060000}"/>
    <cellStyle name="_ecp new - Enron buyout 04-09-01_Copy of CNL Consolidated model_v.FPL_v37_Project Forest Pro Forma Model v58 2" xfId="1828" xr:uid="{00000000-0005-0000-0000-0000D6060000}"/>
    <cellStyle name="_ecp new - Enron buyout 04-09-01_D_Consolidated2" xfId="1829" xr:uid="{00000000-0005-0000-0000-0000D7060000}"/>
    <cellStyle name="_ecp new - Enron buyout 04-09-01_D_Consolidated2 2" xfId="1830" xr:uid="{00000000-0005-0000-0000-0000D8060000}"/>
    <cellStyle name="_ecp new - Enron buyout 04-09-01_Model v9.8" xfId="1831" xr:uid="{00000000-0005-0000-0000-0000D9060000}"/>
    <cellStyle name="_ecp new - Enron buyout 04-09-01_Model v9.8 2" xfId="1832" xr:uid="{00000000-0005-0000-0000-0000DA060000}"/>
    <cellStyle name="_ecp new - Enron buyout 04-09-01_Mutilples Template2" xfId="1833" xr:uid="{00000000-0005-0000-0000-0000DB060000}"/>
    <cellStyle name="_ecp new - Enron buyout 04-09-01_Mutilples Template2 2" xfId="1834" xr:uid="{00000000-0005-0000-0000-0000DC060000}"/>
    <cellStyle name="_ecp new - Enron buyout 04-09-01_Mutilples Template2_Exelon Power Fuel Forecast - Project P 6-11-2004 ver21" xfId="1835" xr:uid="{00000000-0005-0000-0000-0000DD060000}"/>
    <cellStyle name="_ecp new - Enron buyout 04-09-01_Mutilples Template2_Exelon Power Fuel Forecast - Project P 6-11-2004 ver21 2" xfId="1836" xr:uid="{00000000-0005-0000-0000-0000DE060000}"/>
    <cellStyle name="_ecp new - Enron buyout 04-09-01_Mutilples Template2_ML Outputs" xfId="1837" xr:uid="{00000000-0005-0000-0000-0000DF060000}"/>
    <cellStyle name="_ecp new - Enron buyout 04-09-01_Mutilples Template2_ML Outputs 2" xfId="1838" xr:uid="{00000000-0005-0000-0000-0000E0060000}"/>
    <cellStyle name="_ecp new - Enron buyout 04-09-01_Mutilples Template2_Project Forest Pro Forma Model v58" xfId="1839" xr:uid="{00000000-0005-0000-0000-0000E1060000}"/>
    <cellStyle name="_ecp new - Enron buyout 04-09-01_Mutilples Template2_Project Forest Pro Forma Model v58 2" xfId="1840" xr:uid="{00000000-0005-0000-0000-0000E2060000}"/>
    <cellStyle name="_ecp new - Enron buyout 04-09-01_pom consolidated v3" xfId="1841" xr:uid="{00000000-0005-0000-0000-0000E3060000}"/>
    <cellStyle name="_ecp new - Enron buyout 04-09-01_pom consolidated v3 2" xfId="1842" xr:uid="{00000000-0005-0000-0000-0000E4060000}"/>
    <cellStyle name="_ecp new - Enron buyout 04-09-01_pom consolidated v3_Exelon Power Fuel Forecast - Project P 6-11-2004 ver21" xfId="1843" xr:uid="{00000000-0005-0000-0000-0000E5060000}"/>
    <cellStyle name="_ecp new - Enron buyout 04-09-01_pom consolidated v3_Exelon Power Fuel Forecast - Project P 6-11-2004 ver21 2" xfId="1844" xr:uid="{00000000-0005-0000-0000-0000E6060000}"/>
    <cellStyle name="_ecp new - Enron buyout 04-09-01_pom consolidated v3_ML Outputs" xfId="1845" xr:uid="{00000000-0005-0000-0000-0000E7060000}"/>
    <cellStyle name="_ecp new - Enron buyout 04-09-01_pom consolidated v3_ML Outputs 2" xfId="1846" xr:uid="{00000000-0005-0000-0000-0000E8060000}"/>
    <cellStyle name="_ecp new - Enron buyout 04-09-01_pom consolidated v3_Project Forest Pro Forma Model v58" xfId="1847" xr:uid="{00000000-0005-0000-0000-0000E9060000}"/>
    <cellStyle name="_ecp new - Enron buyout 04-09-01_pom consolidated v3_Project Forest Pro Forma Model v58 2" xfId="1848" xr:uid="{00000000-0005-0000-0000-0000EA060000}"/>
    <cellStyle name="_ecp new 10" xfId="1849" xr:uid="{00000000-0005-0000-0000-0000EB060000}"/>
    <cellStyle name="_ecp new 10 2" xfId="1850" xr:uid="{00000000-0005-0000-0000-0000EC060000}"/>
    <cellStyle name="_ecp new 10_Copy of CNL Consolidated model_v.FPL_v37" xfId="1851" xr:uid="{00000000-0005-0000-0000-0000ED060000}"/>
    <cellStyle name="_ecp new 10_Copy of CNL Consolidated model_v.FPL_v37 2" xfId="1852" xr:uid="{00000000-0005-0000-0000-0000EE060000}"/>
    <cellStyle name="_ecp new 10_Copy of CNL Consolidated model_v.FPL_v37_Exelon Power Fuel Forecast - Project P 6-11-2004 ver21" xfId="1853" xr:uid="{00000000-0005-0000-0000-0000EF060000}"/>
    <cellStyle name="_ecp new 10_Copy of CNL Consolidated model_v.FPL_v37_Exelon Power Fuel Forecast - Project P 6-11-2004 ver21 2" xfId="1854" xr:uid="{00000000-0005-0000-0000-0000F0060000}"/>
    <cellStyle name="_ecp new 10_Copy of CNL Consolidated model_v.FPL_v37_ML Outputs" xfId="1855" xr:uid="{00000000-0005-0000-0000-0000F1060000}"/>
    <cellStyle name="_ecp new 10_Copy of CNL Consolidated model_v.FPL_v37_ML Outputs 2" xfId="1856" xr:uid="{00000000-0005-0000-0000-0000F2060000}"/>
    <cellStyle name="_ecp new 10_Copy of CNL Consolidated model_v.FPL_v37_Project Forest Pro Forma Model v58" xfId="1857" xr:uid="{00000000-0005-0000-0000-0000F3060000}"/>
    <cellStyle name="_ecp new 10_Copy of CNL Consolidated model_v.FPL_v37_Project Forest Pro Forma Model v58 2" xfId="1858" xr:uid="{00000000-0005-0000-0000-0000F4060000}"/>
    <cellStyle name="_ecp new 10_D_Consolidated2" xfId="1859" xr:uid="{00000000-0005-0000-0000-0000F5060000}"/>
    <cellStyle name="_ecp new 10_D_Consolidated2 2" xfId="1860" xr:uid="{00000000-0005-0000-0000-0000F6060000}"/>
    <cellStyle name="_ecp new 10_Model v9.8" xfId="1861" xr:uid="{00000000-0005-0000-0000-0000F7060000}"/>
    <cellStyle name="_ecp new 10_Model v9.8 2" xfId="1862" xr:uid="{00000000-0005-0000-0000-0000F8060000}"/>
    <cellStyle name="_ecp new 10_Mutilples Template2" xfId="1863" xr:uid="{00000000-0005-0000-0000-0000F9060000}"/>
    <cellStyle name="_ecp new 10_Mutilples Template2 2" xfId="1864" xr:uid="{00000000-0005-0000-0000-0000FA060000}"/>
    <cellStyle name="_ecp new 10_Mutilples Template2_Exelon Power Fuel Forecast - Project P 6-11-2004 ver21" xfId="1865" xr:uid="{00000000-0005-0000-0000-0000FB060000}"/>
    <cellStyle name="_ecp new 10_Mutilples Template2_Exelon Power Fuel Forecast - Project P 6-11-2004 ver21 2" xfId="1866" xr:uid="{00000000-0005-0000-0000-0000FC060000}"/>
    <cellStyle name="_ecp new 10_Mutilples Template2_ML Outputs" xfId="1867" xr:uid="{00000000-0005-0000-0000-0000FD060000}"/>
    <cellStyle name="_ecp new 10_Mutilples Template2_ML Outputs 2" xfId="1868" xr:uid="{00000000-0005-0000-0000-0000FE060000}"/>
    <cellStyle name="_ecp new 10_Mutilples Template2_Project Forest Pro Forma Model v58" xfId="1869" xr:uid="{00000000-0005-0000-0000-0000FF060000}"/>
    <cellStyle name="_ecp new 10_Mutilples Template2_Project Forest Pro Forma Model v58 2" xfId="1870" xr:uid="{00000000-0005-0000-0000-000000070000}"/>
    <cellStyle name="_ecp new 10_pom consolidated v3" xfId="1871" xr:uid="{00000000-0005-0000-0000-000001070000}"/>
    <cellStyle name="_ecp new 10_pom consolidated v3 2" xfId="1872" xr:uid="{00000000-0005-0000-0000-000002070000}"/>
    <cellStyle name="_ecp new 10_pom consolidated v3_Exelon Power Fuel Forecast - Project P 6-11-2004 ver21" xfId="1873" xr:uid="{00000000-0005-0000-0000-000003070000}"/>
    <cellStyle name="_ecp new 10_pom consolidated v3_Exelon Power Fuel Forecast - Project P 6-11-2004 ver21 2" xfId="1874" xr:uid="{00000000-0005-0000-0000-000004070000}"/>
    <cellStyle name="_ecp new 10_pom consolidated v3_ML Outputs" xfId="1875" xr:uid="{00000000-0005-0000-0000-000005070000}"/>
    <cellStyle name="_ecp new 10_pom consolidated v3_ML Outputs 2" xfId="1876" xr:uid="{00000000-0005-0000-0000-000006070000}"/>
    <cellStyle name="_ecp new 10_pom consolidated v3_Project Forest Pro Forma Model v58" xfId="1877" xr:uid="{00000000-0005-0000-0000-000007070000}"/>
    <cellStyle name="_ecp new 10_pom consolidated v3_Project Forest Pro Forma Model v58 2" xfId="1878" xr:uid="{00000000-0005-0000-0000-000008070000}"/>
    <cellStyle name="_El Dora1" xfId="1879" xr:uid="{00000000-0005-0000-0000-000009070000}"/>
    <cellStyle name="_El Dora1 2" xfId="1880" xr:uid="{00000000-0005-0000-0000-00000A070000}"/>
    <cellStyle name="_El Dora1_Copy of CNL Consolidated model_v.FPL_v37" xfId="1881" xr:uid="{00000000-0005-0000-0000-00000B070000}"/>
    <cellStyle name="_El Dora1_Copy of CNL Consolidated model_v.FPL_v37 2" xfId="1882" xr:uid="{00000000-0005-0000-0000-00000C070000}"/>
    <cellStyle name="_El Dora1_Copy of CNL Consolidated model_v.FPL_v37_Exelon Power Fuel Forecast - Project P 6-11-2004 ver21" xfId="1883" xr:uid="{00000000-0005-0000-0000-00000D070000}"/>
    <cellStyle name="_El Dora1_Copy of CNL Consolidated model_v.FPL_v37_Exelon Power Fuel Forecast - Project P 6-11-2004 ver21 2" xfId="1884" xr:uid="{00000000-0005-0000-0000-00000E070000}"/>
    <cellStyle name="_El Dora1_Copy of CNL Consolidated model_v.FPL_v37_ML Outputs" xfId="1885" xr:uid="{00000000-0005-0000-0000-00000F070000}"/>
    <cellStyle name="_El Dora1_Copy of CNL Consolidated model_v.FPL_v37_ML Outputs 2" xfId="1886" xr:uid="{00000000-0005-0000-0000-000010070000}"/>
    <cellStyle name="_El Dora1_Copy of CNL Consolidated model_v.FPL_v37_Project Forest Pro Forma Model v58" xfId="1887" xr:uid="{00000000-0005-0000-0000-000011070000}"/>
    <cellStyle name="_El Dora1_Copy of CNL Consolidated model_v.FPL_v37_Project Forest Pro Forma Model v58 2" xfId="1888" xr:uid="{00000000-0005-0000-0000-000012070000}"/>
    <cellStyle name="_El Dora1_D_Consolidated2" xfId="1889" xr:uid="{00000000-0005-0000-0000-000013070000}"/>
    <cellStyle name="_El Dora1_D_Consolidated2 2" xfId="1890" xr:uid="{00000000-0005-0000-0000-000014070000}"/>
    <cellStyle name="_El Dora1_Model v9.8" xfId="1891" xr:uid="{00000000-0005-0000-0000-000015070000}"/>
    <cellStyle name="_El Dora1_Model v9.8 2" xfId="1892" xr:uid="{00000000-0005-0000-0000-000016070000}"/>
    <cellStyle name="_El Dora1_Mutilples Template2" xfId="1893" xr:uid="{00000000-0005-0000-0000-000017070000}"/>
    <cellStyle name="_El Dora1_Mutilples Template2 2" xfId="1894" xr:uid="{00000000-0005-0000-0000-000018070000}"/>
    <cellStyle name="_El Dora1_Mutilples Template2_Exelon Power Fuel Forecast - Project P 6-11-2004 ver21" xfId="1895" xr:uid="{00000000-0005-0000-0000-000019070000}"/>
    <cellStyle name="_El Dora1_Mutilples Template2_Exelon Power Fuel Forecast - Project P 6-11-2004 ver21 2" xfId="1896" xr:uid="{00000000-0005-0000-0000-00001A070000}"/>
    <cellStyle name="_El Dora1_Mutilples Template2_ML Outputs" xfId="1897" xr:uid="{00000000-0005-0000-0000-00001B070000}"/>
    <cellStyle name="_El Dora1_Mutilples Template2_ML Outputs 2" xfId="1898" xr:uid="{00000000-0005-0000-0000-00001C070000}"/>
    <cellStyle name="_El Dora1_Mutilples Template2_Project Forest Pro Forma Model v58" xfId="1899" xr:uid="{00000000-0005-0000-0000-00001D070000}"/>
    <cellStyle name="_El Dora1_Mutilples Template2_Project Forest Pro Forma Model v58 2" xfId="1900" xr:uid="{00000000-0005-0000-0000-00001E070000}"/>
    <cellStyle name="_El Dora1_pom consolidated v3" xfId="1901" xr:uid="{00000000-0005-0000-0000-00001F070000}"/>
    <cellStyle name="_El Dora1_pom consolidated v3 2" xfId="1902" xr:uid="{00000000-0005-0000-0000-000020070000}"/>
    <cellStyle name="_El Dora1_pom consolidated v3_Exelon Power Fuel Forecast - Project P 6-11-2004 ver21" xfId="1903" xr:uid="{00000000-0005-0000-0000-000021070000}"/>
    <cellStyle name="_El Dora1_pom consolidated v3_Exelon Power Fuel Forecast - Project P 6-11-2004 ver21 2" xfId="1904" xr:uid="{00000000-0005-0000-0000-000022070000}"/>
    <cellStyle name="_El Dora1_pom consolidated v3_ML Outputs" xfId="1905" xr:uid="{00000000-0005-0000-0000-000023070000}"/>
    <cellStyle name="_El Dora1_pom consolidated v3_ML Outputs 2" xfId="1906" xr:uid="{00000000-0005-0000-0000-000024070000}"/>
    <cellStyle name="_El Dora1_pom consolidated v3_Project Forest Pro Forma Model v58" xfId="1907" xr:uid="{00000000-0005-0000-0000-000025070000}"/>
    <cellStyle name="_El Dora1_pom consolidated v3_Project Forest Pro Forma Model v58 2" xfId="1908" xr:uid="{00000000-0005-0000-0000-000026070000}"/>
    <cellStyle name="_El Dorado - 0100 v2" xfId="1909" xr:uid="{00000000-0005-0000-0000-000027070000}"/>
    <cellStyle name="_El Dorado - 0100 v2 2" xfId="1910" xr:uid="{00000000-0005-0000-0000-000028070000}"/>
    <cellStyle name="_El Dorado - 0100 v2_Copy of CNL Consolidated model_v.FPL_v37" xfId="1911" xr:uid="{00000000-0005-0000-0000-000029070000}"/>
    <cellStyle name="_El Dorado - 0100 v2_Copy of CNL Consolidated model_v.FPL_v37 2" xfId="1912" xr:uid="{00000000-0005-0000-0000-00002A070000}"/>
    <cellStyle name="_El Dorado - 0100 v2_Copy of CNL Consolidated model_v.FPL_v37_Exelon Power Fuel Forecast - Project P 6-11-2004 ver21" xfId="1913" xr:uid="{00000000-0005-0000-0000-00002B070000}"/>
    <cellStyle name="_El Dorado - 0100 v2_Copy of CNL Consolidated model_v.FPL_v37_Exelon Power Fuel Forecast - Project P 6-11-2004 ver21 2" xfId="1914" xr:uid="{00000000-0005-0000-0000-00002C070000}"/>
    <cellStyle name="_El Dorado - 0100 v2_Copy of CNL Consolidated model_v.FPL_v37_ML Outputs" xfId="1915" xr:uid="{00000000-0005-0000-0000-00002D070000}"/>
    <cellStyle name="_El Dorado - 0100 v2_Copy of CNL Consolidated model_v.FPL_v37_ML Outputs 2" xfId="1916" xr:uid="{00000000-0005-0000-0000-00002E070000}"/>
    <cellStyle name="_El Dorado - 0100 v2_Copy of CNL Consolidated model_v.FPL_v37_Project Forest Pro Forma Model v58" xfId="1917" xr:uid="{00000000-0005-0000-0000-00002F070000}"/>
    <cellStyle name="_El Dorado - 0100 v2_Copy of CNL Consolidated model_v.FPL_v37_Project Forest Pro Forma Model v58 2" xfId="1918" xr:uid="{00000000-0005-0000-0000-000030070000}"/>
    <cellStyle name="_El Dorado - 0100 v2_D_Consolidated2" xfId="1919" xr:uid="{00000000-0005-0000-0000-000031070000}"/>
    <cellStyle name="_El Dorado - 0100 v2_D_Consolidated2 2" xfId="1920" xr:uid="{00000000-0005-0000-0000-000032070000}"/>
    <cellStyle name="_El Dorado - 0100 v2_Model v9.8" xfId="1921" xr:uid="{00000000-0005-0000-0000-000033070000}"/>
    <cellStyle name="_El Dorado - 0100 v2_Model v9.8 2" xfId="1922" xr:uid="{00000000-0005-0000-0000-000034070000}"/>
    <cellStyle name="_El Dorado - 0100 v2_Mutilples Template2" xfId="1923" xr:uid="{00000000-0005-0000-0000-000035070000}"/>
    <cellStyle name="_El Dorado - 0100 v2_Mutilples Template2 2" xfId="1924" xr:uid="{00000000-0005-0000-0000-000036070000}"/>
    <cellStyle name="_El Dorado - 0100 v2_Mutilples Template2_Exelon Power Fuel Forecast - Project P 6-11-2004 ver21" xfId="1925" xr:uid="{00000000-0005-0000-0000-000037070000}"/>
    <cellStyle name="_El Dorado - 0100 v2_Mutilples Template2_Exelon Power Fuel Forecast - Project P 6-11-2004 ver21 2" xfId="1926" xr:uid="{00000000-0005-0000-0000-000038070000}"/>
    <cellStyle name="_El Dorado - 0100 v2_Mutilples Template2_ML Outputs" xfId="1927" xr:uid="{00000000-0005-0000-0000-000039070000}"/>
    <cellStyle name="_El Dorado - 0100 v2_Mutilples Template2_ML Outputs 2" xfId="1928" xr:uid="{00000000-0005-0000-0000-00003A070000}"/>
    <cellStyle name="_El Dorado - 0100 v2_Mutilples Template2_Project Forest Pro Forma Model v58" xfId="1929" xr:uid="{00000000-0005-0000-0000-00003B070000}"/>
    <cellStyle name="_El Dorado - 0100 v2_Mutilples Template2_Project Forest Pro Forma Model v58 2" xfId="1930" xr:uid="{00000000-0005-0000-0000-00003C070000}"/>
    <cellStyle name="_El Dorado - 0100 v2_pom consolidated v3" xfId="1931" xr:uid="{00000000-0005-0000-0000-00003D070000}"/>
    <cellStyle name="_El Dorado - 0100 v2_pom consolidated v3 2" xfId="1932" xr:uid="{00000000-0005-0000-0000-00003E070000}"/>
    <cellStyle name="_El Dorado - 0100 v2_pom consolidated v3_Exelon Power Fuel Forecast - Project P 6-11-2004 ver21" xfId="1933" xr:uid="{00000000-0005-0000-0000-00003F070000}"/>
    <cellStyle name="_El Dorado - 0100 v2_pom consolidated v3_Exelon Power Fuel Forecast - Project P 6-11-2004 ver21 2" xfId="1934" xr:uid="{00000000-0005-0000-0000-000040070000}"/>
    <cellStyle name="_El Dorado - 0100 v2_pom consolidated v3_ML Outputs" xfId="1935" xr:uid="{00000000-0005-0000-0000-000041070000}"/>
    <cellStyle name="_El Dorado - 0100 v2_pom consolidated v3_ML Outputs 2" xfId="1936" xr:uid="{00000000-0005-0000-0000-000042070000}"/>
    <cellStyle name="_El Dorado - 0100 v2_pom consolidated v3_Project Forest Pro Forma Model v58" xfId="1937" xr:uid="{00000000-0005-0000-0000-000043070000}"/>
    <cellStyle name="_El Dorado - 0100 v2_pom consolidated v3_Project Forest Pro Forma Model v58 2" xfId="1938" xr:uid="{00000000-0005-0000-0000-000044070000}"/>
    <cellStyle name="_El Dorado - 0100 v6" xfId="1939" xr:uid="{00000000-0005-0000-0000-000045070000}"/>
    <cellStyle name="_El Dorado - 0100 v6 2" xfId="1940" xr:uid="{00000000-0005-0000-0000-000046070000}"/>
    <cellStyle name="_El Dorado - 0100 v6_Copy of CNL Consolidated model_v.FPL_v37" xfId="1941" xr:uid="{00000000-0005-0000-0000-000047070000}"/>
    <cellStyle name="_El Dorado - 0100 v6_Copy of CNL Consolidated model_v.FPL_v37 2" xfId="1942" xr:uid="{00000000-0005-0000-0000-000048070000}"/>
    <cellStyle name="_El Dorado - 0100 v6_Copy of CNL Consolidated model_v.FPL_v37_Exelon Power Fuel Forecast - Project P 6-11-2004 ver21" xfId="1943" xr:uid="{00000000-0005-0000-0000-000049070000}"/>
    <cellStyle name="_El Dorado - 0100 v6_Copy of CNL Consolidated model_v.FPL_v37_Exelon Power Fuel Forecast - Project P 6-11-2004 ver21 2" xfId="1944" xr:uid="{00000000-0005-0000-0000-00004A070000}"/>
    <cellStyle name="_El Dorado - 0100 v6_Copy of CNL Consolidated model_v.FPL_v37_ML Outputs" xfId="1945" xr:uid="{00000000-0005-0000-0000-00004B070000}"/>
    <cellStyle name="_El Dorado - 0100 v6_Copy of CNL Consolidated model_v.FPL_v37_ML Outputs 2" xfId="1946" xr:uid="{00000000-0005-0000-0000-00004C070000}"/>
    <cellStyle name="_El Dorado - 0100 v6_Copy of CNL Consolidated model_v.FPL_v37_Project Forest Pro Forma Model v58" xfId="1947" xr:uid="{00000000-0005-0000-0000-00004D070000}"/>
    <cellStyle name="_El Dorado - 0100 v6_Copy of CNL Consolidated model_v.FPL_v37_Project Forest Pro Forma Model v58 2" xfId="1948" xr:uid="{00000000-0005-0000-0000-00004E070000}"/>
    <cellStyle name="_El Dorado - 0100 v6_D_Consolidated2" xfId="1949" xr:uid="{00000000-0005-0000-0000-00004F070000}"/>
    <cellStyle name="_El Dorado - 0100 v6_D_Consolidated2 2" xfId="1950" xr:uid="{00000000-0005-0000-0000-000050070000}"/>
    <cellStyle name="_El Dorado - 0100 v6_Model v9.8" xfId="1951" xr:uid="{00000000-0005-0000-0000-000051070000}"/>
    <cellStyle name="_El Dorado - 0100 v6_Model v9.8 2" xfId="1952" xr:uid="{00000000-0005-0000-0000-000052070000}"/>
    <cellStyle name="_El Dorado - 0100 v6_Mutilples Template2" xfId="1953" xr:uid="{00000000-0005-0000-0000-000053070000}"/>
    <cellStyle name="_El Dorado - 0100 v6_Mutilples Template2 2" xfId="1954" xr:uid="{00000000-0005-0000-0000-000054070000}"/>
    <cellStyle name="_El Dorado - 0100 v6_Mutilples Template2_Exelon Power Fuel Forecast - Project P 6-11-2004 ver21" xfId="1955" xr:uid="{00000000-0005-0000-0000-000055070000}"/>
    <cellStyle name="_El Dorado - 0100 v6_Mutilples Template2_Exelon Power Fuel Forecast - Project P 6-11-2004 ver21 2" xfId="1956" xr:uid="{00000000-0005-0000-0000-000056070000}"/>
    <cellStyle name="_El Dorado - 0100 v6_Mutilples Template2_ML Outputs" xfId="1957" xr:uid="{00000000-0005-0000-0000-000057070000}"/>
    <cellStyle name="_El Dorado - 0100 v6_Mutilples Template2_ML Outputs 2" xfId="1958" xr:uid="{00000000-0005-0000-0000-000058070000}"/>
    <cellStyle name="_El Dorado - 0100 v6_Mutilples Template2_Project Forest Pro Forma Model v58" xfId="1959" xr:uid="{00000000-0005-0000-0000-000059070000}"/>
    <cellStyle name="_El Dorado - 0100 v6_Mutilples Template2_Project Forest Pro Forma Model v58 2" xfId="1960" xr:uid="{00000000-0005-0000-0000-00005A070000}"/>
    <cellStyle name="_El Dorado - 0100 v6_pom consolidated v3" xfId="1961" xr:uid="{00000000-0005-0000-0000-00005B070000}"/>
    <cellStyle name="_El Dorado - 0100 v6_pom consolidated v3 2" xfId="1962" xr:uid="{00000000-0005-0000-0000-00005C070000}"/>
    <cellStyle name="_El Dorado - 0100 v6_pom consolidated v3_Exelon Power Fuel Forecast - Project P 6-11-2004 ver21" xfId="1963" xr:uid="{00000000-0005-0000-0000-00005D070000}"/>
    <cellStyle name="_El Dorado - 0100 v6_pom consolidated v3_Exelon Power Fuel Forecast - Project P 6-11-2004 ver21 2" xfId="1964" xr:uid="{00000000-0005-0000-0000-00005E070000}"/>
    <cellStyle name="_El Dorado - 0100 v6_pom consolidated v3_ML Outputs" xfId="1965" xr:uid="{00000000-0005-0000-0000-00005F070000}"/>
    <cellStyle name="_El Dorado - 0100 v6_pom consolidated v3_ML Outputs 2" xfId="1966" xr:uid="{00000000-0005-0000-0000-000060070000}"/>
    <cellStyle name="_El Dorado - 0100 v6_pom consolidated v3_Project Forest Pro Forma Model v58" xfId="1967" xr:uid="{00000000-0005-0000-0000-000061070000}"/>
    <cellStyle name="_El Dorado - 0100 v6_pom consolidated v3_Project Forest Pro Forma Model v58 2" xfId="1968" xr:uid="{00000000-0005-0000-0000-000062070000}"/>
    <cellStyle name="_El Dorado - Bank Version 1-15" xfId="1969" xr:uid="{00000000-0005-0000-0000-000063070000}"/>
    <cellStyle name="_El Dorado - Bank Version 1-15 2" xfId="1970" xr:uid="{00000000-0005-0000-0000-000064070000}"/>
    <cellStyle name="_El Dorado - Bank Version 1-15_Copy of CNL Consolidated model_v.FPL_v37" xfId="1971" xr:uid="{00000000-0005-0000-0000-000065070000}"/>
    <cellStyle name="_El Dorado - Bank Version 1-15_Copy of CNL Consolidated model_v.FPL_v37 2" xfId="1972" xr:uid="{00000000-0005-0000-0000-000066070000}"/>
    <cellStyle name="_El Dorado - Bank Version 1-15_Copy of CNL Consolidated model_v.FPL_v37_Exelon Power Fuel Forecast - Project P 6-11-2004 ver21" xfId="1973" xr:uid="{00000000-0005-0000-0000-000067070000}"/>
    <cellStyle name="_El Dorado - Bank Version 1-15_Copy of CNL Consolidated model_v.FPL_v37_Exelon Power Fuel Forecast - Project P 6-11-2004 ver21 2" xfId="1974" xr:uid="{00000000-0005-0000-0000-000068070000}"/>
    <cellStyle name="_El Dorado - Bank Version 1-15_Copy of CNL Consolidated model_v.FPL_v37_ML Outputs" xfId="1975" xr:uid="{00000000-0005-0000-0000-000069070000}"/>
    <cellStyle name="_El Dorado - Bank Version 1-15_Copy of CNL Consolidated model_v.FPL_v37_ML Outputs 2" xfId="1976" xr:uid="{00000000-0005-0000-0000-00006A070000}"/>
    <cellStyle name="_El Dorado - Bank Version 1-15_Copy of CNL Consolidated model_v.FPL_v37_Project Forest Pro Forma Model v58" xfId="1977" xr:uid="{00000000-0005-0000-0000-00006B070000}"/>
    <cellStyle name="_El Dorado - Bank Version 1-15_Copy of CNL Consolidated model_v.FPL_v37_Project Forest Pro Forma Model v58 2" xfId="1978" xr:uid="{00000000-0005-0000-0000-00006C070000}"/>
    <cellStyle name="_El Dorado - Bank Version 1-15_D_Consolidated2" xfId="1979" xr:uid="{00000000-0005-0000-0000-00006D070000}"/>
    <cellStyle name="_El Dorado - Bank Version 1-15_D_Consolidated2 2" xfId="1980" xr:uid="{00000000-0005-0000-0000-00006E070000}"/>
    <cellStyle name="_El Dorado - Bank Version 1-15_Model v9.8" xfId="1981" xr:uid="{00000000-0005-0000-0000-00006F070000}"/>
    <cellStyle name="_El Dorado - Bank Version 1-15_Model v9.8 2" xfId="1982" xr:uid="{00000000-0005-0000-0000-000070070000}"/>
    <cellStyle name="_El Dorado - Bank Version 1-15_Mutilples Template2" xfId="1983" xr:uid="{00000000-0005-0000-0000-000071070000}"/>
    <cellStyle name="_El Dorado - Bank Version 1-15_Mutilples Template2 2" xfId="1984" xr:uid="{00000000-0005-0000-0000-000072070000}"/>
    <cellStyle name="_El Dorado - Bank Version 1-15_Mutilples Template2_Exelon Power Fuel Forecast - Project P 6-11-2004 ver21" xfId="1985" xr:uid="{00000000-0005-0000-0000-000073070000}"/>
    <cellStyle name="_El Dorado - Bank Version 1-15_Mutilples Template2_Exelon Power Fuel Forecast - Project P 6-11-2004 ver21 2" xfId="1986" xr:uid="{00000000-0005-0000-0000-000074070000}"/>
    <cellStyle name="_El Dorado - Bank Version 1-15_Mutilples Template2_ML Outputs" xfId="1987" xr:uid="{00000000-0005-0000-0000-000075070000}"/>
    <cellStyle name="_El Dorado - Bank Version 1-15_Mutilples Template2_ML Outputs 2" xfId="1988" xr:uid="{00000000-0005-0000-0000-000076070000}"/>
    <cellStyle name="_El Dorado - Bank Version 1-15_Mutilples Template2_Project Forest Pro Forma Model v58" xfId="1989" xr:uid="{00000000-0005-0000-0000-000077070000}"/>
    <cellStyle name="_El Dorado - Bank Version 1-15_Mutilples Template2_Project Forest Pro Forma Model v58 2" xfId="1990" xr:uid="{00000000-0005-0000-0000-000078070000}"/>
    <cellStyle name="_El Dorado - Bank Version 1-15_pom consolidated v3" xfId="1991" xr:uid="{00000000-0005-0000-0000-000079070000}"/>
    <cellStyle name="_El Dorado - Bank Version 1-15_pom consolidated v3 2" xfId="1992" xr:uid="{00000000-0005-0000-0000-00007A070000}"/>
    <cellStyle name="_El Dorado - Bank Version 1-15_pom consolidated v3_Exelon Power Fuel Forecast - Project P 6-11-2004 ver21" xfId="1993" xr:uid="{00000000-0005-0000-0000-00007B070000}"/>
    <cellStyle name="_El Dorado - Bank Version 1-15_pom consolidated v3_Exelon Power Fuel Forecast - Project P 6-11-2004 ver21 2" xfId="1994" xr:uid="{00000000-0005-0000-0000-00007C070000}"/>
    <cellStyle name="_El Dorado - Bank Version 1-15_pom consolidated v3_ML Outputs" xfId="1995" xr:uid="{00000000-0005-0000-0000-00007D070000}"/>
    <cellStyle name="_El Dorado - Bank Version 1-15_pom consolidated v3_ML Outputs 2" xfId="1996" xr:uid="{00000000-0005-0000-0000-00007E070000}"/>
    <cellStyle name="_El Dorado - Bank Version 1-15_pom consolidated v3_Project Forest Pro Forma Model v58" xfId="1997" xr:uid="{00000000-0005-0000-0000-00007F070000}"/>
    <cellStyle name="_El Dorado - Bank Version 1-15_pom consolidated v3_Project Forest Pro Forma Model v58 2" xfId="1998" xr:uid="{00000000-0005-0000-0000-000080070000}"/>
    <cellStyle name="_El Dorado 0101 v1 early ops test" xfId="1999" xr:uid="{00000000-0005-0000-0000-000081070000}"/>
    <cellStyle name="_El Dorado 0101 v1 early ops test 2" xfId="2000" xr:uid="{00000000-0005-0000-0000-000082070000}"/>
    <cellStyle name="_El Dorado 0101 v1 early ops test_Copy of CNL Consolidated model_v.FPL_v37" xfId="2001" xr:uid="{00000000-0005-0000-0000-000083070000}"/>
    <cellStyle name="_El Dorado 0101 v1 early ops test_Copy of CNL Consolidated model_v.FPL_v37 2" xfId="2002" xr:uid="{00000000-0005-0000-0000-000084070000}"/>
    <cellStyle name="_El Dorado 0101 v1 early ops test_Copy of CNL Consolidated model_v.FPL_v37_Exelon Power Fuel Forecast - Project P 6-11-2004 ver21" xfId="2003" xr:uid="{00000000-0005-0000-0000-000085070000}"/>
    <cellStyle name="_El Dorado 0101 v1 early ops test_Copy of CNL Consolidated model_v.FPL_v37_Exelon Power Fuel Forecast - Project P 6-11-2004 ver21 2" xfId="2004" xr:uid="{00000000-0005-0000-0000-000086070000}"/>
    <cellStyle name="_El Dorado 0101 v1 early ops test_Copy of CNL Consolidated model_v.FPL_v37_ML Outputs" xfId="2005" xr:uid="{00000000-0005-0000-0000-000087070000}"/>
    <cellStyle name="_El Dorado 0101 v1 early ops test_Copy of CNL Consolidated model_v.FPL_v37_ML Outputs 2" xfId="2006" xr:uid="{00000000-0005-0000-0000-000088070000}"/>
    <cellStyle name="_El Dorado 0101 v1 early ops test_Copy of CNL Consolidated model_v.FPL_v37_Project Forest Pro Forma Model v58" xfId="2007" xr:uid="{00000000-0005-0000-0000-000089070000}"/>
    <cellStyle name="_El Dorado 0101 v1 early ops test_Copy of CNL Consolidated model_v.FPL_v37_Project Forest Pro Forma Model v58 2" xfId="2008" xr:uid="{00000000-0005-0000-0000-00008A070000}"/>
    <cellStyle name="_El Dorado 0101 v1 early ops test_D_Consolidated2" xfId="2009" xr:uid="{00000000-0005-0000-0000-00008B070000}"/>
    <cellStyle name="_El Dorado 0101 v1 early ops test_D_Consolidated2 2" xfId="2010" xr:uid="{00000000-0005-0000-0000-00008C070000}"/>
    <cellStyle name="_El Dorado 0101 v1 early ops test_Model v9.8" xfId="2011" xr:uid="{00000000-0005-0000-0000-00008D070000}"/>
    <cellStyle name="_El Dorado 0101 v1 early ops test_Model v9.8 2" xfId="2012" xr:uid="{00000000-0005-0000-0000-00008E070000}"/>
    <cellStyle name="_El Dorado 0101 v1 early ops test_Mutilples Template2" xfId="2013" xr:uid="{00000000-0005-0000-0000-00008F070000}"/>
    <cellStyle name="_El Dorado 0101 v1 early ops test_Mutilples Template2 2" xfId="2014" xr:uid="{00000000-0005-0000-0000-000090070000}"/>
    <cellStyle name="_El Dorado 0101 v1 early ops test_Mutilples Template2_Exelon Power Fuel Forecast - Project P 6-11-2004 ver21" xfId="2015" xr:uid="{00000000-0005-0000-0000-000091070000}"/>
    <cellStyle name="_El Dorado 0101 v1 early ops test_Mutilples Template2_Exelon Power Fuel Forecast - Project P 6-11-2004 ver21 2" xfId="2016" xr:uid="{00000000-0005-0000-0000-000092070000}"/>
    <cellStyle name="_El Dorado 0101 v1 early ops test_Mutilples Template2_ML Outputs" xfId="2017" xr:uid="{00000000-0005-0000-0000-000093070000}"/>
    <cellStyle name="_El Dorado 0101 v1 early ops test_Mutilples Template2_ML Outputs 2" xfId="2018" xr:uid="{00000000-0005-0000-0000-000094070000}"/>
    <cellStyle name="_El Dorado 0101 v1 early ops test_Mutilples Template2_Project Forest Pro Forma Model v58" xfId="2019" xr:uid="{00000000-0005-0000-0000-000095070000}"/>
    <cellStyle name="_El Dorado 0101 v1 early ops test_Mutilples Template2_Project Forest Pro Forma Model v58 2" xfId="2020" xr:uid="{00000000-0005-0000-0000-000096070000}"/>
    <cellStyle name="_El Dorado 0101 v1 early ops test_pom consolidated v3" xfId="2021" xr:uid="{00000000-0005-0000-0000-000097070000}"/>
    <cellStyle name="_El Dorado 0101 v1 early ops test_pom consolidated v3 2" xfId="2022" xr:uid="{00000000-0005-0000-0000-000098070000}"/>
    <cellStyle name="_El Dorado 0101 v1 early ops test_pom consolidated v3_Exelon Power Fuel Forecast - Project P 6-11-2004 ver21" xfId="2023" xr:uid="{00000000-0005-0000-0000-000099070000}"/>
    <cellStyle name="_El Dorado 0101 v1 early ops test_pom consolidated v3_Exelon Power Fuel Forecast - Project P 6-11-2004 ver21 2" xfId="2024" xr:uid="{00000000-0005-0000-0000-00009A070000}"/>
    <cellStyle name="_El Dorado 0101 v1 early ops test_pom consolidated v3_ML Outputs" xfId="2025" xr:uid="{00000000-0005-0000-0000-00009B070000}"/>
    <cellStyle name="_El Dorado 0101 v1 early ops test_pom consolidated v3_ML Outputs 2" xfId="2026" xr:uid="{00000000-0005-0000-0000-00009C070000}"/>
    <cellStyle name="_El Dorado 0101 v1 early ops test_pom consolidated v3_Project Forest Pro Forma Model v58" xfId="2027" xr:uid="{00000000-0005-0000-0000-00009D070000}"/>
    <cellStyle name="_El Dorado 0101 v1 early ops test_pom consolidated v3_Project Forest Pro Forma Model v58 2" xfId="2028" xr:uid="{00000000-0005-0000-0000-00009E070000}"/>
    <cellStyle name="_El Dorado 1000 v8" xfId="2029" xr:uid="{00000000-0005-0000-0000-00009F070000}"/>
    <cellStyle name="_El Dorado 1000 v8 2" xfId="2030" xr:uid="{00000000-0005-0000-0000-0000A0070000}"/>
    <cellStyle name="_El Dorado 1000 v8_Copy of CNL Consolidated model_v.FPL_v37" xfId="2031" xr:uid="{00000000-0005-0000-0000-0000A1070000}"/>
    <cellStyle name="_El Dorado 1000 v8_Copy of CNL Consolidated model_v.FPL_v37 2" xfId="2032" xr:uid="{00000000-0005-0000-0000-0000A2070000}"/>
    <cellStyle name="_El Dorado 1000 v8_Copy of CNL Consolidated model_v.FPL_v37_Exelon Power Fuel Forecast - Project P 6-11-2004 ver21" xfId="2033" xr:uid="{00000000-0005-0000-0000-0000A3070000}"/>
    <cellStyle name="_El Dorado 1000 v8_Copy of CNL Consolidated model_v.FPL_v37_Exelon Power Fuel Forecast - Project P 6-11-2004 ver21 2" xfId="2034" xr:uid="{00000000-0005-0000-0000-0000A4070000}"/>
    <cellStyle name="_El Dorado 1000 v8_Copy of CNL Consolidated model_v.FPL_v37_ML Outputs" xfId="2035" xr:uid="{00000000-0005-0000-0000-0000A5070000}"/>
    <cellStyle name="_El Dorado 1000 v8_Copy of CNL Consolidated model_v.FPL_v37_ML Outputs 2" xfId="2036" xr:uid="{00000000-0005-0000-0000-0000A6070000}"/>
    <cellStyle name="_El Dorado 1000 v8_Copy of CNL Consolidated model_v.FPL_v37_Project Forest Pro Forma Model v58" xfId="2037" xr:uid="{00000000-0005-0000-0000-0000A7070000}"/>
    <cellStyle name="_El Dorado 1000 v8_Copy of CNL Consolidated model_v.FPL_v37_Project Forest Pro Forma Model v58 2" xfId="2038" xr:uid="{00000000-0005-0000-0000-0000A8070000}"/>
    <cellStyle name="_El Dorado 1000 v8_D_Consolidated2" xfId="2039" xr:uid="{00000000-0005-0000-0000-0000A9070000}"/>
    <cellStyle name="_El Dorado 1000 v8_D_Consolidated2 2" xfId="2040" xr:uid="{00000000-0005-0000-0000-0000AA070000}"/>
    <cellStyle name="_El Dorado 1000 v8_Model v9.8" xfId="2041" xr:uid="{00000000-0005-0000-0000-0000AB070000}"/>
    <cellStyle name="_El Dorado 1000 v8_Model v9.8 2" xfId="2042" xr:uid="{00000000-0005-0000-0000-0000AC070000}"/>
    <cellStyle name="_El Dorado 1000 v8_Mutilples Template2" xfId="2043" xr:uid="{00000000-0005-0000-0000-0000AD070000}"/>
    <cellStyle name="_El Dorado 1000 v8_Mutilples Template2 2" xfId="2044" xr:uid="{00000000-0005-0000-0000-0000AE070000}"/>
    <cellStyle name="_El Dorado 1000 v8_Mutilples Template2_Exelon Power Fuel Forecast - Project P 6-11-2004 ver21" xfId="2045" xr:uid="{00000000-0005-0000-0000-0000AF070000}"/>
    <cellStyle name="_El Dorado 1000 v8_Mutilples Template2_Exelon Power Fuel Forecast - Project P 6-11-2004 ver21 2" xfId="2046" xr:uid="{00000000-0005-0000-0000-0000B0070000}"/>
    <cellStyle name="_El Dorado 1000 v8_Mutilples Template2_ML Outputs" xfId="2047" xr:uid="{00000000-0005-0000-0000-0000B1070000}"/>
    <cellStyle name="_El Dorado 1000 v8_Mutilples Template2_ML Outputs 2" xfId="2048" xr:uid="{00000000-0005-0000-0000-0000B2070000}"/>
    <cellStyle name="_El Dorado 1000 v8_Mutilples Template2_Project Forest Pro Forma Model v58" xfId="2049" xr:uid="{00000000-0005-0000-0000-0000B3070000}"/>
    <cellStyle name="_El Dorado 1000 v8_Mutilples Template2_Project Forest Pro Forma Model v58 2" xfId="2050" xr:uid="{00000000-0005-0000-0000-0000B4070000}"/>
    <cellStyle name="_El Dorado 1000 v8_pom consolidated v3" xfId="2051" xr:uid="{00000000-0005-0000-0000-0000B5070000}"/>
    <cellStyle name="_El Dorado 1000 v8_pom consolidated v3 2" xfId="2052" xr:uid="{00000000-0005-0000-0000-0000B6070000}"/>
    <cellStyle name="_El Dorado 1000 v8_pom consolidated v3_Exelon Power Fuel Forecast - Project P 6-11-2004 ver21" xfId="2053" xr:uid="{00000000-0005-0000-0000-0000B7070000}"/>
    <cellStyle name="_El Dorado 1000 v8_pom consolidated v3_Exelon Power Fuel Forecast - Project P 6-11-2004 ver21 2" xfId="2054" xr:uid="{00000000-0005-0000-0000-0000B8070000}"/>
    <cellStyle name="_El Dorado 1000 v8_pom consolidated v3_ML Outputs" xfId="2055" xr:uid="{00000000-0005-0000-0000-0000B9070000}"/>
    <cellStyle name="_El Dorado 1000 v8_pom consolidated v3_ML Outputs 2" xfId="2056" xr:uid="{00000000-0005-0000-0000-0000BA070000}"/>
    <cellStyle name="_El Dorado 1000 v8_pom consolidated v3_Project Forest Pro Forma Model v58" xfId="2057" xr:uid="{00000000-0005-0000-0000-0000BB070000}"/>
    <cellStyle name="_El Dorado 1000 v8_pom consolidated v3_Project Forest Pro Forma Model v58 2" xfId="2058" xr:uid="{00000000-0005-0000-0000-0000BC070000}"/>
    <cellStyle name="_El Dorado 1100 v1" xfId="2059" xr:uid="{00000000-0005-0000-0000-0000BD070000}"/>
    <cellStyle name="_El Dorado 1100 v1 2" xfId="2060" xr:uid="{00000000-0005-0000-0000-0000BE070000}"/>
    <cellStyle name="_El Dorado 1100 v1_Copy of CNL Consolidated model_v.FPL_v37" xfId="2061" xr:uid="{00000000-0005-0000-0000-0000BF070000}"/>
    <cellStyle name="_El Dorado 1100 v1_Copy of CNL Consolidated model_v.FPL_v37 2" xfId="2062" xr:uid="{00000000-0005-0000-0000-0000C0070000}"/>
    <cellStyle name="_El Dorado 1100 v1_Copy of CNL Consolidated model_v.FPL_v37_Exelon Power Fuel Forecast - Project P 6-11-2004 ver21" xfId="2063" xr:uid="{00000000-0005-0000-0000-0000C1070000}"/>
    <cellStyle name="_El Dorado 1100 v1_Copy of CNL Consolidated model_v.FPL_v37_Exelon Power Fuel Forecast - Project P 6-11-2004 ver21 2" xfId="2064" xr:uid="{00000000-0005-0000-0000-0000C2070000}"/>
    <cellStyle name="_El Dorado 1100 v1_Copy of CNL Consolidated model_v.FPL_v37_ML Outputs" xfId="2065" xr:uid="{00000000-0005-0000-0000-0000C3070000}"/>
    <cellStyle name="_El Dorado 1100 v1_Copy of CNL Consolidated model_v.FPL_v37_ML Outputs 2" xfId="2066" xr:uid="{00000000-0005-0000-0000-0000C4070000}"/>
    <cellStyle name="_El Dorado 1100 v1_Copy of CNL Consolidated model_v.FPL_v37_Project Forest Pro Forma Model v58" xfId="2067" xr:uid="{00000000-0005-0000-0000-0000C5070000}"/>
    <cellStyle name="_El Dorado 1100 v1_Copy of CNL Consolidated model_v.FPL_v37_Project Forest Pro Forma Model v58 2" xfId="2068" xr:uid="{00000000-0005-0000-0000-0000C6070000}"/>
    <cellStyle name="_El Dorado 1100 v1_D_Consolidated2" xfId="2069" xr:uid="{00000000-0005-0000-0000-0000C7070000}"/>
    <cellStyle name="_El Dorado 1100 v1_D_Consolidated2 2" xfId="2070" xr:uid="{00000000-0005-0000-0000-0000C8070000}"/>
    <cellStyle name="_El Dorado 1100 v1_Model v9.8" xfId="2071" xr:uid="{00000000-0005-0000-0000-0000C9070000}"/>
    <cellStyle name="_El Dorado 1100 v1_Model v9.8 2" xfId="2072" xr:uid="{00000000-0005-0000-0000-0000CA070000}"/>
    <cellStyle name="_El Dorado 1100 v1_Mutilples Template2" xfId="2073" xr:uid="{00000000-0005-0000-0000-0000CB070000}"/>
    <cellStyle name="_El Dorado 1100 v1_Mutilples Template2 2" xfId="2074" xr:uid="{00000000-0005-0000-0000-0000CC070000}"/>
    <cellStyle name="_El Dorado 1100 v1_Mutilples Template2_Exelon Power Fuel Forecast - Project P 6-11-2004 ver21" xfId="2075" xr:uid="{00000000-0005-0000-0000-0000CD070000}"/>
    <cellStyle name="_El Dorado 1100 v1_Mutilples Template2_Exelon Power Fuel Forecast - Project P 6-11-2004 ver21 2" xfId="2076" xr:uid="{00000000-0005-0000-0000-0000CE070000}"/>
    <cellStyle name="_El Dorado 1100 v1_Mutilples Template2_ML Outputs" xfId="2077" xr:uid="{00000000-0005-0000-0000-0000CF070000}"/>
    <cellStyle name="_El Dorado 1100 v1_Mutilples Template2_ML Outputs 2" xfId="2078" xr:uid="{00000000-0005-0000-0000-0000D0070000}"/>
    <cellStyle name="_El Dorado 1100 v1_Mutilples Template2_Project Forest Pro Forma Model v58" xfId="2079" xr:uid="{00000000-0005-0000-0000-0000D1070000}"/>
    <cellStyle name="_El Dorado 1100 v1_Mutilples Template2_Project Forest Pro Forma Model v58 2" xfId="2080" xr:uid="{00000000-0005-0000-0000-0000D2070000}"/>
    <cellStyle name="_El Dorado 1100 v1_pom consolidated v3" xfId="2081" xr:uid="{00000000-0005-0000-0000-0000D3070000}"/>
    <cellStyle name="_El Dorado 1100 v1_pom consolidated v3 2" xfId="2082" xr:uid="{00000000-0005-0000-0000-0000D4070000}"/>
    <cellStyle name="_El Dorado 1100 v1_pom consolidated v3_Exelon Power Fuel Forecast - Project P 6-11-2004 ver21" xfId="2083" xr:uid="{00000000-0005-0000-0000-0000D5070000}"/>
    <cellStyle name="_El Dorado 1100 v1_pom consolidated v3_Exelon Power Fuel Forecast - Project P 6-11-2004 ver21 2" xfId="2084" xr:uid="{00000000-0005-0000-0000-0000D6070000}"/>
    <cellStyle name="_El Dorado 1100 v1_pom consolidated v3_ML Outputs" xfId="2085" xr:uid="{00000000-0005-0000-0000-0000D7070000}"/>
    <cellStyle name="_El Dorado 1100 v1_pom consolidated v3_ML Outputs 2" xfId="2086" xr:uid="{00000000-0005-0000-0000-0000D8070000}"/>
    <cellStyle name="_El Dorado 1100 v1_pom consolidated v3_Project Forest Pro Forma Model v58" xfId="2087" xr:uid="{00000000-0005-0000-0000-0000D9070000}"/>
    <cellStyle name="_El Dorado 1100 v1_pom consolidated v3_Project Forest Pro Forma Model v58 2" xfId="2088" xr:uid="{00000000-0005-0000-0000-0000DA070000}"/>
    <cellStyle name="_El Dorado 1200 v2 Equity" xfId="2089" xr:uid="{00000000-0005-0000-0000-0000DB070000}"/>
    <cellStyle name="_El Dorado 1200 v2 Equity_Copy of CNL Consolidated model_v.FPL_v37" xfId="2090" xr:uid="{00000000-0005-0000-0000-0000DC070000}"/>
    <cellStyle name="_El Dorado 1200 v2 Equity_Copy of CNL Consolidated model_v.FPL_v37_Exelon Power Fuel Forecast - Project P 6-11-2004 ver21" xfId="2091" xr:uid="{00000000-0005-0000-0000-0000DD070000}"/>
    <cellStyle name="_El Dorado 1200 v2 Equity_Copy of CNL Consolidated model_v.FPL_v37_ML Outputs" xfId="2092" xr:uid="{00000000-0005-0000-0000-0000DE070000}"/>
    <cellStyle name="_El Dorado 1200 v2 Equity_Copy of CNL Consolidated model_v.FPL_v37_Project Forest Pro Forma Model v58" xfId="2093" xr:uid="{00000000-0005-0000-0000-0000DF070000}"/>
    <cellStyle name="_El Dorado 1200 v2 Equity_D_Consolidated2" xfId="2094" xr:uid="{00000000-0005-0000-0000-0000E0070000}"/>
    <cellStyle name="_El Dorado 1200 v2 Equity_Model v9.8" xfId="2095" xr:uid="{00000000-0005-0000-0000-0000E1070000}"/>
    <cellStyle name="_El Dorado 1200 v2 Equity_Mutilples Template2" xfId="2096" xr:uid="{00000000-0005-0000-0000-0000E2070000}"/>
    <cellStyle name="_El Dorado 1200 v2 Equity_Mutilples Template2_Exelon Power Fuel Forecast - Project P 6-11-2004 ver21" xfId="2097" xr:uid="{00000000-0005-0000-0000-0000E3070000}"/>
    <cellStyle name="_El Dorado 1200 v2 Equity_Mutilples Template2_ML Outputs" xfId="2098" xr:uid="{00000000-0005-0000-0000-0000E4070000}"/>
    <cellStyle name="_El Dorado 1200 v2 Equity_Mutilples Template2_Project Forest Pro Forma Model v58" xfId="2099" xr:uid="{00000000-0005-0000-0000-0000E5070000}"/>
    <cellStyle name="_El Dorado 1200 v2 Equity_pom consolidated v3" xfId="2100" xr:uid="{00000000-0005-0000-0000-0000E6070000}"/>
    <cellStyle name="_El Dorado 1200 v2 Equity_pom consolidated v3_Exelon Power Fuel Forecast - Project P 6-11-2004 ver21" xfId="2101" xr:uid="{00000000-0005-0000-0000-0000E7070000}"/>
    <cellStyle name="_El Dorado 1200 v2 Equity_pom consolidated v3_ML Outputs" xfId="2102" xr:uid="{00000000-0005-0000-0000-0000E8070000}"/>
    <cellStyle name="_El Dorado 1200 v2 Equity_pom consolidated v3_Project Forest Pro Forma Model v58" xfId="2103" xr:uid="{00000000-0005-0000-0000-0000E9070000}"/>
    <cellStyle name="_El Dorado 3-15" xfId="2104" xr:uid="{00000000-0005-0000-0000-0000EA070000}"/>
    <cellStyle name="_El Dorado 3-15 2" xfId="2105" xr:uid="{00000000-0005-0000-0000-0000EB070000}"/>
    <cellStyle name="_El Dorado 3-15_Copy of CNL Consolidated model_v.FPL_v37" xfId="2106" xr:uid="{00000000-0005-0000-0000-0000EC070000}"/>
    <cellStyle name="_El Dorado 3-15_Copy of CNL Consolidated model_v.FPL_v37 2" xfId="2107" xr:uid="{00000000-0005-0000-0000-0000ED070000}"/>
    <cellStyle name="_El Dorado 3-15_Copy of CNL Consolidated model_v.FPL_v37_Exelon Power Fuel Forecast - Project P 6-11-2004 ver21" xfId="2108" xr:uid="{00000000-0005-0000-0000-0000EE070000}"/>
    <cellStyle name="_El Dorado 3-15_Copy of CNL Consolidated model_v.FPL_v37_Exelon Power Fuel Forecast - Project P 6-11-2004 ver21 2" xfId="2109" xr:uid="{00000000-0005-0000-0000-0000EF070000}"/>
    <cellStyle name="_El Dorado 3-15_Copy of CNL Consolidated model_v.FPL_v37_ML Outputs" xfId="2110" xr:uid="{00000000-0005-0000-0000-0000F0070000}"/>
    <cellStyle name="_El Dorado 3-15_Copy of CNL Consolidated model_v.FPL_v37_ML Outputs 2" xfId="2111" xr:uid="{00000000-0005-0000-0000-0000F1070000}"/>
    <cellStyle name="_El Dorado 3-15_Copy of CNL Consolidated model_v.FPL_v37_Project Forest Pro Forma Model v58" xfId="2112" xr:uid="{00000000-0005-0000-0000-0000F2070000}"/>
    <cellStyle name="_El Dorado 3-15_Copy of CNL Consolidated model_v.FPL_v37_Project Forest Pro Forma Model v58 2" xfId="2113" xr:uid="{00000000-0005-0000-0000-0000F3070000}"/>
    <cellStyle name="_El Dorado 3-15_D_Consolidated2" xfId="2114" xr:uid="{00000000-0005-0000-0000-0000F4070000}"/>
    <cellStyle name="_El Dorado 3-15_D_Consolidated2 2" xfId="2115" xr:uid="{00000000-0005-0000-0000-0000F5070000}"/>
    <cellStyle name="_El Dorado 3-15_Model v9.8" xfId="2116" xr:uid="{00000000-0005-0000-0000-0000F6070000}"/>
    <cellStyle name="_El Dorado 3-15_Model v9.8 2" xfId="2117" xr:uid="{00000000-0005-0000-0000-0000F7070000}"/>
    <cellStyle name="_El Dorado 3-15_Mutilples Template2" xfId="2118" xr:uid="{00000000-0005-0000-0000-0000F8070000}"/>
    <cellStyle name="_El Dorado 3-15_Mutilples Template2 2" xfId="2119" xr:uid="{00000000-0005-0000-0000-0000F9070000}"/>
    <cellStyle name="_El Dorado 3-15_Mutilples Template2_Exelon Power Fuel Forecast - Project P 6-11-2004 ver21" xfId="2120" xr:uid="{00000000-0005-0000-0000-0000FA070000}"/>
    <cellStyle name="_El Dorado 3-15_Mutilples Template2_Exelon Power Fuel Forecast - Project P 6-11-2004 ver21 2" xfId="2121" xr:uid="{00000000-0005-0000-0000-0000FB070000}"/>
    <cellStyle name="_El Dorado 3-15_Mutilples Template2_ML Outputs" xfId="2122" xr:uid="{00000000-0005-0000-0000-0000FC070000}"/>
    <cellStyle name="_El Dorado 3-15_Mutilples Template2_ML Outputs 2" xfId="2123" xr:uid="{00000000-0005-0000-0000-0000FD070000}"/>
    <cellStyle name="_El Dorado 3-15_Mutilples Template2_Project Forest Pro Forma Model v58" xfId="2124" xr:uid="{00000000-0005-0000-0000-0000FE070000}"/>
    <cellStyle name="_El Dorado 3-15_Mutilples Template2_Project Forest Pro Forma Model v58 2" xfId="2125" xr:uid="{00000000-0005-0000-0000-0000FF070000}"/>
    <cellStyle name="_El Dorado 3-15_pom consolidated v3" xfId="2126" xr:uid="{00000000-0005-0000-0000-000000080000}"/>
    <cellStyle name="_El Dorado 3-15_pom consolidated v3 2" xfId="2127" xr:uid="{00000000-0005-0000-0000-000001080000}"/>
    <cellStyle name="_El Dorado 3-15_pom consolidated v3_Exelon Power Fuel Forecast - Project P 6-11-2004 ver21" xfId="2128" xr:uid="{00000000-0005-0000-0000-000002080000}"/>
    <cellStyle name="_El Dorado 3-15_pom consolidated v3_Exelon Power Fuel Forecast - Project P 6-11-2004 ver21 2" xfId="2129" xr:uid="{00000000-0005-0000-0000-000003080000}"/>
    <cellStyle name="_El Dorado 3-15_pom consolidated v3_ML Outputs" xfId="2130" xr:uid="{00000000-0005-0000-0000-000004080000}"/>
    <cellStyle name="_El Dorado 3-15_pom consolidated v3_ML Outputs 2" xfId="2131" xr:uid="{00000000-0005-0000-0000-000005080000}"/>
    <cellStyle name="_El Dorado 3-15_pom consolidated v3_Project Forest Pro Forma Model v58" xfId="2132" xr:uid="{00000000-0005-0000-0000-000006080000}"/>
    <cellStyle name="_El Dorado 3-15_pom consolidated v3_Project Forest Pro Forma Model v58 2" xfId="2133" xr:uid="{00000000-0005-0000-0000-000007080000}"/>
    <cellStyle name="_El Dorado 3-19" xfId="2134" xr:uid="{00000000-0005-0000-0000-000008080000}"/>
    <cellStyle name="_El Dorado 3-19 2" xfId="2135" xr:uid="{00000000-0005-0000-0000-000009080000}"/>
    <cellStyle name="_El Dorado 3-19_Copy of CNL Consolidated model_v.FPL_v37" xfId="2136" xr:uid="{00000000-0005-0000-0000-00000A080000}"/>
    <cellStyle name="_El Dorado 3-19_Copy of CNL Consolidated model_v.FPL_v37 2" xfId="2137" xr:uid="{00000000-0005-0000-0000-00000B080000}"/>
    <cellStyle name="_El Dorado 3-19_Copy of CNL Consolidated model_v.FPL_v37_Exelon Power Fuel Forecast - Project P 6-11-2004 ver21" xfId="2138" xr:uid="{00000000-0005-0000-0000-00000C080000}"/>
    <cellStyle name="_El Dorado 3-19_Copy of CNL Consolidated model_v.FPL_v37_Exelon Power Fuel Forecast - Project P 6-11-2004 ver21 2" xfId="2139" xr:uid="{00000000-0005-0000-0000-00000D080000}"/>
    <cellStyle name="_El Dorado 3-19_Copy of CNL Consolidated model_v.FPL_v37_ML Outputs" xfId="2140" xr:uid="{00000000-0005-0000-0000-00000E080000}"/>
    <cellStyle name="_El Dorado 3-19_Copy of CNL Consolidated model_v.FPL_v37_ML Outputs 2" xfId="2141" xr:uid="{00000000-0005-0000-0000-00000F080000}"/>
    <cellStyle name="_El Dorado 3-19_Copy of CNL Consolidated model_v.FPL_v37_Project Forest Pro Forma Model v58" xfId="2142" xr:uid="{00000000-0005-0000-0000-000010080000}"/>
    <cellStyle name="_El Dorado 3-19_Copy of CNL Consolidated model_v.FPL_v37_Project Forest Pro Forma Model v58 2" xfId="2143" xr:uid="{00000000-0005-0000-0000-000011080000}"/>
    <cellStyle name="_El Dorado 3-19_D_Consolidated2" xfId="2144" xr:uid="{00000000-0005-0000-0000-000012080000}"/>
    <cellStyle name="_El Dorado 3-19_D_Consolidated2 2" xfId="2145" xr:uid="{00000000-0005-0000-0000-000013080000}"/>
    <cellStyle name="_El Dorado 3-19_Model v9.8" xfId="2146" xr:uid="{00000000-0005-0000-0000-000014080000}"/>
    <cellStyle name="_El Dorado 3-19_Model v9.8 2" xfId="2147" xr:uid="{00000000-0005-0000-0000-000015080000}"/>
    <cellStyle name="_El Dorado 3-19_Mutilples Template2" xfId="2148" xr:uid="{00000000-0005-0000-0000-000016080000}"/>
    <cellStyle name="_El Dorado 3-19_Mutilples Template2 2" xfId="2149" xr:uid="{00000000-0005-0000-0000-000017080000}"/>
    <cellStyle name="_El Dorado 3-19_Mutilples Template2_Exelon Power Fuel Forecast - Project P 6-11-2004 ver21" xfId="2150" xr:uid="{00000000-0005-0000-0000-000018080000}"/>
    <cellStyle name="_El Dorado 3-19_Mutilples Template2_Exelon Power Fuel Forecast - Project P 6-11-2004 ver21 2" xfId="2151" xr:uid="{00000000-0005-0000-0000-000019080000}"/>
    <cellStyle name="_El Dorado 3-19_Mutilples Template2_ML Outputs" xfId="2152" xr:uid="{00000000-0005-0000-0000-00001A080000}"/>
    <cellStyle name="_El Dorado 3-19_Mutilples Template2_ML Outputs 2" xfId="2153" xr:uid="{00000000-0005-0000-0000-00001B080000}"/>
    <cellStyle name="_El Dorado 3-19_Mutilples Template2_Project Forest Pro Forma Model v58" xfId="2154" xr:uid="{00000000-0005-0000-0000-00001C080000}"/>
    <cellStyle name="_El Dorado 3-19_Mutilples Template2_Project Forest Pro Forma Model v58 2" xfId="2155" xr:uid="{00000000-0005-0000-0000-00001D080000}"/>
    <cellStyle name="_El Dorado 3-19_pom consolidated v3" xfId="2156" xr:uid="{00000000-0005-0000-0000-00001E080000}"/>
    <cellStyle name="_El Dorado 3-19_pom consolidated v3 2" xfId="2157" xr:uid="{00000000-0005-0000-0000-00001F080000}"/>
    <cellStyle name="_El Dorado 3-19_pom consolidated v3_Exelon Power Fuel Forecast - Project P 6-11-2004 ver21" xfId="2158" xr:uid="{00000000-0005-0000-0000-000020080000}"/>
    <cellStyle name="_El Dorado 3-19_pom consolidated v3_Exelon Power Fuel Forecast - Project P 6-11-2004 ver21 2" xfId="2159" xr:uid="{00000000-0005-0000-0000-000021080000}"/>
    <cellStyle name="_El Dorado 3-19_pom consolidated v3_ML Outputs" xfId="2160" xr:uid="{00000000-0005-0000-0000-000022080000}"/>
    <cellStyle name="_El Dorado 3-19_pom consolidated v3_ML Outputs 2" xfId="2161" xr:uid="{00000000-0005-0000-0000-000023080000}"/>
    <cellStyle name="_El Dorado 3-19_pom consolidated v3_Project Forest Pro Forma Model v58" xfId="2162" xr:uid="{00000000-0005-0000-0000-000024080000}"/>
    <cellStyle name="_El Dorado 3-19_pom consolidated v3_Project Forest Pro Forma Model v58 2" xfId="2163" xr:uid="{00000000-0005-0000-0000-000025080000}"/>
    <cellStyle name="_El Dorado Const Bud 06-08-01 Revised 2" xfId="2164" xr:uid="{00000000-0005-0000-0000-000026080000}"/>
    <cellStyle name="_El Dorado Const Bud 06-08-01 Revised 2 2" xfId="2165" xr:uid="{00000000-0005-0000-0000-000027080000}"/>
    <cellStyle name="_El Dorado Const Bud 06-08-01 Revised 2_Copy of CNL Consolidated model_v.FPL_v37" xfId="2166" xr:uid="{00000000-0005-0000-0000-000028080000}"/>
    <cellStyle name="_El Dorado Const Bud 06-08-01 Revised 2_Copy of CNL Consolidated model_v.FPL_v37 2" xfId="2167" xr:uid="{00000000-0005-0000-0000-000029080000}"/>
    <cellStyle name="_El Dorado Const Bud 06-08-01 Revised 2_Copy of CNL Consolidated model_v.FPL_v37_Exelon Power Fuel Forecast - Project P 6-11-2004 ver21" xfId="2168" xr:uid="{00000000-0005-0000-0000-00002A080000}"/>
    <cellStyle name="_El Dorado Const Bud 06-08-01 Revised 2_Copy of CNL Consolidated model_v.FPL_v37_Exelon Power Fuel Forecast - Project P 6-11-2004 ver21 2" xfId="2169" xr:uid="{00000000-0005-0000-0000-00002B080000}"/>
    <cellStyle name="_El Dorado Const Bud 06-08-01 Revised 2_Copy of CNL Consolidated model_v.FPL_v37_ML Outputs" xfId="2170" xr:uid="{00000000-0005-0000-0000-00002C080000}"/>
    <cellStyle name="_El Dorado Const Bud 06-08-01 Revised 2_Copy of CNL Consolidated model_v.FPL_v37_ML Outputs 2" xfId="2171" xr:uid="{00000000-0005-0000-0000-00002D080000}"/>
    <cellStyle name="_El Dorado Const Bud 06-08-01 Revised 2_Copy of CNL Consolidated model_v.FPL_v37_Project Forest Pro Forma Model v58" xfId="2172" xr:uid="{00000000-0005-0000-0000-00002E080000}"/>
    <cellStyle name="_El Dorado Const Bud 06-08-01 Revised 2_Copy of CNL Consolidated model_v.FPL_v37_Project Forest Pro Forma Model v58 2" xfId="2173" xr:uid="{00000000-0005-0000-0000-00002F080000}"/>
    <cellStyle name="_El Dorado Const Bud 06-08-01 Revised 2_D_Consolidated2" xfId="2174" xr:uid="{00000000-0005-0000-0000-000030080000}"/>
    <cellStyle name="_El Dorado Const Bud 06-08-01 Revised 2_D_Consolidated2 2" xfId="2175" xr:uid="{00000000-0005-0000-0000-000031080000}"/>
    <cellStyle name="_El Dorado Const Bud 06-08-01 Revised 2_Model v9.8" xfId="2176" xr:uid="{00000000-0005-0000-0000-000032080000}"/>
    <cellStyle name="_El Dorado Const Bud 06-08-01 Revised 2_Model v9.8 2" xfId="2177" xr:uid="{00000000-0005-0000-0000-000033080000}"/>
    <cellStyle name="_El Dorado Const Bud 06-08-01 Revised 2_Mutilples Template2" xfId="2178" xr:uid="{00000000-0005-0000-0000-000034080000}"/>
    <cellStyle name="_El Dorado Const Bud 06-08-01 Revised 2_Mutilples Template2 2" xfId="2179" xr:uid="{00000000-0005-0000-0000-000035080000}"/>
    <cellStyle name="_El Dorado Const Bud 06-08-01 Revised 2_Mutilples Template2_Exelon Power Fuel Forecast - Project P 6-11-2004 ver21" xfId="2180" xr:uid="{00000000-0005-0000-0000-000036080000}"/>
    <cellStyle name="_El Dorado Const Bud 06-08-01 Revised 2_Mutilples Template2_Exelon Power Fuel Forecast - Project P 6-11-2004 ver21 2" xfId="2181" xr:uid="{00000000-0005-0000-0000-000037080000}"/>
    <cellStyle name="_El Dorado Const Bud 06-08-01 Revised 2_Mutilples Template2_ML Outputs" xfId="2182" xr:uid="{00000000-0005-0000-0000-000038080000}"/>
    <cellStyle name="_El Dorado Const Bud 06-08-01 Revised 2_Mutilples Template2_ML Outputs 2" xfId="2183" xr:uid="{00000000-0005-0000-0000-000039080000}"/>
    <cellStyle name="_El Dorado Const Bud 06-08-01 Revised 2_Mutilples Template2_Project Forest Pro Forma Model v58" xfId="2184" xr:uid="{00000000-0005-0000-0000-00003A080000}"/>
    <cellStyle name="_El Dorado Const Bud 06-08-01 Revised 2_Mutilples Template2_Project Forest Pro Forma Model v58 2" xfId="2185" xr:uid="{00000000-0005-0000-0000-00003B080000}"/>
    <cellStyle name="_El Dorado Const Bud 06-08-01 Revised 2_pom consolidated v3" xfId="2186" xr:uid="{00000000-0005-0000-0000-00003C080000}"/>
    <cellStyle name="_El Dorado Const Bud 06-08-01 Revised 2_pom consolidated v3 2" xfId="2187" xr:uid="{00000000-0005-0000-0000-00003D080000}"/>
    <cellStyle name="_El Dorado Const Bud 06-08-01 Revised 2_pom consolidated v3_Exelon Power Fuel Forecast - Project P 6-11-2004 ver21" xfId="2188" xr:uid="{00000000-0005-0000-0000-00003E080000}"/>
    <cellStyle name="_El Dorado Const Bud 06-08-01 Revised 2_pom consolidated v3_Exelon Power Fuel Forecast - Project P 6-11-2004 ver21 2" xfId="2189" xr:uid="{00000000-0005-0000-0000-00003F080000}"/>
    <cellStyle name="_El Dorado Const Bud 06-08-01 Revised 2_pom consolidated v3_ML Outputs" xfId="2190" xr:uid="{00000000-0005-0000-0000-000040080000}"/>
    <cellStyle name="_El Dorado Const Bud 06-08-01 Revised 2_pom consolidated v3_ML Outputs 2" xfId="2191" xr:uid="{00000000-0005-0000-0000-000041080000}"/>
    <cellStyle name="_El Dorado Const Bud 06-08-01 Revised 2_pom consolidated v3_Project Forest Pro Forma Model v58" xfId="2192" xr:uid="{00000000-0005-0000-0000-000042080000}"/>
    <cellStyle name="_El Dorado Const Bud 06-08-01 Revised 2_pom consolidated v3_Project Forest Pro Forma Model v58 2" xfId="2193" xr:uid="{00000000-0005-0000-0000-000043080000}"/>
    <cellStyle name="_El Dorado Project Model 0900 v2" xfId="2194" xr:uid="{00000000-0005-0000-0000-000044080000}"/>
    <cellStyle name="_El Dorado Project Model 0900 v2 2" xfId="2195" xr:uid="{00000000-0005-0000-0000-000045080000}"/>
    <cellStyle name="_El Dorado Project Model 0900 v2_Copy of CNL Consolidated model_v.FPL_v37" xfId="2196" xr:uid="{00000000-0005-0000-0000-000046080000}"/>
    <cellStyle name="_El Dorado Project Model 0900 v2_Copy of CNL Consolidated model_v.FPL_v37 2" xfId="2197" xr:uid="{00000000-0005-0000-0000-000047080000}"/>
    <cellStyle name="_El Dorado Project Model 0900 v2_Copy of CNL Consolidated model_v.FPL_v37_Exelon Power Fuel Forecast - Project P 6-11-2004 ver21" xfId="2198" xr:uid="{00000000-0005-0000-0000-000048080000}"/>
    <cellStyle name="_El Dorado Project Model 0900 v2_Copy of CNL Consolidated model_v.FPL_v37_Exelon Power Fuel Forecast - Project P 6-11-2004 ver21 2" xfId="2199" xr:uid="{00000000-0005-0000-0000-000049080000}"/>
    <cellStyle name="_El Dorado Project Model 0900 v2_Copy of CNL Consolidated model_v.FPL_v37_ML Outputs" xfId="2200" xr:uid="{00000000-0005-0000-0000-00004A080000}"/>
    <cellStyle name="_El Dorado Project Model 0900 v2_Copy of CNL Consolidated model_v.FPL_v37_ML Outputs 2" xfId="2201" xr:uid="{00000000-0005-0000-0000-00004B080000}"/>
    <cellStyle name="_El Dorado Project Model 0900 v2_Copy of CNL Consolidated model_v.FPL_v37_Project Forest Pro Forma Model v58" xfId="2202" xr:uid="{00000000-0005-0000-0000-00004C080000}"/>
    <cellStyle name="_El Dorado Project Model 0900 v2_Copy of CNL Consolidated model_v.FPL_v37_Project Forest Pro Forma Model v58 2" xfId="2203" xr:uid="{00000000-0005-0000-0000-00004D080000}"/>
    <cellStyle name="_El Dorado Project Model 0900 v2_D_Consolidated2" xfId="2204" xr:uid="{00000000-0005-0000-0000-00004E080000}"/>
    <cellStyle name="_El Dorado Project Model 0900 v2_D_Consolidated2 2" xfId="2205" xr:uid="{00000000-0005-0000-0000-00004F080000}"/>
    <cellStyle name="_El Dorado Project Model 0900 v2_Model v9.8" xfId="2206" xr:uid="{00000000-0005-0000-0000-000050080000}"/>
    <cellStyle name="_El Dorado Project Model 0900 v2_Model v9.8 2" xfId="2207" xr:uid="{00000000-0005-0000-0000-000051080000}"/>
    <cellStyle name="_El Dorado Project Model 0900 v2_Mutilples Template2" xfId="2208" xr:uid="{00000000-0005-0000-0000-000052080000}"/>
    <cellStyle name="_El Dorado Project Model 0900 v2_Mutilples Template2 2" xfId="2209" xr:uid="{00000000-0005-0000-0000-000053080000}"/>
    <cellStyle name="_El Dorado Project Model 0900 v2_Mutilples Template2_Exelon Power Fuel Forecast - Project P 6-11-2004 ver21" xfId="2210" xr:uid="{00000000-0005-0000-0000-000054080000}"/>
    <cellStyle name="_El Dorado Project Model 0900 v2_Mutilples Template2_Exelon Power Fuel Forecast - Project P 6-11-2004 ver21 2" xfId="2211" xr:uid="{00000000-0005-0000-0000-000055080000}"/>
    <cellStyle name="_El Dorado Project Model 0900 v2_Mutilples Template2_ML Outputs" xfId="2212" xr:uid="{00000000-0005-0000-0000-000056080000}"/>
    <cellStyle name="_El Dorado Project Model 0900 v2_Mutilples Template2_ML Outputs 2" xfId="2213" xr:uid="{00000000-0005-0000-0000-000057080000}"/>
    <cellStyle name="_El Dorado Project Model 0900 v2_Mutilples Template2_Project Forest Pro Forma Model v58" xfId="2214" xr:uid="{00000000-0005-0000-0000-000058080000}"/>
    <cellStyle name="_El Dorado Project Model 0900 v2_Mutilples Template2_Project Forest Pro Forma Model v58 2" xfId="2215" xr:uid="{00000000-0005-0000-0000-000059080000}"/>
    <cellStyle name="_El Dorado Project Model 0900 v2_pom consolidated v3" xfId="2216" xr:uid="{00000000-0005-0000-0000-00005A080000}"/>
    <cellStyle name="_El Dorado Project Model 0900 v2_pom consolidated v3 2" xfId="2217" xr:uid="{00000000-0005-0000-0000-00005B080000}"/>
    <cellStyle name="_El Dorado Project Model 0900 v2_pom consolidated v3_Exelon Power Fuel Forecast - Project P 6-11-2004 ver21" xfId="2218" xr:uid="{00000000-0005-0000-0000-00005C080000}"/>
    <cellStyle name="_El Dorado Project Model 0900 v2_pom consolidated v3_Exelon Power Fuel Forecast - Project P 6-11-2004 ver21 2" xfId="2219" xr:uid="{00000000-0005-0000-0000-00005D080000}"/>
    <cellStyle name="_El Dorado Project Model 0900 v2_pom consolidated v3_ML Outputs" xfId="2220" xr:uid="{00000000-0005-0000-0000-00005E080000}"/>
    <cellStyle name="_El Dorado Project Model 0900 v2_pom consolidated v3_ML Outputs 2" xfId="2221" xr:uid="{00000000-0005-0000-0000-00005F080000}"/>
    <cellStyle name="_El Dorado Project Model 0900 v2_pom consolidated v3_Project Forest Pro Forma Model v58" xfId="2222" xr:uid="{00000000-0005-0000-0000-000060080000}"/>
    <cellStyle name="_El Dorado Project Model 0900 v2_pom consolidated v3_Project Forest Pro Forma Model v58 2" xfId="2223" xr:uid="{00000000-0005-0000-0000-000061080000}"/>
    <cellStyle name="_El_Do_Gila_2x2000MW_CC_101100_partcov4_17%_100%const" xfId="2224" xr:uid="{00000000-0005-0000-0000-000062080000}"/>
    <cellStyle name="_El_Do_Gila_2x2000MW_CC_101100_partcov4_17%_100%const 2" xfId="2225" xr:uid="{00000000-0005-0000-0000-000063080000}"/>
    <cellStyle name="_El_Do_Gila_2x2000MW_CC_101100_partcov4_17%_100%const_Copy of CNL Consolidated model_v.FPL_v37" xfId="2226" xr:uid="{00000000-0005-0000-0000-000064080000}"/>
    <cellStyle name="_El_Do_Gila_2x2000MW_CC_101100_partcov4_17%_100%const_Copy of CNL Consolidated model_v.FPL_v37 2" xfId="2227" xr:uid="{00000000-0005-0000-0000-000065080000}"/>
    <cellStyle name="_El_Do_Gila_2x2000MW_CC_101100_partcov4_17%_100%const_Copy of CNL Consolidated model_v.FPL_v37_Exelon Power Fuel Forecast - Project P 6-11-2004 ver21" xfId="2228" xr:uid="{00000000-0005-0000-0000-000066080000}"/>
    <cellStyle name="_El_Do_Gila_2x2000MW_CC_101100_partcov4_17%_100%const_Copy of CNL Consolidated model_v.FPL_v37_Exelon Power Fuel Forecast - Project P 6-11-2004 ver21 2" xfId="2229" xr:uid="{00000000-0005-0000-0000-000067080000}"/>
    <cellStyle name="_El_Do_Gila_2x2000MW_CC_101100_partcov4_17%_100%const_Copy of CNL Consolidated model_v.FPL_v37_ML Outputs" xfId="2230" xr:uid="{00000000-0005-0000-0000-000068080000}"/>
    <cellStyle name="_El_Do_Gila_2x2000MW_CC_101100_partcov4_17%_100%const_Copy of CNL Consolidated model_v.FPL_v37_ML Outputs 2" xfId="2231" xr:uid="{00000000-0005-0000-0000-000069080000}"/>
    <cellStyle name="_El_Do_Gila_2x2000MW_CC_101100_partcov4_17%_100%const_Copy of CNL Consolidated model_v.FPL_v37_Project Forest Pro Forma Model v58" xfId="2232" xr:uid="{00000000-0005-0000-0000-00006A080000}"/>
    <cellStyle name="_El_Do_Gila_2x2000MW_CC_101100_partcov4_17%_100%const_Copy of CNL Consolidated model_v.FPL_v37_Project Forest Pro Forma Model v58 2" xfId="2233" xr:uid="{00000000-0005-0000-0000-00006B080000}"/>
    <cellStyle name="_El_Do_Gila_2x2000MW_CC_101100_partcov4_17%_100%const_D_Consolidated2" xfId="2234" xr:uid="{00000000-0005-0000-0000-00006C080000}"/>
    <cellStyle name="_El_Do_Gila_2x2000MW_CC_101100_partcov4_17%_100%const_D_Consolidated2 2" xfId="2235" xr:uid="{00000000-0005-0000-0000-00006D080000}"/>
    <cellStyle name="_El_Do_Gila_2x2000MW_CC_101100_partcov4_17%_100%const_Model v9.8" xfId="2236" xr:uid="{00000000-0005-0000-0000-00006E080000}"/>
    <cellStyle name="_El_Do_Gila_2x2000MW_CC_101100_partcov4_17%_100%const_Model v9.8 2" xfId="2237" xr:uid="{00000000-0005-0000-0000-00006F080000}"/>
    <cellStyle name="_El_Do_Gila_2x2000MW_CC_101100_partcov4_17%_100%const_Mutilples Template2" xfId="2238" xr:uid="{00000000-0005-0000-0000-000070080000}"/>
    <cellStyle name="_El_Do_Gila_2x2000MW_CC_101100_partcov4_17%_100%const_Mutilples Template2 2" xfId="2239" xr:uid="{00000000-0005-0000-0000-000071080000}"/>
    <cellStyle name="_El_Do_Gila_2x2000MW_CC_101100_partcov4_17%_100%const_Mutilples Template2_Exelon Power Fuel Forecast - Project P 6-11-2004 ver21" xfId="2240" xr:uid="{00000000-0005-0000-0000-000072080000}"/>
    <cellStyle name="_El_Do_Gila_2x2000MW_CC_101100_partcov4_17%_100%const_Mutilples Template2_Exelon Power Fuel Forecast - Project P 6-11-2004 ver21 2" xfId="2241" xr:uid="{00000000-0005-0000-0000-000073080000}"/>
    <cellStyle name="_El_Do_Gila_2x2000MW_CC_101100_partcov4_17%_100%const_Mutilples Template2_ML Outputs" xfId="2242" xr:uid="{00000000-0005-0000-0000-000074080000}"/>
    <cellStyle name="_El_Do_Gila_2x2000MW_CC_101100_partcov4_17%_100%const_Mutilples Template2_ML Outputs 2" xfId="2243" xr:uid="{00000000-0005-0000-0000-000075080000}"/>
    <cellStyle name="_El_Do_Gila_2x2000MW_CC_101100_partcov4_17%_100%const_Mutilples Template2_Project Forest Pro Forma Model v58" xfId="2244" xr:uid="{00000000-0005-0000-0000-000076080000}"/>
    <cellStyle name="_El_Do_Gila_2x2000MW_CC_101100_partcov4_17%_100%const_Mutilples Template2_Project Forest Pro Forma Model v58 2" xfId="2245" xr:uid="{00000000-0005-0000-0000-000077080000}"/>
    <cellStyle name="_El_Do_Gila_2x2000MW_CC_101100_partcov4_17%_100%const_pom consolidated v3" xfId="2246" xr:uid="{00000000-0005-0000-0000-000078080000}"/>
    <cellStyle name="_El_Do_Gila_2x2000MW_CC_101100_partcov4_17%_100%const_pom consolidated v3 2" xfId="2247" xr:uid="{00000000-0005-0000-0000-000079080000}"/>
    <cellStyle name="_El_Do_Gila_2x2000MW_CC_101100_partcov4_17%_100%const_pom consolidated v3_Exelon Power Fuel Forecast - Project P 6-11-2004 ver21" xfId="2248" xr:uid="{00000000-0005-0000-0000-00007A080000}"/>
    <cellStyle name="_El_Do_Gila_2x2000MW_CC_101100_partcov4_17%_100%const_pom consolidated v3_Exelon Power Fuel Forecast - Project P 6-11-2004 ver21 2" xfId="2249" xr:uid="{00000000-0005-0000-0000-00007B080000}"/>
    <cellStyle name="_El_Do_Gila_2x2000MW_CC_101100_partcov4_17%_100%const_pom consolidated v3_ML Outputs" xfId="2250" xr:uid="{00000000-0005-0000-0000-00007C080000}"/>
    <cellStyle name="_El_Do_Gila_2x2000MW_CC_101100_partcov4_17%_100%const_pom consolidated v3_ML Outputs 2" xfId="2251" xr:uid="{00000000-0005-0000-0000-00007D080000}"/>
    <cellStyle name="_El_Do_Gila_2x2000MW_CC_101100_partcov4_17%_100%const_pom consolidated v3_Project Forest Pro Forma Model v58" xfId="2252" xr:uid="{00000000-0005-0000-0000-00007E080000}"/>
    <cellStyle name="_El_Do_Gila_2x2000MW_CC_101100_partcov4_17%_100%const_pom consolidated v3_Project Forest Pro Forma Model v58 2" xfId="2253" xr:uid="{00000000-0005-0000-0000-00007F080000}"/>
    <cellStyle name="_Euro" xfId="2254" xr:uid="{00000000-0005-0000-0000-000080080000}"/>
    <cellStyle name="_Euro 2" xfId="2255" xr:uid="{00000000-0005-0000-0000-000081080000}"/>
    <cellStyle name="_Euro_01 AVP_ Project Infinitum" xfId="2256" xr:uid="{00000000-0005-0000-0000-000082080000}"/>
    <cellStyle name="_Euro_01 TMX BR Revenue mix" xfId="2257" xr:uid="{00000000-0005-0000-0000-000083080000}"/>
    <cellStyle name="_Euro_01 TMX BR Revenue mix 2" xfId="2258" xr:uid="{00000000-0005-0000-0000-000084080000}"/>
    <cellStyle name="_Euro_02 Blended and actual_Telmex_ buying_ NET" xfId="2259" xr:uid="{00000000-0005-0000-0000-000085080000}"/>
    <cellStyle name="_Euro_02 Blended and actual_Telmex_ buying_ NET 2" xfId="2260" xr:uid="{00000000-0005-0000-0000-000086080000}"/>
    <cellStyle name="_Euro_02 TMX Brazil Management Projections_R$" xfId="2261" xr:uid="{00000000-0005-0000-0000-000087080000}"/>
    <cellStyle name="_Euro_03 Projections Comparison - Infinitum" xfId="2262" xr:uid="{00000000-0005-0000-0000-000088080000}"/>
    <cellStyle name="_Euro_03 Projections Comparison - Infinitum 2" xfId="2263" xr:uid="{00000000-0005-0000-0000-000089080000}"/>
    <cellStyle name="_Euro_04 WACC Vivax" xfId="2264" xr:uid="{00000000-0005-0000-0000-00008A080000}"/>
    <cellStyle name="_Euro_04 WACC Vivax 2" xfId="2265" xr:uid="{00000000-0005-0000-0000-00008B080000}"/>
    <cellStyle name="_Euro_05 Embratel DCF Model_NEW" xfId="2266" xr:uid="{00000000-0005-0000-0000-00008C080000}"/>
    <cellStyle name="_Euro_05 Embratel DCF Model_NEW 2" xfId="2267" xr:uid="{00000000-0005-0000-0000-00008D080000}"/>
    <cellStyle name="_Euro_12 Blended and actual _Telmex_buying_Embratel" xfId="2268" xr:uid="{00000000-0005-0000-0000-00008E080000}"/>
    <cellStyle name="_Euro_12 Blended and actual _Telmex_buying_Embratel 2" xfId="2269" xr:uid="{00000000-0005-0000-0000-00008F080000}"/>
    <cellStyle name="_Euro_AP Mobile Demand Check File 4Q w.Pakistan" xfId="2270" xr:uid="{00000000-0005-0000-0000-000090080000}"/>
    <cellStyle name="_Euro_Copy of AP Mobile Demand Check File 4Q2005 v.final" xfId="2271" xr:uid="{00000000-0005-0000-0000-000091080000}"/>
    <cellStyle name="_Euro_Definitions" xfId="2272" xr:uid="{00000000-0005-0000-0000-000092080000}"/>
    <cellStyle name="_Euro_EMT Management Assumptions_v2" xfId="2273" xr:uid="{00000000-0005-0000-0000-000093080000}"/>
    <cellStyle name="_Euro_EMT Management Assumptions_v2 2" xfId="2274" xr:uid="{00000000-0005-0000-0000-000094080000}"/>
    <cellStyle name="_Euro_Net Management Projections_2" xfId="2275" xr:uid="{00000000-0005-0000-0000-000095080000}"/>
    <cellStyle name="_Euro_Net Management Projections_2 2" xfId="2276" xr:uid="{00000000-0005-0000-0000-000096080000}"/>
    <cellStyle name="_Euro_PakistabMob2005" xfId="2277" xr:uid="{00000000-0005-0000-0000-000097080000}"/>
    <cellStyle name="_Euro_PakistabMob2005 2" xfId="2278" xr:uid="{00000000-0005-0000-0000-000098080000}"/>
    <cellStyle name="_Euro_Pay TV Subscribers" xfId="2279" xr:uid="{00000000-0005-0000-0000-000099080000}"/>
    <cellStyle name="_Euro_Pay TV Subscribers 2" xfId="2280" xr:uid="{00000000-0005-0000-0000-00009A080000}"/>
    <cellStyle name="_Euro_Pyramid LA3Q05" xfId="2281" xr:uid="{00000000-0005-0000-0000-00009B080000}"/>
    <cellStyle name="_Euro_Pyramid LA3Q05 2" xfId="2282" xr:uid="{00000000-0005-0000-0000-00009C080000}"/>
    <cellStyle name="_Euro_Revenue Mix Chart" xfId="2283" xr:uid="{00000000-0005-0000-0000-00009D080000}"/>
    <cellStyle name="_Euro_Revenue Mix Chart 2" xfId="2284" xr:uid="{00000000-0005-0000-0000-00009E080000}"/>
    <cellStyle name="_Euro_Sovereign Bonds 060705" xfId="3730" xr:uid="{00000000-0005-0000-0000-00009F080000}"/>
    <cellStyle name="_Euro_Sovereign Bonds 060705 (version 1)" xfId="3731" xr:uid="{00000000-0005-0000-0000-0000A0080000}"/>
    <cellStyle name="_Euro_Sovereign Bonds 060705 (version 1) 2" xfId="3732" xr:uid="{00000000-0005-0000-0000-0000A1080000}"/>
    <cellStyle name="_Euro_Sovereign Bonds 060705 2" xfId="3733" xr:uid="{00000000-0005-0000-0000-0000A2080000}"/>
    <cellStyle name="_Euro_Sovereign Bonds 060705 3" xfId="3734" xr:uid="{00000000-0005-0000-0000-0000A3080000}"/>
    <cellStyle name="_Euro_Sovereign Bonds 060705 4" xfId="3735" xr:uid="{00000000-0005-0000-0000-0000A4080000}"/>
    <cellStyle name="_Euro_Sovereign Bonds 060705_1" xfId="3736" xr:uid="{00000000-0005-0000-0000-0000A5080000}"/>
    <cellStyle name="_Euro_Sovereign Bonds 060705_1 2" xfId="3737" xr:uid="{00000000-0005-0000-0000-0000A6080000}"/>
    <cellStyle name="_Euro_Sovereign Bonds 060705_Consolidação" xfId="3738" xr:uid="{00000000-0005-0000-0000-0000A7080000}"/>
    <cellStyle name="_Euro_Sovereign Bonds 060705_Consolidação 2" xfId="3739" xr:uid="{00000000-0005-0000-0000-0000A8080000}"/>
    <cellStyle name="_Euro_Sovereign Bonds 060705_Dados por segmento julho 06" xfId="3740" xr:uid="{00000000-0005-0000-0000-0000A9080000}"/>
    <cellStyle name="_Euro_Sovereign Bonds 060705_Dados por segmento julho 06 2" xfId="3741" xr:uid="{00000000-0005-0000-0000-0000AA080000}"/>
    <cellStyle name="_Euro_Sovereign Bonds 060705_Estudo de Viabilidade - EXP BHS" xfId="3742" xr:uid="{00000000-0005-0000-0000-0000AB080000}"/>
    <cellStyle name="_Euro_Sovereign Bonds 060705_Estudo de Viabilidade - EXP BHS 2" xfId="3743" xr:uid="{00000000-0005-0000-0000-0000AC080000}"/>
    <cellStyle name="_Euro_Sovereign Bonds 060705_FP 100" xfId="3744" xr:uid="{00000000-0005-0000-0000-0000AD080000}"/>
    <cellStyle name="_Euro_Sovereign Bonds 060705_FP 100 2" xfId="3745" xr:uid="{00000000-0005-0000-0000-0000AE080000}"/>
    <cellStyle name="_EXC-PSEG PF v5" xfId="2285" xr:uid="{00000000-0005-0000-0000-0000AF080000}"/>
    <cellStyle name="_EXC-PSEG PF v5 2" xfId="3746" xr:uid="{00000000-0005-0000-0000-0000B0080000}"/>
    <cellStyle name="_FE coal model v09.5_05EBITDA" xfId="2286" xr:uid="{00000000-0005-0000-0000-0000B1080000}"/>
    <cellStyle name="_FE coal model v09.5_05EBITDA 2" xfId="3747" xr:uid="{00000000-0005-0000-0000-0000B2080000}"/>
    <cellStyle name="_Gila River - Bank Version 12-16" xfId="2287" xr:uid="{00000000-0005-0000-0000-0000B3080000}"/>
    <cellStyle name="_Gila River - Bank Version 12-16 2" xfId="3748" xr:uid="{00000000-0005-0000-0000-0000B4080000}"/>
    <cellStyle name="_Gila River - Bank Version 12-16_Copy of CNL Consolidated model_v.FPL_v37" xfId="2288" xr:uid="{00000000-0005-0000-0000-0000B5080000}"/>
    <cellStyle name="_Gila River - Bank Version 12-16_Copy of CNL Consolidated model_v.FPL_v37 2" xfId="3749" xr:uid="{00000000-0005-0000-0000-0000B6080000}"/>
    <cellStyle name="_Gila River - Bank Version 12-16_Copy of CNL Consolidated model_v.FPL_v37_Exelon Power Fuel Forecast - Project P 6-11-2004 ver21" xfId="2289" xr:uid="{00000000-0005-0000-0000-0000B7080000}"/>
    <cellStyle name="_Gila River - Bank Version 12-16_Copy of CNL Consolidated model_v.FPL_v37_Exelon Power Fuel Forecast - Project P 6-11-2004 ver21 2" xfId="3750" xr:uid="{00000000-0005-0000-0000-0000B8080000}"/>
    <cellStyle name="_Gila River - Bank Version 12-16_Copy of CNL Consolidated model_v.FPL_v37_ML Outputs" xfId="2290" xr:uid="{00000000-0005-0000-0000-0000B9080000}"/>
    <cellStyle name="_Gila River - Bank Version 12-16_Copy of CNL Consolidated model_v.FPL_v37_ML Outputs 2" xfId="3751" xr:uid="{00000000-0005-0000-0000-0000BA080000}"/>
    <cellStyle name="_Gila River - Bank Version 12-16_Copy of CNL Consolidated model_v.FPL_v37_Project Forest Pro Forma Model v58" xfId="2291" xr:uid="{00000000-0005-0000-0000-0000BB080000}"/>
    <cellStyle name="_Gila River - Bank Version 12-16_Copy of CNL Consolidated model_v.FPL_v37_Project Forest Pro Forma Model v58 2" xfId="3752" xr:uid="{00000000-0005-0000-0000-0000BC080000}"/>
    <cellStyle name="_Gila River - Bank Version 12-16_D_Consolidated2" xfId="2292" xr:uid="{00000000-0005-0000-0000-0000BD080000}"/>
    <cellStyle name="_Gila River - Bank Version 12-16_D_Consolidated2 2" xfId="3753" xr:uid="{00000000-0005-0000-0000-0000BE080000}"/>
    <cellStyle name="_Gila River - Bank Version 12-16_Model v9.8" xfId="2293" xr:uid="{00000000-0005-0000-0000-0000BF080000}"/>
    <cellStyle name="_Gila River - Bank Version 12-16_Model v9.8 2" xfId="3754" xr:uid="{00000000-0005-0000-0000-0000C0080000}"/>
    <cellStyle name="_Gila River - Bank Version 12-16_Mutilples Template2" xfId="2294" xr:uid="{00000000-0005-0000-0000-0000C1080000}"/>
    <cellStyle name="_Gila River - Bank Version 12-16_Mutilples Template2 2" xfId="3755" xr:uid="{00000000-0005-0000-0000-0000C2080000}"/>
    <cellStyle name="_Gila River - Bank Version 12-16_Mutilples Template2_Exelon Power Fuel Forecast - Project P 6-11-2004 ver21" xfId="2295" xr:uid="{00000000-0005-0000-0000-0000C3080000}"/>
    <cellStyle name="_Gila River - Bank Version 12-16_Mutilples Template2_Exelon Power Fuel Forecast - Project P 6-11-2004 ver21 2" xfId="3756" xr:uid="{00000000-0005-0000-0000-0000C4080000}"/>
    <cellStyle name="_Gila River - Bank Version 12-16_Mutilples Template2_ML Outputs" xfId="2296" xr:uid="{00000000-0005-0000-0000-0000C5080000}"/>
    <cellStyle name="_Gila River - Bank Version 12-16_Mutilples Template2_ML Outputs 2" xfId="3757" xr:uid="{00000000-0005-0000-0000-0000C6080000}"/>
    <cellStyle name="_Gila River - Bank Version 12-16_Mutilples Template2_Project Forest Pro Forma Model v58" xfId="2297" xr:uid="{00000000-0005-0000-0000-0000C7080000}"/>
    <cellStyle name="_Gila River - Bank Version 12-16_Mutilples Template2_Project Forest Pro Forma Model v58 2" xfId="3758" xr:uid="{00000000-0005-0000-0000-0000C8080000}"/>
    <cellStyle name="_Gila River - Bank Version 12-16_pom consolidated v3" xfId="2298" xr:uid="{00000000-0005-0000-0000-0000C9080000}"/>
    <cellStyle name="_Gila River - Bank Version 12-16_pom consolidated v3 2" xfId="3759" xr:uid="{00000000-0005-0000-0000-0000CA080000}"/>
    <cellStyle name="_Gila River - Bank Version 12-16_pom consolidated v3_Exelon Power Fuel Forecast - Project P 6-11-2004 ver21" xfId="2299" xr:uid="{00000000-0005-0000-0000-0000CB080000}"/>
    <cellStyle name="_Gila River - Bank Version 12-16_pom consolidated v3_Exelon Power Fuel Forecast - Project P 6-11-2004 ver21 2" xfId="3760" xr:uid="{00000000-0005-0000-0000-0000CC080000}"/>
    <cellStyle name="_Gila River - Bank Version 12-16_pom consolidated v3_ML Outputs" xfId="2300" xr:uid="{00000000-0005-0000-0000-0000CD080000}"/>
    <cellStyle name="_Gila River - Bank Version 12-16_pom consolidated v3_ML Outputs 2" xfId="3761" xr:uid="{00000000-0005-0000-0000-0000CE080000}"/>
    <cellStyle name="_Gila River - Bank Version 12-16_pom consolidated v3_Project Forest Pro Forma Model v58" xfId="2301" xr:uid="{00000000-0005-0000-0000-0000CF080000}"/>
    <cellStyle name="_Gila River - Bank Version 12-16_pom consolidated v3_Project Forest Pro Forma Model v58 2" xfId="3762" xr:uid="{00000000-0005-0000-0000-0000D0080000}"/>
    <cellStyle name="_Gila River 062600 v1" xfId="2302" xr:uid="{00000000-0005-0000-0000-0000D1080000}"/>
    <cellStyle name="_Gila River 062600 v1 2" xfId="3763" xr:uid="{00000000-0005-0000-0000-0000D2080000}"/>
    <cellStyle name="_Gila River 062600 v1_Copy of CNL Consolidated model_v.FPL_v37" xfId="2303" xr:uid="{00000000-0005-0000-0000-0000D3080000}"/>
    <cellStyle name="_Gila River 062600 v1_Copy of CNL Consolidated model_v.FPL_v37 2" xfId="3764" xr:uid="{00000000-0005-0000-0000-0000D4080000}"/>
    <cellStyle name="_Gila River 062600 v1_Copy of CNL Consolidated model_v.FPL_v37_Exelon Power Fuel Forecast - Project P 6-11-2004 ver21" xfId="2304" xr:uid="{00000000-0005-0000-0000-0000D5080000}"/>
    <cellStyle name="_Gila River 062600 v1_Copy of CNL Consolidated model_v.FPL_v37_Exelon Power Fuel Forecast - Project P 6-11-2004 ver21 2" xfId="3765" xr:uid="{00000000-0005-0000-0000-0000D6080000}"/>
    <cellStyle name="_Gila River 062600 v1_Copy of CNL Consolidated model_v.FPL_v37_ML Outputs" xfId="2305" xr:uid="{00000000-0005-0000-0000-0000D7080000}"/>
    <cellStyle name="_Gila River 062600 v1_Copy of CNL Consolidated model_v.FPL_v37_ML Outputs 2" xfId="3766" xr:uid="{00000000-0005-0000-0000-0000D8080000}"/>
    <cellStyle name="_Gila River 062600 v1_Copy of CNL Consolidated model_v.FPL_v37_Project Forest Pro Forma Model v58" xfId="2306" xr:uid="{00000000-0005-0000-0000-0000D9080000}"/>
    <cellStyle name="_Gila River 062600 v1_Copy of CNL Consolidated model_v.FPL_v37_Project Forest Pro Forma Model v58 2" xfId="3767" xr:uid="{00000000-0005-0000-0000-0000DA080000}"/>
    <cellStyle name="_Gila River 062600 v1_D_Consolidated2" xfId="2307" xr:uid="{00000000-0005-0000-0000-0000DB080000}"/>
    <cellStyle name="_Gila River 062600 v1_D_Consolidated2 2" xfId="3768" xr:uid="{00000000-0005-0000-0000-0000DC080000}"/>
    <cellStyle name="_Gila River 062600 v1_Model v9.8" xfId="2308" xr:uid="{00000000-0005-0000-0000-0000DD080000}"/>
    <cellStyle name="_Gila River 062600 v1_Model v9.8 2" xfId="3769" xr:uid="{00000000-0005-0000-0000-0000DE080000}"/>
    <cellStyle name="_Gila River 062600 v1_Mutilples Template2" xfId="2309" xr:uid="{00000000-0005-0000-0000-0000DF080000}"/>
    <cellStyle name="_Gila River 062600 v1_Mutilples Template2 2" xfId="3770" xr:uid="{00000000-0005-0000-0000-0000E0080000}"/>
    <cellStyle name="_Gila River 062600 v1_Mutilples Template2_Exelon Power Fuel Forecast - Project P 6-11-2004 ver21" xfId="2310" xr:uid="{00000000-0005-0000-0000-0000E1080000}"/>
    <cellStyle name="_Gila River 062600 v1_Mutilples Template2_Exelon Power Fuel Forecast - Project P 6-11-2004 ver21 2" xfId="3771" xr:uid="{00000000-0005-0000-0000-0000E2080000}"/>
    <cellStyle name="_Gila River 062600 v1_Mutilples Template2_ML Outputs" xfId="2311" xr:uid="{00000000-0005-0000-0000-0000E3080000}"/>
    <cellStyle name="_Gila River 062600 v1_Mutilples Template2_ML Outputs 2" xfId="3772" xr:uid="{00000000-0005-0000-0000-0000E4080000}"/>
    <cellStyle name="_Gila River 062600 v1_Mutilples Template2_Project Forest Pro Forma Model v58" xfId="2312" xr:uid="{00000000-0005-0000-0000-0000E5080000}"/>
    <cellStyle name="_Gila River 062600 v1_Mutilples Template2_Project Forest Pro Forma Model v58 2" xfId="3773" xr:uid="{00000000-0005-0000-0000-0000E6080000}"/>
    <cellStyle name="_Gila River 062600 v1_pom consolidated v3" xfId="2313" xr:uid="{00000000-0005-0000-0000-0000E7080000}"/>
    <cellStyle name="_Gila River 062600 v1_pom consolidated v3 2" xfId="3774" xr:uid="{00000000-0005-0000-0000-0000E8080000}"/>
    <cellStyle name="_Gila River 062600 v1_pom consolidated v3_Exelon Power Fuel Forecast - Project P 6-11-2004 ver21" xfId="2314" xr:uid="{00000000-0005-0000-0000-0000E9080000}"/>
    <cellStyle name="_Gila River 062600 v1_pom consolidated v3_Exelon Power Fuel Forecast - Project P 6-11-2004 ver21 2" xfId="3775" xr:uid="{00000000-0005-0000-0000-0000EA080000}"/>
    <cellStyle name="_Gila River 062600 v1_pom consolidated v3_ML Outputs" xfId="2315" xr:uid="{00000000-0005-0000-0000-0000EB080000}"/>
    <cellStyle name="_Gila River 062600 v1_pom consolidated v3_ML Outputs 2" xfId="3776" xr:uid="{00000000-0005-0000-0000-0000EC080000}"/>
    <cellStyle name="_Gila River 062600 v1_pom consolidated v3_Project Forest Pro Forma Model v58" xfId="2316" xr:uid="{00000000-0005-0000-0000-0000ED080000}"/>
    <cellStyle name="_Gila River 062600 v1_pom consolidated v3_Project Forest Pro Forma Model v58 2" xfId="3777" xr:uid="{00000000-0005-0000-0000-0000EE080000}"/>
    <cellStyle name="_Gila River 2-13.xls Chart 1149" xfId="2317" xr:uid="{00000000-0005-0000-0000-0000EF080000}"/>
    <cellStyle name="_Gila River 2-13.xls Chart 1149 2" xfId="3778" xr:uid="{00000000-0005-0000-0000-0000F0080000}"/>
    <cellStyle name="_Gila River 2-13.xls Chart 1149_Copy of CNL Consolidated model_v.FPL_v37" xfId="2318" xr:uid="{00000000-0005-0000-0000-0000F1080000}"/>
    <cellStyle name="_Gila River 2-13.xls Chart 1149_Copy of CNL Consolidated model_v.FPL_v37 2" xfId="3779" xr:uid="{00000000-0005-0000-0000-0000F2080000}"/>
    <cellStyle name="_Gila River 2-13.xls Chart 1149_Copy of CNL Consolidated model_v.FPL_v37_Exelon Power Fuel Forecast - Project P 6-11-2004 ver21" xfId="2319" xr:uid="{00000000-0005-0000-0000-0000F3080000}"/>
    <cellStyle name="_Gila River 2-13.xls Chart 1149_Copy of CNL Consolidated model_v.FPL_v37_Exelon Power Fuel Forecast - Project P 6-11-2004 ver21 2" xfId="3780" xr:uid="{00000000-0005-0000-0000-0000F4080000}"/>
    <cellStyle name="_Gila River 2-13.xls Chart 1149_Copy of CNL Consolidated model_v.FPL_v37_ML Outputs" xfId="2320" xr:uid="{00000000-0005-0000-0000-0000F5080000}"/>
    <cellStyle name="_Gila River 2-13.xls Chart 1149_Copy of CNL Consolidated model_v.FPL_v37_ML Outputs 2" xfId="3781" xr:uid="{00000000-0005-0000-0000-0000F6080000}"/>
    <cellStyle name="_Gila River 2-13.xls Chart 1149_Copy of CNL Consolidated model_v.FPL_v37_Project Forest Pro Forma Model v58" xfId="2321" xr:uid="{00000000-0005-0000-0000-0000F7080000}"/>
    <cellStyle name="_Gila River 2-13.xls Chart 1149_Copy of CNL Consolidated model_v.FPL_v37_Project Forest Pro Forma Model v58 2" xfId="3782" xr:uid="{00000000-0005-0000-0000-0000F8080000}"/>
    <cellStyle name="_Gila River 2-13.xls Chart 1149_D_Consolidated2" xfId="2322" xr:uid="{00000000-0005-0000-0000-0000F9080000}"/>
    <cellStyle name="_Gila River 2-13.xls Chart 1149_D_Consolidated2 2" xfId="3783" xr:uid="{00000000-0005-0000-0000-0000FA080000}"/>
    <cellStyle name="_Gila River 2-13.xls Chart 1149_Model v9.8" xfId="2323" xr:uid="{00000000-0005-0000-0000-0000FB080000}"/>
    <cellStyle name="_Gila River 2-13.xls Chart 1149_Model v9.8 2" xfId="3784" xr:uid="{00000000-0005-0000-0000-0000FC080000}"/>
    <cellStyle name="_Gila River 2-13.xls Chart 1149_Mutilples Template2" xfId="2324" xr:uid="{00000000-0005-0000-0000-0000FD080000}"/>
    <cellStyle name="_Gila River 2-13.xls Chart 1149_Mutilples Template2 2" xfId="3785" xr:uid="{00000000-0005-0000-0000-0000FE080000}"/>
    <cellStyle name="_Gila River 2-13.xls Chart 1149_Mutilples Template2_Exelon Power Fuel Forecast - Project P 6-11-2004 ver21" xfId="2325" xr:uid="{00000000-0005-0000-0000-0000FF080000}"/>
    <cellStyle name="_Gila River 2-13.xls Chart 1149_Mutilples Template2_Exelon Power Fuel Forecast - Project P 6-11-2004 ver21 2" xfId="3786" xr:uid="{00000000-0005-0000-0000-000000090000}"/>
    <cellStyle name="_Gila River 2-13.xls Chart 1149_Mutilples Template2_ML Outputs" xfId="2326" xr:uid="{00000000-0005-0000-0000-000001090000}"/>
    <cellStyle name="_Gila River 2-13.xls Chart 1149_Mutilples Template2_ML Outputs 2" xfId="3787" xr:uid="{00000000-0005-0000-0000-000002090000}"/>
    <cellStyle name="_Gila River 2-13.xls Chart 1149_Mutilples Template2_Project Forest Pro Forma Model v58" xfId="2327" xr:uid="{00000000-0005-0000-0000-000003090000}"/>
    <cellStyle name="_Gila River 2-13.xls Chart 1149_Mutilples Template2_Project Forest Pro Forma Model v58 2" xfId="3788" xr:uid="{00000000-0005-0000-0000-000004090000}"/>
    <cellStyle name="_Gila River 2-13.xls Chart 1149_pom consolidated v3" xfId="2328" xr:uid="{00000000-0005-0000-0000-000005090000}"/>
    <cellStyle name="_Gila River 2-13.xls Chart 1149_pom consolidated v3 2" xfId="3789" xr:uid="{00000000-0005-0000-0000-000006090000}"/>
    <cellStyle name="_Gila River 2-13.xls Chart 1149_pom consolidated v3_Exelon Power Fuel Forecast - Project P 6-11-2004 ver21" xfId="2329" xr:uid="{00000000-0005-0000-0000-000007090000}"/>
    <cellStyle name="_Gila River 2-13.xls Chart 1149_pom consolidated v3_Exelon Power Fuel Forecast - Project P 6-11-2004 ver21 2" xfId="3790" xr:uid="{00000000-0005-0000-0000-000008090000}"/>
    <cellStyle name="_Gila River 2-13.xls Chart 1149_pom consolidated v3_ML Outputs" xfId="2330" xr:uid="{00000000-0005-0000-0000-000009090000}"/>
    <cellStyle name="_Gila River 2-13.xls Chart 1149_pom consolidated v3_ML Outputs 2" xfId="3791" xr:uid="{00000000-0005-0000-0000-00000A090000}"/>
    <cellStyle name="_Gila River 2-13.xls Chart 1149_pom consolidated v3_Project Forest Pro Forma Model v58" xfId="2331" xr:uid="{00000000-0005-0000-0000-00000B090000}"/>
    <cellStyle name="_Gila River 2-13.xls Chart 1149_pom consolidated v3_Project Forest Pro Forma Model v58 2" xfId="3792" xr:uid="{00000000-0005-0000-0000-00000C090000}"/>
    <cellStyle name="_Gila River 3-29_25yr" xfId="2332" xr:uid="{00000000-0005-0000-0000-00000D090000}"/>
    <cellStyle name="_Gila River 3-29_25yr 2" xfId="3793" xr:uid="{00000000-0005-0000-0000-00000E090000}"/>
    <cellStyle name="_Gila River 3-29_25yr_Copy of CNL Consolidated model_v.FPL_v37" xfId="2333" xr:uid="{00000000-0005-0000-0000-00000F090000}"/>
    <cellStyle name="_Gila River 3-29_25yr_Copy of CNL Consolidated model_v.FPL_v37 2" xfId="3794" xr:uid="{00000000-0005-0000-0000-000010090000}"/>
    <cellStyle name="_Gila River 3-29_25yr_Copy of CNL Consolidated model_v.FPL_v37_Exelon Power Fuel Forecast - Project P 6-11-2004 ver21" xfId="2334" xr:uid="{00000000-0005-0000-0000-000011090000}"/>
    <cellStyle name="_Gila River 3-29_25yr_Copy of CNL Consolidated model_v.FPL_v37_Exelon Power Fuel Forecast - Project P 6-11-2004 ver21 2" xfId="3795" xr:uid="{00000000-0005-0000-0000-000012090000}"/>
    <cellStyle name="_Gila River 3-29_25yr_Copy of CNL Consolidated model_v.FPL_v37_ML Outputs" xfId="2335" xr:uid="{00000000-0005-0000-0000-000013090000}"/>
    <cellStyle name="_Gila River 3-29_25yr_Copy of CNL Consolidated model_v.FPL_v37_ML Outputs 2" xfId="3796" xr:uid="{00000000-0005-0000-0000-000014090000}"/>
    <cellStyle name="_Gila River 3-29_25yr_Copy of CNL Consolidated model_v.FPL_v37_Project Forest Pro Forma Model v58" xfId="2336" xr:uid="{00000000-0005-0000-0000-000015090000}"/>
    <cellStyle name="_Gila River 3-29_25yr_Copy of CNL Consolidated model_v.FPL_v37_Project Forest Pro Forma Model v58 2" xfId="3797" xr:uid="{00000000-0005-0000-0000-000016090000}"/>
    <cellStyle name="_Gila River 3-29_25yr_D_Consolidated2" xfId="2337" xr:uid="{00000000-0005-0000-0000-000017090000}"/>
    <cellStyle name="_Gila River 3-29_25yr_D_Consolidated2 2" xfId="3798" xr:uid="{00000000-0005-0000-0000-000018090000}"/>
    <cellStyle name="_Gila River 3-29_25yr_Model v9.8" xfId="2338" xr:uid="{00000000-0005-0000-0000-000019090000}"/>
    <cellStyle name="_Gila River 3-29_25yr_Model v9.8 2" xfId="3799" xr:uid="{00000000-0005-0000-0000-00001A090000}"/>
    <cellStyle name="_Gila River 3-29_25yr_Mutilples Template2" xfId="2339" xr:uid="{00000000-0005-0000-0000-00001B090000}"/>
    <cellStyle name="_Gila River 3-29_25yr_Mutilples Template2 2" xfId="3800" xr:uid="{00000000-0005-0000-0000-00001C090000}"/>
    <cellStyle name="_Gila River 3-29_25yr_Mutilples Template2_Exelon Power Fuel Forecast - Project P 6-11-2004 ver21" xfId="2340" xr:uid="{00000000-0005-0000-0000-00001D090000}"/>
    <cellStyle name="_Gila River 3-29_25yr_Mutilples Template2_Exelon Power Fuel Forecast - Project P 6-11-2004 ver21 2" xfId="3801" xr:uid="{00000000-0005-0000-0000-00001E090000}"/>
    <cellStyle name="_Gila River 3-29_25yr_Mutilples Template2_ML Outputs" xfId="2341" xr:uid="{00000000-0005-0000-0000-00001F090000}"/>
    <cellStyle name="_Gila River 3-29_25yr_Mutilples Template2_ML Outputs 2" xfId="3802" xr:uid="{00000000-0005-0000-0000-000020090000}"/>
    <cellStyle name="_Gila River 3-29_25yr_Mutilples Template2_Project Forest Pro Forma Model v58" xfId="2342" xr:uid="{00000000-0005-0000-0000-000021090000}"/>
    <cellStyle name="_Gila River 3-29_25yr_Mutilples Template2_Project Forest Pro Forma Model v58 2" xfId="3803" xr:uid="{00000000-0005-0000-0000-000022090000}"/>
    <cellStyle name="_Gila River 3-29_25yr_pom consolidated v3" xfId="2343" xr:uid="{00000000-0005-0000-0000-000023090000}"/>
    <cellStyle name="_Gila River 3-29_25yr_pom consolidated v3 2" xfId="3804" xr:uid="{00000000-0005-0000-0000-000024090000}"/>
    <cellStyle name="_Gila River 3-29_25yr_pom consolidated v3_Exelon Power Fuel Forecast - Project P 6-11-2004 ver21" xfId="2344" xr:uid="{00000000-0005-0000-0000-000025090000}"/>
    <cellStyle name="_Gila River 3-29_25yr_pom consolidated v3_Exelon Power Fuel Forecast - Project P 6-11-2004 ver21 2" xfId="3805" xr:uid="{00000000-0005-0000-0000-000026090000}"/>
    <cellStyle name="_Gila River 3-29_25yr_pom consolidated v3_ML Outputs" xfId="2345" xr:uid="{00000000-0005-0000-0000-000027090000}"/>
    <cellStyle name="_Gila River 3-29_25yr_pom consolidated v3_ML Outputs 2" xfId="3806" xr:uid="{00000000-0005-0000-0000-000028090000}"/>
    <cellStyle name="_Gila River 3-29_25yr_pom consolidated v3_Project Forest Pro Forma Model v58" xfId="2346" xr:uid="{00000000-0005-0000-0000-000029090000}"/>
    <cellStyle name="_Gila River 3-29_25yr_pom consolidated v3_Project Forest Pro Forma Model v58 2" xfId="3807" xr:uid="{00000000-0005-0000-0000-00002A090000}"/>
    <cellStyle name="_GOODWILL" xfId="2347" xr:uid="{00000000-0005-0000-0000-00002B090000}"/>
    <cellStyle name="_GOODWILL 2" xfId="3808" xr:uid="{00000000-0005-0000-0000-00002C090000}"/>
    <cellStyle name="_Hamakua_refinance_042301" xfId="2348" xr:uid="{00000000-0005-0000-0000-00002D090000}"/>
    <cellStyle name="_Hamakua_refinance_042301 2" xfId="3809" xr:uid="{00000000-0005-0000-0000-00002E090000}"/>
    <cellStyle name="_Hamakua_refinance_042301_Copy of CNL Consolidated model_v.FPL_v37" xfId="2349" xr:uid="{00000000-0005-0000-0000-00002F090000}"/>
    <cellStyle name="_Hamakua_refinance_042301_Copy of CNL Consolidated model_v.FPL_v37 2" xfId="3810" xr:uid="{00000000-0005-0000-0000-000030090000}"/>
    <cellStyle name="_Hamakua_refinance_042301_Copy of CNL Consolidated model_v.FPL_v37_Exelon Power Fuel Forecast - Project P 6-11-2004 ver21" xfId="2350" xr:uid="{00000000-0005-0000-0000-000031090000}"/>
    <cellStyle name="_Hamakua_refinance_042301_Copy of CNL Consolidated model_v.FPL_v37_Exelon Power Fuel Forecast - Project P 6-11-2004 ver21 2" xfId="3811" xr:uid="{00000000-0005-0000-0000-000032090000}"/>
    <cellStyle name="_Hamakua_refinance_042301_Copy of CNL Consolidated model_v.FPL_v37_ML Outputs" xfId="2351" xr:uid="{00000000-0005-0000-0000-000033090000}"/>
    <cellStyle name="_Hamakua_refinance_042301_Copy of CNL Consolidated model_v.FPL_v37_ML Outputs 2" xfId="3812" xr:uid="{00000000-0005-0000-0000-000034090000}"/>
    <cellStyle name="_Hamakua_refinance_042301_Copy of CNL Consolidated model_v.FPL_v37_Project Forest Pro Forma Model v58" xfId="2352" xr:uid="{00000000-0005-0000-0000-000035090000}"/>
    <cellStyle name="_Hamakua_refinance_042301_Copy of CNL Consolidated model_v.FPL_v37_Project Forest Pro Forma Model v58 2" xfId="3813" xr:uid="{00000000-0005-0000-0000-000036090000}"/>
    <cellStyle name="_Hamakua_refinance_042301_D_Consolidated2" xfId="2353" xr:uid="{00000000-0005-0000-0000-000037090000}"/>
    <cellStyle name="_Hamakua_refinance_042301_D_Consolidated2 2" xfId="3814" xr:uid="{00000000-0005-0000-0000-000038090000}"/>
    <cellStyle name="_Hamakua_refinance_042301_Model v9.8" xfId="2354" xr:uid="{00000000-0005-0000-0000-000039090000}"/>
    <cellStyle name="_Hamakua_refinance_042301_Model v9.8 2" xfId="3815" xr:uid="{00000000-0005-0000-0000-00003A090000}"/>
    <cellStyle name="_Hamakua_refinance_042301_Mutilples Template2" xfId="2355" xr:uid="{00000000-0005-0000-0000-00003B090000}"/>
    <cellStyle name="_Hamakua_refinance_042301_Mutilples Template2 2" xfId="3816" xr:uid="{00000000-0005-0000-0000-00003C090000}"/>
    <cellStyle name="_Hamakua_refinance_042301_Mutilples Template2_Exelon Power Fuel Forecast - Project P 6-11-2004 ver21" xfId="2356" xr:uid="{00000000-0005-0000-0000-00003D090000}"/>
    <cellStyle name="_Hamakua_refinance_042301_Mutilples Template2_Exelon Power Fuel Forecast - Project P 6-11-2004 ver21 2" xfId="3817" xr:uid="{00000000-0005-0000-0000-00003E090000}"/>
    <cellStyle name="_Hamakua_refinance_042301_Mutilples Template2_ML Outputs" xfId="2357" xr:uid="{00000000-0005-0000-0000-00003F090000}"/>
    <cellStyle name="_Hamakua_refinance_042301_Mutilples Template2_ML Outputs 2" xfId="3818" xr:uid="{00000000-0005-0000-0000-000040090000}"/>
    <cellStyle name="_Hamakua_refinance_042301_Mutilples Template2_Project Forest Pro Forma Model v58" xfId="2358" xr:uid="{00000000-0005-0000-0000-000041090000}"/>
    <cellStyle name="_Hamakua_refinance_042301_Mutilples Template2_Project Forest Pro Forma Model v58 2" xfId="3819" xr:uid="{00000000-0005-0000-0000-000042090000}"/>
    <cellStyle name="_Hamakua_refinance_042301_pom consolidated v3" xfId="2359" xr:uid="{00000000-0005-0000-0000-000043090000}"/>
    <cellStyle name="_Hamakua_refinance_042301_pom consolidated v3 2" xfId="3820" xr:uid="{00000000-0005-0000-0000-000044090000}"/>
    <cellStyle name="_Hamakua_refinance_042301_pom consolidated v3_Exelon Power Fuel Forecast - Project P 6-11-2004 ver21" xfId="2360" xr:uid="{00000000-0005-0000-0000-000045090000}"/>
    <cellStyle name="_Hamakua_refinance_042301_pom consolidated v3_Exelon Power Fuel Forecast - Project P 6-11-2004 ver21 2" xfId="3821" xr:uid="{00000000-0005-0000-0000-000046090000}"/>
    <cellStyle name="_Hamakua_refinance_042301_pom consolidated v3_ML Outputs" xfId="2361" xr:uid="{00000000-0005-0000-0000-000047090000}"/>
    <cellStyle name="_Hamakua_refinance_042301_pom consolidated v3_ML Outputs 2" xfId="3822" xr:uid="{00000000-0005-0000-0000-000048090000}"/>
    <cellStyle name="_Hamakua_refinance_042301_pom consolidated v3_Project Forest Pro Forma Model v58" xfId="2362" xr:uid="{00000000-0005-0000-0000-000049090000}"/>
    <cellStyle name="_Hamakua_refinance_042301_pom consolidated v3_Project Forest Pro Forma Model v58 2" xfId="3823" xr:uid="{00000000-0005-0000-0000-00004A090000}"/>
    <cellStyle name="_Heading" xfId="2363" xr:uid="{00000000-0005-0000-0000-00004B090000}"/>
    <cellStyle name="_Heading_02 TMX Brazil Management Projections_R$" xfId="3824" xr:uid="{00000000-0005-0000-0000-00004C090000}"/>
    <cellStyle name="_Heading_02 WACC" xfId="3825" xr:uid="{00000000-0005-0000-0000-00004D090000}"/>
    <cellStyle name="_Heading_05 WACC" xfId="3826" xr:uid="{00000000-0005-0000-0000-00004E090000}"/>
    <cellStyle name="_Heading_10 yr UST data" xfId="3827" xr:uid="{00000000-0005-0000-0000-00004F090000}"/>
    <cellStyle name="_Heading_AP Mobile Demand Check File 4Q w.Pakistan" xfId="2364" xr:uid="{00000000-0005-0000-0000-000050090000}"/>
    <cellStyle name="_Heading_Beatles WACC Calculation" xfId="3828" xr:uid="{00000000-0005-0000-0000-000051090000}"/>
    <cellStyle name="_Heading_Copy of AP Mobile Demand Check File 4Q2005 v.final" xfId="2365" xr:uid="{00000000-0005-0000-0000-000052090000}"/>
    <cellStyle name="_Heading_Definitions" xfId="2366" xr:uid="{00000000-0005-0000-0000-000053090000}"/>
    <cellStyle name="_Heading_PakistabMob2005" xfId="2367" xr:uid="{00000000-0005-0000-0000-000054090000}"/>
    <cellStyle name="_Heading_prestemp" xfId="3829" xr:uid="{00000000-0005-0000-0000-000055090000}"/>
    <cellStyle name="_Heading_Pyramid LA3Q05" xfId="2368" xr:uid="{00000000-0005-0000-0000-000056090000}"/>
    <cellStyle name="_Headline" xfId="3830" xr:uid="{00000000-0005-0000-0000-000057090000}"/>
    <cellStyle name="_Highlight" xfId="2369" xr:uid="{00000000-0005-0000-0000-000058090000}"/>
    <cellStyle name="_Highlight 2" xfId="3831" xr:uid="{00000000-0005-0000-0000-000059090000}"/>
    <cellStyle name="_Highlight_AP Mobile Demand Check File 4Q w.Pakistan" xfId="2370" xr:uid="{00000000-0005-0000-0000-00005A090000}"/>
    <cellStyle name="_Highlight_Copy of AP Mobile Demand Check File 4Q2005 v.final" xfId="2371" xr:uid="{00000000-0005-0000-0000-00005B090000}"/>
    <cellStyle name="_Highlight_Definitions" xfId="2372" xr:uid="{00000000-0005-0000-0000-00005C090000}"/>
    <cellStyle name="_Highlight_PakistabMob2005" xfId="2373" xr:uid="{00000000-0005-0000-0000-00005D090000}"/>
    <cellStyle name="_Highlight_PakistabMob2005 2" xfId="3832" xr:uid="{00000000-0005-0000-0000-00005E090000}"/>
    <cellStyle name="_Highlight_Pyramid LA3Q05" xfId="2374" xr:uid="{00000000-0005-0000-0000-00005F090000}"/>
    <cellStyle name="_Highlight_Pyramid LA3Q05 2" xfId="3833" xr:uid="{00000000-0005-0000-0000-000060090000}"/>
    <cellStyle name="_I Park" xfId="2375" xr:uid="{00000000-0005-0000-0000-000061090000}"/>
    <cellStyle name="_Illinois 111100 v1" xfId="2376" xr:uid="{00000000-0005-0000-0000-000062090000}"/>
    <cellStyle name="_Illinois 111100 v1 2" xfId="3834" xr:uid="{00000000-0005-0000-0000-000063090000}"/>
    <cellStyle name="_Illinois 111100 v1_Copy of CNL Consolidated model_v.FPL_v37" xfId="2377" xr:uid="{00000000-0005-0000-0000-000064090000}"/>
    <cellStyle name="_Illinois 111100 v1_Copy of CNL Consolidated model_v.FPL_v37 2" xfId="3835" xr:uid="{00000000-0005-0000-0000-000065090000}"/>
    <cellStyle name="_Illinois 111100 v1_Copy of CNL Consolidated model_v.FPL_v37_Exelon Power Fuel Forecast - Project P 6-11-2004 ver21" xfId="2378" xr:uid="{00000000-0005-0000-0000-000066090000}"/>
    <cellStyle name="_Illinois 111100 v1_Copy of CNL Consolidated model_v.FPL_v37_Exelon Power Fuel Forecast - Project P 6-11-2004 ver21 2" xfId="3836" xr:uid="{00000000-0005-0000-0000-000067090000}"/>
    <cellStyle name="_Illinois 111100 v1_Copy of CNL Consolidated model_v.FPL_v37_ML Outputs" xfId="2379" xr:uid="{00000000-0005-0000-0000-000068090000}"/>
    <cellStyle name="_Illinois 111100 v1_Copy of CNL Consolidated model_v.FPL_v37_ML Outputs 2" xfId="3837" xr:uid="{00000000-0005-0000-0000-000069090000}"/>
    <cellStyle name="_Illinois 111100 v1_Copy of CNL Consolidated model_v.FPL_v37_Project Forest Pro Forma Model v58" xfId="2380" xr:uid="{00000000-0005-0000-0000-00006A090000}"/>
    <cellStyle name="_Illinois 111100 v1_Copy of CNL Consolidated model_v.FPL_v37_Project Forest Pro Forma Model v58 2" xfId="3838" xr:uid="{00000000-0005-0000-0000-00006B090000}"/>
    <cellStyle name="_Illinois 111100 v1_D_Consolidated2" xfId="2381" xr:uid="{00000000-0005-0000-0000-00006C090000}"/>
    <cellStyle name="_Illinois 111100 v1_D_Consolidated2 2" xfId="3839" xr:uid="{00000000-0005-0000-0000-00006D090000}"/>
    <cellStyle name="_Illinois 111100 v1_Model v9.8" xfId="2382" xr:uid="{00000000-0005-0000-0000-00006E090000}"/>
    <cellStyle name="_Illinois 111100 v1_Model v9.8 2" xfId="3840" xr:uid="{00000000-0005-0000-0000-00006F090000}"/>
    <cellStyle name="_Illinois 111100 v1_Mutilples Template2" xfId="2383" xr:uid="{00000000-0005-0000-0000-000070090000}"/>
    <cellStyle name="_Illinois 111100 v1_Mutilples Template2 2" xfId="3841" xr:uid="{00000000-0005-0000-0000-000071090000}"/>
    <cellStyle name="_Illinois 111100 v1_Mutilples Template2_Exelon Power Fuel Forecast - Project P 6-11-2004 ver21" xfId="2384" xr:uid="{00000000-0005-0000-0000-000072090000}"/>
    <cellStyle name="_Illinois 111100 v1_Mutilples Template2_Exelon Power Fuel Forecast - Project P 6-11-2004 ver21 2" xfId="3842" xr:uid="{00000000-0005-0000-0000-000073090000}"/>
    <cellStyle name="_Illinois 111100 v1_Mutilples Template2_ML Outputs" xfId="2385" xr:uid="{00000000-0005-0000-0000-000074090000}"/>
    <cellStyle name="_Illinois 111100 v1_Mutilples Template2_ML Outputs 2" xfId="3843" xr:uid="{00000000-0005-0000-0000-000075090000}"/>
    <cellStyle name="_Illinois 111100 v1_Mutilples Template2_Project Forest Pro Forma Model v58" xfId="2386" xr:uid="{00000000-0005-0000-0000-000076090000}"/>
    <cellStyle name="_Illinois 111100 v1_Mutilples Template2_Project Forest Pro Forma Model v58 2" xfId="3844" xr:uid="{00000000-0005-0000-0000-000077090000}"/>
    <cellStyle name="_Illinois 111100 v1_pom consolidated v3" xfId="2387" xr:uid="{00000000-0005-0000-0000-000078090000}"/>
    <cellStyle name="_Illinois 111100 v1_pom consolidated v3 2" xfId="3845" xr:uid="{00000000-0005-0000-0000-000079090000}"/>
    <cellStyle name="_Illinois 111100 v1_pom consolidated v3_Exelon Power Fuel Forecast - Project P 6-11-2004 ver21" xfId="2388" xr:uid="{00000000-0005-0000-0000-00007A090000}"/>
    <cellStyle name="_Illinois 111100 v1_pom consolidated v3_Exelon Power Fuel Forecast - Project P 6-11-2004 ver21 2" xfId="3846" xr:uid="{00000000-0005-0000-0000-00007B090000}"/>
    <cellStyle name="_Illinois 111100 v1_pom consolidated v3_ML Outputs" xfId="2389" xr:uid="{00000000-0005-0000-0000-00007C090000}"/>
    <cellStyle name="_Illinois 111100 v1_pom consolidated v3_ML Outputs 2" xfId="3847" xr:uid="{00000000-0005-0000-0000-00007D090000}"/>
    <cellStyle name="_Illinois 111100 v1_pom consolidated v3_Project Forest Pro Forma Model v58" xfId="2390" xr:uid="{00000000-0005-0000-0000-00007E090000}"/>
    <cellStyle name="_Illinois 111100 v1_pom consolidated v3_Project Forest Pro Forma Model v58 2" xfId="3848" xr:uid="{00000000-0005-0000-0000-00007F090000}"/>
    <cellStyle name="_Latam dec 2005" xfId="2391" xr:uid="{00000000-0005-0000-0000-000080090000}"/>
    <cellStyle name="_LDC Rate Base Model_v5" xfId="2392" xr:uid="{00000000-0005-0000-0000-000081090000}"/>
    <cellStyle name="_LDC Rate Base Model_v5_Exelon Power Fuel Forecast - Project P 6-11-2004 ver21" xfId="2393" xr:uid="{00000000-0005-0000-0000-000082090000}"/>
    <cellStyle name="_LDC Rate Base Model_v5_ML Outputs" xfId="2394" xr:uid="{00000000-0005-0000-0000-000083090000}"/>
    <cellStyle name="_LDC Rate Base Model_v5_Project Forest Pro Forma Model v58" xfId="2395" xr:uid="{00000000-0005-0000-0000-000084090000}"/>
    <cellStyle name="_Loan Draw Schedule" xfId="2396" xr:uid="{00000000-0005-0000-0000-000085090000}"/>
    <cellStyle name="_Loan Draw Schedule 2" xfId="3849" xr:uid="{00000000-0005-0000-0000-000086090000}"/>
    <cellStyle name="_Loan Draw Schedule_Copy of CNL Consolidated model_v.FPL_v37" xfId="2397" xr:uid="{00000000-0005-0000-0000-000087090000}"/>
    <cellStyle name="_Loan Draw Schedule_Copy of CNL Consolidated model_v.FPL_v37 2" xfId="3850" xr:uid="{00000000-0005-0000-0000-000088090000}"/>
    <cellStyle name="_Loan Draw Schedule_Copy of CNL Consolidated model_v.FPL_v37_Exelon Power Fuel Forecast - Project P 6-11-2004 ver21" xfId="2398" xr:uid="{00000000-0005-0000-0000-000089090000}"/>
    <cellStyle name="_Loan Draw Schedule_Copy of CNL Consolidated model_v.FPL_v37_Exelon Power Fuel Forecast - Project P 6-11-2004 ver21 2" xfId="3851" xr:uid="{00000000-0005-0000-0000-00008A090000}"/>
    <cellStyle name="_Loan Draw Schedule_Copy of CNL Consolidated model_v.FPL_v37_ML Outputs" xfId="2399" xr:uid="{00000000-0005-0000-0000-00008B090000}"/>
    <cellStyle name="_Loan Draw Schedule_Copy of CNL Consolidated model_v.FPL_v37_ML Outputs 2" xfId="3852" xr:uid="{00000000-0005-0000-0000-00008C090000}"/>
    <cellStyle name="_Loan Draw Schedule_Copy of CNL Consolidated model_v.FPL_v37_Project Forest Pro Forma Model v58" xfId="2400" xr:uid="{00000000-0005-0000-0000-00008D090000}"/>
    <cellStyle name="_Loan Draw Schedule_Copy of CNL Consolidated model_v.FPL_v37_Project Forest Pro Forma Model v58 2" xfId="3853" xr:uid="{00000000-0005-0000-0000-00008E090000}"/>
    <cellStyle name="_Loan Draw Schedule_D_Consolidated2" xfId="2401" xr:uid="{00000000-0005-0000-0000-00008F090000}"/>
    <cellStyle name="_Loan Draw Schedule_D_Consolidated2 2" xfId="3854" xr:uid="{00000000-0005-0000-0000-000090090000}"/>
    <cellStyle name="_Loan Draw Schedule_Model v9.8" xfId="2402" xr:uid="{00000000-0005-0000-0000-000091090000}"/>
    <cellStyle name="_Loan Draw Schedule_Model v9.8 2" xfId="3855" xr:uid="{00000000-0005-0000-0000-000092090000}"/>
    <cellStyle name="_Loan Draw Schedule_Mutilples Template2" xfId="2403" xr:uid="{00000000-0005-0000-0000-000093090000}"/>
    <cellStyle name="_Loan Draw Schedule_Mutilples Template2 2" xfId="3856" xr:uid="{00000000-0005-0000-0000-000094090000}"/>
    <cellStyle name="_Loan Draw Schedule_Mutilples Template2_Exelon Power Fuel Forecast - Project P 6-11-2004 ver21" xfId="2404" xr:uid="{00000000-0005-0000-0000-000095090000}"/>
    <cellStyle name="_Loan Draw Schedule_Mutilples Template2_Exelon Power Fuel Forecast - Project P 6-11-2004 ver21 2" xfId="3857" xr:uid="{00000000-0005-0000-0000-000096090000}"/>
    <cellStyle name="_Loan Draw Schedule_Mutilples Template2_ML Outputs" xfId="2405" xr:uid="{00000000-0005-0000-0000-000097090000}"/>
    <cellStyle name="_Loan Draw Schedule_Mutilples Template2_ML Outputs 2" xfId="3858" xr:uid="{00000000-0005-0000-0000-000098090000}"/>
    <cellStyle name="_Loan Draw Schedule_Mutilples Template2_Project Forest Pro Forma Model v58" xfId="2406" xr:uid="{00000000-0005-0000-0000-000099090000}"/>
    <cellStyle name="_Loan Draw Schedule_Mutilples Template2_Project Forest Pro Forma Model v58 2" xfId="3859" xr:uid="{00000000-0005-0000-0000-00009A090000}"/>
    <cellStyle name="_Loan Draw Schedule_pom consolidated v3" xfId="2407" xr:uid="{00000000-0005-0000-0000-00009B090000}"/>
    <cellStyle name="_Loan Draw Schedule_pom consolidated v3 2" xfId="3860" xr:uid="{00000000-0005-0000-0000-00009C090000}"/>
    <cellStyle name="_Loan Draw Schedule_pom consolidated v3_Exelon Power Fuel Forecast - Project P 6-11-2004 ver21" xfId="2408" xr:uid="{00000000-0005-0000-0000-00009D090000}"/>
    <cellStyle name="_Loan Draw Schedule_pom consolidated v3_Exelon Power Fuel Forecast - Project P 6-11-2004 ver21 2" xfId="3861" xr:uid="{00000000-0005-0000-0000-00009E090000}"/>
    <cellStyle name="_Loan Draw Schedule_pom consolidated v3_ML Outputs" xfId="2409" xr:uid="{00000000-0005-0000-0000-00009F090000}"/>
    <cellStyle name="_Loan Draw Schedule_pom consolidated v3_ML Outputs 2" xfId="3862" xr:uid="{00000000-0005-0000-0000-0000A0090000}"/>
    <cellStyle name="_Loan Draw Schedule_pom consolidated v3_Project Forest Pro Forma Model v58" xfId="2410" xr:uid="{00000000-0005-0000-0000-0000A1090000}"/>
    <cellStyle name="_Loan Draw Schedule_pom consolidated v3_Project Forest Pro Forma Model v58 2" xfId="3863" xr:uid="{00000000-0005-0000-0000-0000A2090000}"/>
    <cellStyle name="_Merger_PSEG_v9.2" xfId="2411" xr:uid="{00000000-0005-0000-0000-0000A3090000}"/>
    <cellStyle name="_Merger_PSEG_v9.2 2" xfId="3864" xr:uid="{00000000-0005-0000-0000-0000A4090000}"/>
    <cellStyle name="_Merger_PSEG_v9.2_Exelon Power Fuel Forecast - Project P 6-11-2004 ver21" xfId="2412" xr:uid="{00000000-0005-0000-0000-0000A5090000}"/>
    <cellStyle name="_Merger_PSEG_v9.2_Exelon Power Fuel Forecast - Project P 6-11-2004 ver21 2" xfId="3865" xr:uid="{00000000-0005-0000-0000-0000A6090000}"/>
    <cellStyle name="_Merger_PSEG_v9.2_ML Outputs" xfId="2413" xr:uid="{00000000-0005-0000-0000-0000A7090000}"/>
    <cellStyle name="_Merger_PSEG_v9.2_ML Outputs 2" xfId="3866" xr:uid="{00000000-0005-0000-0000-0000A8090000}"/>
    <cellStyle name="_Merger_PSEG_v9.2_Project Forest Pro Forma Model v58" xfId="2414" xr:uid="{00000000-0005-0000-0000-0000A9090000}"/>
    <cellStyle name="_Merger_PSEG_v9.2_Project Forest Pro Forma Model v58 2" xfId="3867" xr:uid="{00000000-0005-0000-0000-0000AA090000}"/>
    <cellStyle name="_Mesquita_valuation_v12" xfId="2415" xr:uid="{00000000-0005-0000-0000-0000AB090000}"/>
    <cellStyle name="_Mesquita_valuation_v12 2" xfId="3868" xr:uid="{00000000-0005-0000-0000-0000AC090000}"/>
    <cellStyle name="_Missouri 0502 v6_TPS_PPA" xfId="2416" xr:uid="{00000000-0005-0000-0000-0000AD090000}"/>
    <cellStyle name="_Missouri 0502 v6_TPS_PPA 2" xfId="3869" xr:uid="{00000000-0005-0000-0000-0000AE090000}"/>
    <cellStyle name="_Missouri 0502 v6_TPS_PPA_Copy of CNL Consolidated model_v.FPL_v37" xfId="2417" xr:uid="{00000000-0005-0000-0000-0000AF090000}"/>
    <cellStyle name="_Missouri 0502 v6_TPS_PPA_Copy of CNL Consolidated model_v.FPL_v37 2" xfId="3870" xr:uid="{00000000-0005-0000-0000-0000B0090000}"/>
    <cellStyle name="_Missouri 0502 v6_TPS_PPA_Copy of CNL Consolidated model_v.FPL_v37_Exelon Power Fuel Forecast - Project P 6-11-2004 ver21" xfId="2418" xr:uid="{00000000-0005-0000-0000-0000B1090000}"/>
    <cellStyle name="_Missouri 0502 v6_TPS_PPA_Copy of CNL Consolidated model_v.FPL_v37_Exelon Power Fuel Forecast - Project P 6-11-2004 ver21 2" xfId="3871" xr:uid="{00000000-0005-0000-0000-0000B2090000}"/>
    <cellStyle name="_Missouri 0502 v6_TPS_PPA_Copy of CNL Consolidated model_v.FPL_v37_ML Outputs" xfId="2419" xr:uid="{00000000-0005-0000-0000-0000B3090000}"/>
    <cellStyle name="_Missouri 0502 v6_TPS_PPA_Copy of CNL Consolidated model_v.FPL_v37_ML Outputs 2" xfId="3872" xr:uid="{00000000-0005-0000-0000-0000B4090000}"/>
    <cellStyle name="_Missouri 0502 v6_TPS_PPA_Copy of CNL Consolidated model_v.FPL_v37_Project Forest Pro Forma Model v58" xfId="2420" xr:uid="{00000000-0005-0000-0000-0000B5090000}"/>
    <cellStyle name="_Missouri 0502 v6_TPS_PPA_Copy of CNL Consolidated model_v.FPL_v37_Project Forest Pro Forma Model v58 2" xfId="3873" xr:uid="{00000000-0005-0000-0000-0000B6090000}"/>
    <cellStyle name="_Missouri 0502 v6_TPS_PPA_D_Consolidated2" xfId="2421" xr:uid="{00000000-0005-0000-0000-0000B7090000}"/>
    <cellStyle name="_Missouri 0502 v6_TPS_PPA_D_Consolidated2 2" xfId="3874" xr:uid="{00000000-0005-0000-0000-0000B8090000}"/>
    <cellStyle name="_Missouri 0502 v6_TPS_PPA_Model v9.8" xfId="2422" xr:uid="{00000000-0005-0000-0000-0000B9090000}"/>
    <cellStyle name="_Missouri 0502 v6_TPS_PPA_Model v9.8 2" xfId="3875" xr:uid="{00000000-0005-0000-0000-0000BA090000}"/>
    <cellStyle name="_Missouri 0502 v6_TPS_PPA_Mutilples Template2" xfId="2423" xr:uid="{00000000-0005-0000-0000-0000BB090000}"/>
    <cellStyle name="_Missouri 0502 v6_TPS_PPA_Mutilples Template2 2" xfId="3876" xr:uid="{00000000-0005-0000-0000-0000BC090000}"/>
    <cellStyle name="_Missouri 0502 v6_TPS_PPA_Mutilples Template2_Exelon Power Fuel Forecast - Project P 6-11-2004 ver21" xfId="2424" xr:uid="{00000000-0005-0000-0000-0000BD090000}"/>
    <cellStyle name="_Missouri 0502 v6_TPS_PPA_Mutilples Template2_Exelon Power Fuel Forecast - Project P 6-11-2004 ver21 2" xfId="3877" xr:uid="{00000000-0005-0000-0000-0000BE090000}"/>
    <cellStyle name="_Missouri 0502 v6_TPS_PPA_Mutilples Template2_ML Outputs" xfId="2425" xr:uid="{00000000-0005-0000-0000-0000BF090000}"/>
    <cellStyle name="_Missouri 0502 v6_TPS_PPA_Mutilples Template2_ML Outputs 2" xfId="3878" xr:uid="{00000000-0005-0000-0000-0000C0090000}"/>
    <cellStyle name="_Missouri 0502 v6_TPS_PPA_Mutilples Template2_Project Forest Pro Forma Model v58" xfId="2426" xr:uid="{00000000-0005-0000-0000-0000C1090000}"/>
    <cellStyle name="_Missouri 0502 v6_TPS_PPA_Mutilples Template2_Project Forest Pro Forma Model v58 2" xfId="3879" xr:uid="{00000000-0005-0000-0000-0000C2090000}"/>
    <cellStyle name="_Missouri 0502 v6_TPS_PPA_pom consolidated v3" xfId="2427" xr:uid="{00000000-0005-0000-0000-0000C3090000}"/>
    <cellStyle name="_Missouri 0502 v6_TPS_PPA_pom consolidated v3 2" xfId="3880" xr:uid="{00000000-0005-0000-0000-0000C4090000}"/>
    <cellStyle name="_Missouri 0502 v6_TPS_PPA_pom consolidated v3_Exelon Power Fuel Forecast - Project P 6-11-2004 ver21" xfId="2428" xr:uid="{00000000-0005-0000-0000-0000C5090000}"/>
    <cellStyle name="_Missouri 0502 v6_TPS_PPA_pom consolidated v3_Exelon Power Fuel Forecast - Project P 6-11-2004 ver21 2" xfId="3881" xr:uid="{00000000-0005-0000-0000-0000C6090000}"/>
    <cellStyle name="_Missouri 0502 v6_TPS_PPA_pom consolidated v3_ML Outputs" xfId="2429" xr:uid="{00000000-0005-0000-0000-0000C7090000}"/>
    <cellStyle name="_Missouri 0502 v6_TPS_PPA_pom consolidated v3_ML Outputs 2" xfId="3882" xr:uid="{00000000-0005-0000-0000-0000C8090000}"/>
    <cellStyle name="_Missouri 0502 v6_TPS_PPA_pom consolidated v3_Project Forest Pro Forma Model v58" xfId="2430" xr:uid="{00000000-0005-0000-0000-0000C9090000}"/>
    <cellStyle name="_Missouri 0502 v6_TPS_PPA_pom consolidated v3_Project Forest Pro Forma Model v58 2" xfId="3883" xr:uid="{00000000-0005-0000-0000-0000CA090000}"/>
    <cellStyle name="_ML Outputs" xfId="2431" xr:uid="{00000000-0005-0000-0000-0000CB090000}"/>
    <cellStyle name="_ML Outputs 2" xfId="3884" xr:uid="{00000000-0005-0000-0000-0000CC090000}"/>
    <cellStyle name="_Model v9.8" xfId="2432" xr:uid="{00000000-0005-0000-0000-0000CD090000}"/>
    <cellStyle name="_Modelo_Atlantico_Cemat_v7" xfId="2433" xr:uid="{00000000-0005-0000-0000-0000CE090000}"/>
    <cellStyle name="_Modelo_CESP_english_v5" xfId="2434" xr:uid="{00000000-0005-0000-0000-0000CF090000}"/>
    <cellStyle name="_Modelo_Rede_V12" xfId="2435" xr:uid="{00000000-0005-0000-0000-0000D0090000}"/>
    <cellStyle name="_Multiple" xfId="2436" xr:uid="{00000000-0005-0000-0000-0000D1090000}"/>
    <cellStyle name="_Multiple 2" xfId="3885" xr:uid="{00000000-0005-0000-0000-0000D2090000}"/>
    <cellStyle name="_Multiple_AP Mobile Demand Check File 4Q w.Pakistan" xfId="2437" xr:uid="{00000000-0005-0000-0000-0000D3090000}"/>
    <cellStyle name="_Multiple_Copy of AP Mobile Demand Check File 4Q2005 v.final" xfId="2438" xr:uid="{00000000-0005-0000-0000-0000D4090000}"/>
    <cellStyle name="_Multiple_Definitions" xfId="2439" xr:uid="{00000000-0005-0000-0000-0000D5090000}"/>
    <cellStyle name="_Multiple_PakistabMob2005" xfId="2440" xr:uid="{00000000-0005-0000-0000-0000D6090000}"/>
    <cellStyle name="_Multiple_Pyramid LA3Q05" xfId="2441" xr:uid="{00000000-0005-0000-0000-0000D7090000}"/>
    <cellStyle name="_MultipleSpace" xfId="2442" xr:uid="{00000000-0005-0000-0000-0000D8090000}"/>
    <cellStyle name="_MultipleSpace_AP Mobile Demand Check File 4Q w.Pakistan" xfId="2443" xr:uid="{00000000-0005-0000-0000-0000D9090000}"/>
    <cellStyle name="_MultipleSpace_Copy of AP Mobile Demand Check File 4Q2005 v.final" xfId="2444" xr:uid="{00000000-0005-0000-0000-0000DA090000}"/>
    <cellStyle name="_MultipleSpace_Definitions" xfId="2445" xr:uid="{00000000-0005-0000-0000-0000DB090000}"/>
    <cellStyle name="_MultipleSpace_PakistabMob2005" xfId="2446" xr:uid="{00000000-0005-0000-0000-0000DC090000}"/>
    <cellStyle name="_MultipleSpace_Pyramid LA3Q05" xfId="2447" xr:uid="{00000000-0005-0000-0000-0000DD090000}"/>
    <cellStyle name="_Mutilples Template2" xfId="2448" xr:uid="{00000000-0005-0000-0000-0000DE090000}"/>
    <cellStyle name="_Mutilples Template2_Exelon Power Fuel Forecast - Project P 6-11-2004 ver21" xfId="2449" xr:uid="{00000000-0005-0000-0000-0000DF090000}"/>
    <cellStyle name="_Mutilples Template2_ML Outputs" xfId="2450" xr:uid="{00000000-0005-0000-0000-0000E0090000}"/>
    <cellStyle name="_Mutilples Template2_Project Forest Pro Forma Model v58" xfId="2451" xr:uid="{00000000-0005-0000-0000-0000E1090000}"/>
    <cellStyle name="_Oneta 052200 v1" xfId="2452" xr:uid="{00000000-0005-0000-0000-0000E2090000}"/>
    <cellStyle name="_Oneta 052200 v1_Copy of CNL Consolidated model_v.FPL_v37" xfId="2453" xr:uid="{00000000-0005-0000-0000-0000E3090000}"/>
    <cellStyle name="_Oneta 052200 v1_Copy of CNL Consolidated model_v.FPL_v37_Exelon Power Fuel Forecast - Project P 6-11-2004 ver21" xfId="2454" xr:uid="{00000000-0005-0000-0000-0000E4090000}"/>
    <cellStyle name="_Oneta 052200 v1_Copy of CNL Consolidated model_v.FPL_v37_ML Outputs" xfId="2455" xr:uid="{00000000-0005-0000-0000-0000E5090000}"/>
    <cellStyle name="_Oneta 052200 v1_Copy of CNL Consolidated model_v.FPL_v37_Project Forest Pro Forma Model v58" xfId="2456" xr:uid="{00000000-0005-0000-0000-0000E6090000}"/>
    <cellStyle name="_Oneta 052200 v1_D_Consolidated2" xfId="2457" xr:uid="{00000000-0005-0000-0000-0000E7090000}"/>
    <cellStyle name="_Oneta 052200 v1_Model v9.8" xfId="2458" xr:uid="{00000000-0005-0000-0000-0000E8090000}"/>
    <cellStyle name="_Oneta 052200 v1_Mutilples Template2" xfId="2459" xr:uid="{00000000-0005-0000-0000-0000E9090000}"/>
    <cellStyle name="_Oneta 052200 v1_Mutilples Template2_Exelon Power Fuel Forecast - Project P 6-11-2004 ver21" xfId="2460" xr:uid="{00000000-0005-0000-0000-0000EA090000}"/>
    <cellStyle name="_Oneta 052200 v1_Mutilples Template2_ML Outputs" xfId="2461" xr:uid="{00000000-0005-0000-0000-0000EB090000}"/>
    <cellStyle name="_Oneta 052200 v1_Mutilples Template2_Project Forest Pro Forma Model v58" xfId="2462" xr:uid="{00000000-0005-0000-0000-0000EC090000}"/>
    <cellStyle name="_Oneta 052200 v1_pom consolidated v3" xfId="2463" xr:uid="{00000000-0005-0000-0000-0000ED090000}"/>
    <cellStyle name="_Oneta 052200 v1_pom consolidated v3_Exelon Power Fuel Forecast - Project P 6-11-2004 ver21" xfId="2464" xr:uid="{00000000-0005-0000-0000-0000EE090000}"/>
    <cellStyle name="_Oneta 052200 v1_pom consolidated v3_ML Outputs" xfId="2465" xr:uid="{00000000-0005-0000-0000-0000EF090000}"/>
    <cellStyle name="_Oneta 052200 v1_pom consolidated v3_Project Forest Pro Forma Model v58" xfId="2466" xr:uid="{00000000-0005-0000-0000-0000F0090000}"/>
    <cellStyle name="_Oneta 061300" xfId="2467" xr:uid="{00000000-0005-0000-0000-0000F1090000}"/>
    <cellStyle name="_Oneta 061300_Copy of CNL Consolidated model_v.FPL_v37" xfId="2468" xr:uid="{00000000-0005-0000-0000-0000F2090000}"/>
    <cellStyle name="_Oneta 061300_Copy of CNL Consolidated model_v.FPL_v37_Exelon Power Fuel Forecast - Project P 6-11-2004 ver21" xfId="2469" xr:uid="{00000000-0005-0000-0000-0000F3090000}"/>
    <cellStyle name="_Oneta 061300_Copy of CNL Consolidated model_v.FPL_v37_ML Outputs" xfId="2470" xr:uid="{00000000-0005-0000-0000-0000F4090000}"/>
    <cellStyle name="_Oneta 061300_Copy of CNL Consolidated model_v.FPL_v37_Project Forest Pro Forma Model v58" xfId="2471" xr:uid="{00000000-0005-0000-0000-0000F5090000}"/>
    <cellStyle name="_Oneta 061300_D_Consolidated2" xfId="2472" xr:uid="{00000000-0005-0000-0000-0000F6090000}"/>
    <cellStyle name="_Oneta 061300_Model v9.8" xfId="2473" xr:uid="{00000000-0005-0000-0000-0000F7090000}"/>
    <cellStyle name="_Oneta 061300_Mutilples Template2" xfId="2474" xr:uid="{00000000-0005-0000-0000-0000F8090000}"/>
    <cellStyle name="_Oneta 061300_Mutilples Template2_Exelon Power Fuel Forecast - Project P 6-11-2004 ver21" xfId="2475" xr:uid="{00000000-0005-0000-0000-0000F9090000}"/>
    <cellStyle name="_Oneta 061300_Mutilples Template2_ML Outputs" xfId="2476" xr:uid="{00000000-0005-0000-0000-0000FA090000}"/>
    <cellStyle name="_Oneta 061300_Mutilples Template2_Project Forest Pro Forma Model v58" xfId="2477" xr:uid="{00000000-0005-0000-0000-0000FB090000}"/>
    <cellStyle name="_Oneta 061300_pom consolidated v3" xfId="2478" xr:uid="{00000000-0005-0000-0000-0000FC090000}"/>
    <cellStyle name="_Oneta 061300_pom consolidated v3_Exelon Power Fuel Forecast - Project P 6-11-2004 ver21" xfId="2479" xr:uid="{00000000-0005-0000-0000-0000FD090000}"/>
    <cellStyle name="_Oneta 061300_pom consolidated v3_ML Outputs" xfId="2480" xr:uid="{00000000-0005-0000-0000-0000FE090000}"/>
    <cellStyle name="_Oneta 061300_pom consolidated v3_Project Forest Pro Forma Model v58" xfId="2481" xr:uid="{00000000-0005-0000-0000-0000FF090000}"/>
    <cellStyle name="_Papaya_Elektro_v03" xfId="2482" xr:uid="{00000000-0005-0000-0000-0000000A0000}"/>
    <cellStyle name="_Papaya_Elektro_v04" xfId="2483" xr:uid="{00000000-0005-0000-0000-0000010A0000}"/>
    <cellStyle name="_Pargim - Modelo IBBA_vPRÉ-EUROPA" xfId="2484" xr:uid="{00000000-0005-0000-0000-0000020A0000}"/>
    <cellStyle name="_pom consolidated v3" xfId="2485" xr:uid="{00000000-0005-0000-0000-0000030A0000}"/>
    <cellStyle name="_pom consolidated v3_Exelon Power Fuel Forecast - Project P 6-11-2004 ver21" xfId="2486" xr:uid="{00000000-0005-0000-0000-0000040A0000}"/>
    <cellStyle name="_pom consolidated v3_ML Outputs" xfId="2487" xr:uid="{00000000-0005-0000-0000-0000050A0000}"/>
    <cellStyle name="_pom consolidated v3_Project Forest Pro Forma Model v58" xfId="2488" xr:uid="{00000000-0005-0000-0000-0000060A0000}"/>
    <cellStyle name="_PPA Curve Analysis" xfId="2489" xr:uid="{00000000-0005-0000-0000-0000070A0000}"/>
    <cellStyle name="_PPA Curve Analysis_Copy of CNL Consolidated model_v.FPL_v37" xfId="2490" xr:uid="{00000000-0005-0000-0000-0000080A0000}"/>
    <cellStyle name="_PPA Curve Analysis_Copy of CNL Consolidated model_v.FPL_v37_Exelon Power Fuel Forecast - Project P 6-11-2004 ver21" xfId="2491" xr:uid="{00000000-0005-0000-0000-0000090A0000}"/>
    <cellStyle name="_PPA Curve Analysis_Copy of CNL Consolidated model_v.FPL_v37_ML Outputs" xfId="2492" xr:uid="{00000000-0005-0000-0000-00000A0A0000}"/>
    <cellStyle name="_PPA Curve Analysis_Copy of CNL Consolidated model_v.FPL_v37_Project Forest Pro Forma Model v58" xfId="2493" xr:uid="{00000000-0005-0000-0000-00000B0A0000}"/>
    <cellStyle name="_PPA Curve Analysis_D_Consolidated2" xfId="2494" xr:uid="{00000000-0005-0000-0000-00000C0A0000}"/>
    <cellStyle name="_PPA Curve Analysis_Model v9.8" xfId="2495" xr:uid="{00000000-0005-0000-0000-00000D0A0000}"/>
    <cellStyle name="_PPA Curve Analysis_Mutilples Template2" xfId="2496" xr:uid="{00000000-0005-0000-0000-00000E0A0000}"/>
    <cellStyle name="_PPA Curve Analysis_Mutilples Template2_Exelon Power Fuel Forecast - Project P 6-11-2004 ver21" xfId="2497" xr:uid="{00000000-0005-0000-0000-00000F0A0000}"/>
    <cellStyle name="_PPA Curve Analysis_Mutilples Template2_ML Outputs" xfId="2498" xr:uid="{00000000-0005-0000-0000-0000100A0000}"/>
    <cellStyle name="_PPA Curve Analysis_Mutilples Template2_Project Forest Pro Forma Model v58" xfId="2499" xr:uid="{00000000-0005-0000-0000-0000110A0000}"/>
    <cellStyle name="_PPA Curve Analysis_pom consolidated v3" xfId="2500" xr:uid="{00000000-0005-0000-0000-0000120A0000}"/>
    <cellStyle name="_PPA Curve Analysis_pom consolidated v3_Exelon Power Fuel Forecast - Project P 6-11-2004 ver21" xfId="2501" xr:uid="{00000000-0005-0000-0000-0000130A0000}"/>
    <cellStyle name="_PPA Curve Analysis_pom consolidated v3_ML Outputs" xfId="2502" xr:uid="{00000000-0005-0000-0000-0000140A0000}"/>
    <cellStyle name="_PPA Curve Analysis_pom consolidated v3_Project Forest Pro Forma Model v58" xfId="2503" xr:uid="{00000000-0005-0000-0000-0000150A0000}"/>
    <cellStyle name="_Project Forest Pro Forma Model v58" xfId="2504" xr:uid="{00000000-0005-0000-0000-0000160A0000}"/>
    <cellStyle name="_Project Model Form Links" xfId="2505" xr:uid="{00000000-0005-0000-0000-0000170A0000}"/>
    <cellStyle name="_Project Model Form Links_Copy of CNL Consolidated model_v.FPL_v37" xfId="2506" xr:uid="{00000000-0005-0000-0000-0000180A0000}"/>
    <cellStyle name="_Project Model Form Links_Copy of CNL Consolidated model_v.FPL_v37_Exelon Power Fuel Forecast - Project P 6-11-2004 ver21" xfId="2507" xr:uid="{00000000-0005-0000-0000-0000190A0000}"/>
    <cellStyle name="_Project Model Form Links_Copy of CNL Consolidated model_v.FPL_v37_ML Outputs" xfId="2508" xr:uid="{00000000-0005-0000-0000-00001A0A0000}"/>
    <cellStyle name="_Project Model Form Links_Copy of CNL Consolidated model_v.FPL_v37_Project Forest Pro Forma Model v58" xfId="2509" xr:uid="{00000000-0005-0000-0000-00001B0A0000}"/>
    <cellStyle name="_Project Model Form Links_D_Consolidated2" xfId="2510" xr:uid="{00000000-0005-0000-0000-00001C0A0000}"/>
    <cellStyle name="_Project Model Form Links_Model v9.8" xfId="2511" xr:uid="{00000000-0005-0000-0000-00001D0A0000}"/>
    <cellStyle name="_Project Model Form Links_Mutilples Template2" xfId="2512" xr:uid="{00000000-0005-0000-0000-00001E0A0000}"/>
    <cellStyle name="_Project Model Form Links_Mutilples Template2_Exelon Power Fuel Forecast - Project P 6-11-2004 ver21" xfId="2513" xr:uid="{00000000-0005-0000-0000-00001F0A0000}"/>
    <cellStyle name="_Project Model Form Links_Mutilples Template2_ML Outputs" xfId="2514" xr:uid="{00000000-0005-0000-0000-0000200A0000}"/>
    <cellStyle name="_Project Model Form Links_Mutilples Template2_Project Forest Pro Forma Model v58" xfId="2515" xr:uid="{00000000-0005-0000-0000-0000210A0000}"/>
    <cellStyle name="_Project Model Form Links_pom consolidated v3" xfId="2516" xr:uid="{00000000-0005-0000-0000-0000220A0000}"/>
    <cellStyle name="_Project Model Form Links_pom consolidated v3_Exelon Power Fuel Forecast - Project P 6-11-2004 ver21" xfId="2517" xr:uid="{00000000-0005-0000-0000-0000230A0000}"/>
    <cellStyle name="_Project Model Form Links_pom consolidated v3_ML Outputs" xfId="2518" xr:uid="{00000000-0005-0000-0000-0000240A0000}"/>
    <cellStyle name="_Project Model Form Links_pom consolidated v3_Project Forest Pro Forma Model v58" xfId="2519" xr:uid="{00000000-0005-0000-0000-0000250A0000}"/>
    <cellStyle name="_Projeto Atlântico - WACC v2" xfId="2520" xr:uid="{00000000-0005-0000-0000-0000260A0000}"/>
    <cellStyle name="_PSEG Consolidated Model ver 23" xfId="2521" xr:uid="{00000000-0005-0000-0000-0000270A0000}"/>
    <cellStyle name="_Rating Agency Analysis v2" xfId="2522" xr:uid="{00000000-0005-0000-0000-0000280A0000}"/>
    <cellStyle name="_Rating Agency Analysis v2_Copy of CNL Consolidated model_v.FPL_v37" xfId="2523" xr:uid="{00000000-0005-0000-0000-0000290A0000}"/>
    <cellStyle name="_Rating Agency Analysis v2_Copy of CNL Consolidated model_v.FPL_v37_Exelon Power Fuel Forecast - Project P 6-11-2004 ver21" xfId="2524" xr:uid="{00000000-0005-0000-0000-00002A0A0000}"/>
    <cellStyle name="_Rating Agency Analysis v2_Copy of CNL Consolidated model_v.FPL_v37_ML Outputs" xfId="2525" xr:uid="{00000000-0005-0000-0000-00002B0A0000}"/>
    <cellStyle name="_Rating Agency Analysis v2_Copy of CNL Consolidated model_v.FPL_v37_Project Forest Pro Forma Model v58" xfId="2526" xr:uid="{00000000-0005-0000-0000-00002C0A0000}"/>
    <cellStyle name="_Rating Agency Analysis v2_D_Consolidated2" xfId="2527" xr:uid="{00000000-0005-0000-0000-00002D0A0000}"/>
    <cellStyle name="_Rating Agency Analysis v2_Model v9.8" xfId="2528" xr:uid="{00000000-0005-0000-0000-00002E0A0000}"/>
    <cellStyle name="_Rating Agency Analysis v2_Mutilples Template2" xfId="2529" xr:uid="{00000000-0005-0000-0000-00002F0A0000}"/>
    <cellStyle name="_Rating Agency Analysis v2_Mutilples Template2_Exelon Power Fuel Forecast - Project P 6-11-2004 ver21" xfId="2530" xr:uid="{00000000-0005-0000-0000-0000300A0000}"/>
    <cellStyle name="_Rating Agency Analysis v2_Mutilples Template2_ML Outputs" xfId="2531" xr:uid="{00000000-0005-0000-0000-0000310A0000}"/>
    <cellStyle name="_Rating Agency Analysis v2_Mutilples Template2_Project Forest Pro Forma Model v58" xfId="2532" xr:uid="{00000000-0005-0000-0000-0000320A0000}"/>
    <cellStyle name="_Rating Agency Analysis v2_pom consolidated v3" xfId="2533" xr:uid="{00000000-0005-0000-0000-0000330A0000}"/>
    <cellStyle name="_Rating Agency Analysis v2_pom consolidated v3_Exelon Power Fuel Forecast - Project P 6-11-2004 ver21" xfId="2534" xr:uid="{00000000-0005-0000-0000-0000340A0000}"/>
    <cellStyle name="_Rating Agency Analysis v2_pom consolidated v3_ML Outputs" xfId="2535" xr:uid="{00000000-0005-0000-0000-0000350A0000}"/>
    <cellStyle name="_Rating Agency Analysis v2_pom consolidated v3_Project Forest Pro Forma Model v58" xfId="2536" xr:uid="{00000000-0005-0000-0000-0000360A0000}"/>
    <cellStyle name="_ROCE template" xfId="2537" xr:uid="{00000000-0005-0000-0000-0000370A0000}"/>
    <cellStyle name="_Sheet1" xfId="2538" xr:uid="{00000000-0005-0000-0000-0000380A0000}"/>
    <cellStyle name="_stock_guide" xfId="2539" xr:uid="{00000000-0005-0000-0000-0000390A0000}"/>
    <cellStyle name="_SubHeading" xfId="2540" xr:uid="{00000000-0005-0000-0000-00003A0A0000}"/>
    <cellStyle name="_SubHeading_AP Mobile Demand Check File 4Q w.Pakistan" xfId="2541" xr:uid="{00000000-0005-0000-0000-00003B0A0000}"/>
    <cellStyle name="_SubHeading_Copy of AP Mobile Demand Check File 4Q2005 v.final" xfId="2542" xr:uid="{00000000-0005-0000-0000-00003C0A0000}"/>
    <cellStyle name="_SubHeading_Definitions" xfId="2543" xr:uid="{00000000-0005-0000-0000-00003D0A0000}"/>
    <cellStyle name="_SubHeading_PakistabMob2005" xfId="2544" xr:uid="{00000000-0005-0000-0000-00003E0A0000}"/>
    <cellStyle name="_SubHeading_Pyramid LA3Q05" xfId="2545" xr:uid="{00000000-0005-0000-0000-00003F0A0000}"/>
    <cellStyle name="_SUE_LATAM-final" xfId="2546" xr:uid="{00000000-0005-0000-0000-0000400A0000}"/>
    <cellStyle name="_Suporte_juliana" xfId="2547" xr:uid="{00000000-0005-0000-0000-0000410A0000}"/>
    <cellStyle name="_Suporte_Rafael" xfId="2548" xr:uid="{00000000-0005-0000-0000-0000420A0000}"/>
    <cellStyle name="_Table" xfId="2549" xr:uid="{00000000-0005-0000-0000-0000430A0000}"/>
    <cellStyle name="_Table_AP Mobile Demand Check File 4Q w.Pakistan" xfId="2550" xr:uid="{00000000-0005-0000-0000-0000440A0000}"/>
    <cellStyle name="_Table_Copy of AP Mobile Demand Check File 4Q2005 v.final" xfId="2551" xr:uid="{00000000-0005-0000-0000-0000450A0000}"/>
    <cellStyle name="_Table_Definitions" xfId="2552" xr:uid="{00000000-0005-0000-0000-0000460A0000}"/>
    <cellStyle name="_Table_PakistabMob2005" xfId="2553" xr:uid="{00000000-0005-0000-0000-0000470A0000}"/>
    <cellStyle name="_TableHead" xfId="2554" xr:uid="{00000000-0005-0000-0000-0000480A0000}"/>
    <cellStyle name="_TableHead_AP Mobile Demand Check File 4Q w.Pakistan" xfId="2555" xr:uid="{00000000-0005-0000-0000-0000490A0000}"/>
    <cellStyle name="_TableHead_Copy of AP Mobile Demand Check File 4Q2005 v.final" xfId="2556" xr:uid="{00000000-0005-0000-0000-00004A0A0000}"/>
    <cellStyle name="_TableHead_Definitions" xfId="2557" xr:uid="{00000000-0005-0000-0000-00004B0A0000}"/>
    <cellStyle name="_TableHead_PakistabMob2005" xfId="2558" xr:uid="{00000000-0005-0000-0000-00004C0A0000}"/>
    <cellStyle name="_TableRowHead" xfId="2559" xr:uid="{00000000-0005-0000-0000-00004D0A0000}"/>
    <cellStyle name="_TableRowHead_AP Mobile Demand Check File 4Q w.Pakistan" xfId="2560" xr:uid="{00000000-0005-0000-0000-00004E0A0000}"/>
    <cellStyle name="_TableRowHead_Copy of AP Mobile Demand Check File 4Q2005 v.final" xfId="2561" xr:uid="{00000000-0005-0000-0000-00004F0A0000}"/>
    <cellStyle name="_TableRowHead_Definitions" xfId="2562" xr:uid="{00000000-0005-0000-0000-0000500A0000}"/>
    <cellStyle name="_TableRowHead_PakistabMob2005" xfId="2563" xr:uid="{00000000-0005-0000-0000-0000510A0000}"/>
    <cellStyle name="_TableRowHead_Pyramid LA3Q05" xfId="2564" xr:uid="{00000000-0005-0000-0000-0000520A0000}"/>
    <cellStyle name="_TableSuperHead" xfId="2565" xr:uid="{00000000-0005-0000-0000-0000530A0000}"/>
    <cellStyle name="_TableSuperHead_AP Mobile Demand Check File 4Q w.Pakistan" xfId="2566" xr:uid="{00000000-0005-0000-0000-0000540A0000}"/>
    <cellStyle name="_TableSuperHead_Copy of AP Mobile Demand Check File 4Q2005 v.final" xfId="2567" xr:uid="{00000000-0005-0000-0000-0000550A0000}"/>
    <cellStyle name="_TableSuperHead_Definitions" xfId="2568" xr:uid="{00000000-0005-0000-0000-0000560A0000}"/>
    <cellStyle name="_TableSuperHead_PakistabMob2005" xfId="2569" xr:uid="{00000000-0005-0000-0000-0000570A0000}"/>
    <cellStyle name="_TableSuperHead_Pyramid LA3Q05" xfId="2570" xr:uid="{00000000-0005-0000-0000-0000580A0000}"/>
    <cellStyle name="_Tampa_Model_v3" xfId="2571" xr:uid="{00000000-0005-0000-0000-0000590A0000}"/>
    <cellStyle name="_Tampa_Model_v3_Exelon Power Fuel Forecast - Project P 6-11-2004 ver21" xfId="2572" xr:uid="{00000000-0005-0000-0000-00005A0A0000}"/>
    <cellStyle name="_Tampa_Model_v3_ML Outputs" xfId="2573" xr:uid="{00000000-0005-0000-0000-00005B0A0000}"/>
    <cellStyle name="_Tampa_Model_v3_Project Forest Pro Forma Model v58" xfId="2574" xr:uid="{00000000-0005-0000-0000-00005C0A0000}"/>
    <cellStyle name="_Teco Coal_5" xfId="2575" xr:uid="{00000000-0005-0000-0000-00005D0A0000}"/>
    <cellStyle name="_Teco Coal_5_Exelon Power Fuel Forecast - Project P 6-11-2004 ver21" xfId="2576" xr:uid="{00000000-0005-0000-0000-00005E0A0000}"/>
    <cellStyle name="_Teco Coal_5_ML Outputs" xfId="2577" xr:uid="{00000000-0005-0000-0000-00005F0A0000}"/>
    <cellStyle name="_Teco Coal_5_Project Forest Pro Forma Model v58" xfId="2578" xr:uid="{00000000-0005-0000-0000-0000600A0000}"/>
    <cellStyle name="_TECO Combined Return Analysis NEW 01-23-01" xfId="2579" xr:uid="{00000000-0005-0000-0000-0000610A0000}"/>
    <cellStyle name="_TECO Combined Return Analysis NEW 01-23-01_Copy of CNL Consolidated model_v.FPL_v37" xfId="2580" xr:uid="{00000000-0005-0000-0000-0000620A0000}"/>
    <cellStyle name="_TECO Combined Return Analysis NEW 01-23-01_Copy of CNL Consolidated model_v.FPL_v37_Exelon Power Fuel Forecast - Project P 6-11-2004 ver21" xfId="2581" xr:uid="{00000000-0005-0000-0000-0000630A0000}"/>
    <cellStyle name="_TECO Combined Return Analysis NEW 01-23-01_Copy of CNL Consolidated model_v.FPL_v37_ML Outputs" xfId="2582" xr:uid="{00000000-0005-0000-0000-0000640A0000}"/>
    <cellStyle name="_TECO Combined Return Analysis NEW 01-23-01_Copy of CNL Consolidated model_v.FPL_v37_Project Forest Pro Forma Model v58" xfId="2583" xr:uid="{00000000-0005-0000-0000-0000650A0000}"/>
    <cellStyle name="_TECO Combined Return Analysis NEW 01-23-01_D_Consolidated2" xfId="2584" xr:uid="{00000000-0005-0000-0000-0000660A0000}"/>
    <cellStyle name="_TECO Combined Return Analysis NEW 01-23-01_Model v9.8" xfId="2585" xr:uid="{00000000-0005-0000-0000-0000670A0000}"/>
    <cellStyle name="_TECO Combined Return Analysis NEW 01-23-01_Mutilples Template2" xfId="2586" xr:uid="{00000000-0005-0000-0000-0000680A0000}"/>
    <cellStyle name="_TECO Combined Return Analysis NEW 01-23-01_Mutilples Template2_Exelon Power Fuel Forecast - Project P 6-11-2004 ver21" xfId="2587" xr:uid="{00000000-0005-0000-0000-0000690A0000}"/>
    <cellStyle name="_TECO Combined Return Analysis NEW 01-23-01_Mutilples Template2_ML Outputs" xfId="2588" xr:uid="{00000000-0005-0000-0000-00006A0A0000}"/>
    <cellStyle name="_TECO Combined Return Analysis NEW 01-23-01_Mutilples Template2_Project Forest Pro Forma Model v58" xfId="2589" xr:uid="{00000000-0005-0000-0000-00006B0A0000}"/>
    <cellStyle name="_TECO Combined Return Analysis NEW 01-23-01_pom consolidated v3" xfId="2590" xr:uid="{00000000-0005-0000-0000-00006C0A0000}"/>
    <cellStyle name="_TECO Combined Return Analysis NEW 01-23-01_pom consolidated v3_Exelon Power Fuel Forecast - Project P 6-11-2004 ver21" xfId="2591" xr:uid="{00000000-0005-0000-0000-00006D0A0000}"/>
    <cellStyle name="_TECO Combined Return Analysis NEW 01-23-01_pom consolidated v3_ML Outputs" xfId="2592" xr:uid="{00000000-0005-0000-0000-00006E0A0000}"/>
    <cellStyle name="_TECO Combined Return Analysis NEW 01-23-01_pom consolidated v3_Project Forest Pro Forma Model v58" xfId="2593" xr:uid="{00000000-0005-0000-0000-00006F0A0000}"/>
    <cellStyle name="_Teco Fuel Pro Forma 10-31-2001" xfId="2594" xr:uid="{00000000-0005-0000-0000-0000700A0000}"/>
    <cellStyle name="_Teco Fuel Pro Forma 10-31-2001_Copy of CNL Consolidated model_v.FPL_v37" xfId="2595" xr:uid="{00000000-0005-0000-0000-0000710A0000}"/>
    <cellStyle name="_Teco Fuel Pro Forma 10-31-2001_Copy of CNL Consolidated model_v.FPL_v37_Exelon Power Fuel Forecast - Project P 6-11-2004 ver21" xfId="2596" xr:uid="{00000000-0005-0000-0000-0000720A0000}"/>
    <cellStyle name="_Teco Fuel Pro Forma 10-31-2001_Copy of CNL Consolidated model_v.FPL_v37_ML Outputs" xfId="2597" xr:uid="{00000000-0005-0000-0000-0000730A0000}"/>
    <cellStyle name="_Teco Fuel Pro Forma 10-31-2001_Copy of CNL Consolidated model_v.FPL_v37_Project Forest Pro Forma Model v58" xfId="2598" xr:uid="{00000000-0005-0000-0000-0000740A0000}"/>
    <cellStyle name="_Teco Fuel Pro Forma 10-31-2001_D_Consolidated2" xfId="2599" xr:uid="{00000000-0005-0000-0000-0000750A0000}"/>
    <cellStyle name="_Teco Fuel Pro Forma 10-31-2001_Model v9.8" xfId="2600" xr:uid="{00000000-0005-0000-0000-0000760A0000}"/>
    <cellStyle name="_Teco Fuel Pro Forma 10-31-2001_Mutilples Template2" xfId="2601" xr:uid="{00000000-0005-0000-0000-0000770A0000}"/>
    <cellStyle name="_Teco Fuel Pro Forma 10-31-2001_Mutilples Template2_Exelon Power Fuel Forecast - Project P 6-11-2004 ver21" xfId="2602" xr:uid="{00000000-0005-0000-0000-0000780A0000}"/>
    <cellStyle name="_Teco Fuel Pro Forma 10-31-2001_Mutilples Template2_ML Outputs" xfId="2603" xr:uid="{00000000-0005-0000-0000-0000790A0000}"/>
    <cellStyle name="_Teco Fuel Pro Forma 10-31-2001_Mutilples Template2_Project Forest Pro Forma Model v58" xfId="2604" xr:uid="{00000000-0005-0000-0000-00007A0A0000}"/>
    <cellStyle name="_Teco Fuel Pro Forma 10-31-2001_pom consolidated v3" xfId="2605" xr:uid="{00000000-0005-0000-0000-00007B0A0000}"/>
    <cellStyle name="_Teco Fuel Pro Forma 10-31-2001_pom consolidated v3_Exelon Power Fuel Forecast - Project P 6-11-2004 ver21" xfId="2606" xr:uid="{00000000-0005-0000-0000-00007C0A0000}"/>
    <cellStyle name="_Teco Fuel Pro Forma 10-31-2001_pom consolidated v3_ML Outputs" xfId="2607" xr:uid="{00000000-0005-0000-0000-00007D0A0000}"/>
    <cellStyle name="_Teco Fuel Pro Forma 10-31-2001_pom consolidated v3_Project Forest Pro Forma Model v58" xfId="2608" xr:uid="{00000000-0005-0000-0000-00007E0A0000}"/>
    <cellStyle name="_TECO Solutions" xfId="2609" xr:uid="{00000000-0005-0000-0000-00007F0A0000}"/>
    <cellStyle name="_TECO Solutions_Exelon Power Fuel Forecast - Project P 6-11-2004 ver21" xfId="2610" xr:uid="{00000000-0005-0000-0000-0000800A0000}"/>
    <cellStyle name="_TECO Solutions_ML Outputs" xfId="2611" xr:uid="{00000000-0005-0000-0000-0000810A0000}"/>
    <cellStyle name="_TECO Solutions_Project Forest Pro Forma Model v58" xfId="2612" xr:uid="{00000000-0005-0000-0000-0000820A0000}"/>
    <cellStyle name="_TGN DCF v10" xfId="2613" xr:uid="{00000000-0005-0000-0000-0000830A0000}"/>
    <cellStyle name="_TIE Consolidated 09-18-00 c2 Teco" xfId="2614" xr:uid="{00000000-0005-0000-0000-0000840A0000}"/>
    <cellStyle name="_TIE Consolidated 09-18-00 c2 Teco_Copy of CNL Consolidated model_v.FPL_v37" xfId="2615" xr:uid="{00000000-0005-0000-0000-0000850A0000}"/>
    <cellStyle name="_TIE Consolidated 09-18-00 c2 Teco_Copy of CNL Consolidated model_v.FPL_v37_Exelon Power Fuel Forecast - Project P 6-11-2004 ver21" xfId="2616" xr:uid="{00000000-0005-0000-0000-0000860A0000}"/>
    <cellStyle name="_TIE Consolidated 09-18-00 c2 Teco_Copy of CNL Consolidated model_v.FPL_v37_ML Outputs" xfId="2617" xr:uid="{00000000-0005-0000-0000-0000870A0000}"/>
    <cellStyle name="_TIE Consolidated 09-18-00 c2 Teco_Copy of CNL Consolidated model_v.FPL_v37_Project Forest Pro Forma Model v58" xfId="2618" xr:uid="{00000000-0005-0000-0000-0000880A0000}"/>
    <cellStyle name="_TIE Consolidated 09-18-00 c2 Teco_D_Consolidated2" xfId="2619" xr:uid="{00000000-0005-0000-0000-0000890A0000}"/>
    <cellStyle name="_TIE Consolidated 09-18-00 c2 Teco_Model v9.8" xfId="2620" xr:uid="{00000000-0005-0000-0000-00008A0A0000}"/>
    <cellStyle name="_TIE Consolidated 09-18-00 c2 Teco_Mutilples Template2" xfId="2621" xr:uid="{00000000-0005-0000-0000-00008B0A0000}"/>
    <cellStyle name="_TIE Consolidated 09-18-00 c2 Teco_Mutilples Template2_Exelon Power Fuel Forecast - Project P 6-11-2004 ver21" xfId="2622" xr:uid="{00000000-0005-0000-0000-00008C0A0000}"/>
    <cellStyle name="_TIE Consolidated 09-18-00 c2 Teco_Mutilples Template2_ML Outputs" xfId="2623" xr:uid="{00000000-0005-0000-0000-00008D0A0000}"/>
    <cellStyle name="_TIE Consolidated 09-18-00 c2 Teco_Mutilples Template2_Project Forest Pro Forma Model v58" xfId="2624" xr:uid="{00000000-0005-0000-0000-00008E0A0000}"/>
    <cellStyle name="_TIE Consolidated 09-18-00 c2 Teco_pom consolidated v3" xfId="2625" xr:uid="{00000000-0005-0000-0000-00008F0A0000}"/>
    <cellStyle name="_TIE Consolidated 09-18-00 c2 Teco_pom consolidated v3_Exelon Power Fuel Forecast - Project P 6-11-2004 ver21" xfId="2626" xr:uid="{00000000-0005-0000-0000-0000900A0000}"/>
    <cellStyle name="_TIE Consolidated 09-18-00 c2 Teco_pom consolidated v3_ML Outputs" xfId="2627" xr:uid="{00000000-0005-0000-0000-0000910A0000}"/>
    <cellStyle name="_TIE Consolidated 09-18-00 c2 Teco_pom consolidated v3_Project Forest Pro Forma Model v58" xfId="2628" xr:uid="{00000000-0005-0000-0000-0000920A0000}"/>
    <cellStyle name="_Transport Model_v6" xfId="2629" xr:uid="{00000000-0005-0000-0000-0000930A0000}"/>
    <cellStyle name="_Transport Model_v6_Exelon Power Fuel Forecast - Project P 6-11-2004 ver21" xfId="2630" xr:uid="{00000000-0005-0000-0000-0000940A0000}"/>
    <cellStyle name="_Transport Model_v6_ML Outputs" xfId="2631" xr:uid="{00000000-0005-0000-0000-0000950A0000}"/>
    <cellStyle name="_Transport Model_v6_Project Forest Pro Forma Model v58" xfId="2632" xr:uid="{00000000-0005-0000-0000-0000960A0000}"/>
    <cellStyle name="_WACC Papaya_v02" xfId="2633" xr:uid="{00000000-0005-0000-0000-0000970A0000}"/>
    <cellStyle name="_West Michigan 0800 v1 test" xfId="2634" xr:uid="{00000000-0005-0000-0000-0000980A0000}"/>
    <cellStyle name="_West Michigan 0800 v1 test_Copy of CNL Consolidated model_v.FPL_v37" xfId="2635" xr:uid="{00000000-0005-0000-0000-0000990A0000}"/>
    <cellStyle name="_West Michigan 0800 v1 test_Copy of CNL Consolidated model_v.FPL_v37_Exelon Power Fuel Forecast - Project P 6-11-2004 ver21" xfId="2636" xr:uid="{00000000-0005-0000-0000-00009A0A0000}"/>
    <cellStyle name="_West Michigan 0800 v1 test_Copy of CNL Consolidated model_v.FPL_v37_ML Outputs" xfId="2637" xr:uid="{00000000-0005-0000-0000-00009B0A0000}"/>
    <cellStyle name="_West Michigan 0800 v1 test_Copy of CNL Consolidated model_v.FPL_v37_Project Forest Pro Forma Model v58" xfId="2638" xr:uid="{00000000-0005-0000-0000-00009C0A0000}"/>
    <cellStyle name="_West Michigan 0800 v1 test_D_Consolidated2" xfId="2639" xr:uid="{00000000-0005-0000-0000-00009D0A0000}"/>
    <cellStyle name="_West Michigan 0800 v1 test_Model v9.8" xfId="2640" xr:uid="{00000000-0005-0000-0000-00009E0A0000}"/>
    <cellStyle name="_West Michigan 0800 v1 test_Mutilples Template2" xfId="2641" xr:uid="{00000000-0005-0000-0000-00009F0A0000}"/>
    <cellStyle name="_West Michigan 0800 v1 test_Mutilples Template2_Exelon Power Fuel Forecast - Project P 6-11-2004 ver21" xfId="2642" xr:uid="{00000000-0005-0000-0000-0000A00A0000}"/>
    <cellStyle name="_West Michigan 0800 v1 test_Mutilples Template2_ML Outputs" xfId="2643" xr:uid="{00000000-0005-0000-0000-0000A10A0000}"/>
    <cellStyle name="_West Michigan 0800 v1 test_Mutilples Template2_Project Forest Pro Forma Model v58" xfId="2644" xr:uid="{00000000-0005-0000-0000-0000A20A0000}"/>
    <cellStyle name="_West Michigan 0800 v1 test_pom consolidated v3" xfId="2645" xr:uid="{00000000-0005-0000-0000-0000A30A0000}"/>
    <cellStyle name="_West Michigan 0800 v1 test_pom consolidated v3_Exelon Power Fuel Forecast - Project P 6-11-2004 ver21" xfId="2646" xr:uid="{00000000-0005-0000-0000-0000A40A0000}"/>
    <cellStyle name="_West Michigan 0800 v1 test_pom consolidated v3_ML Outputs" xfId="2647" xr:uid="{00000000-0005-0000-0000-0000A50A0000}"/>
    <cellStyle name="_West Michigan 0800 v1 test_pom consolidated v3_Project Forest Pro Forma Model v58" xfId="2648" xr:uid="{00000000-0005-0000-0000-0000A60A0000}"/>
    <cellStyle name="£ BP" xfId="2649" xr:uid="{00000000-0005-0000-0000-0000A70A0000}"/>
    <cellStyle name="¥ JY" xfId="2650" xr:uid="{00000000-0005-0000-0000-0000A80A0000}"/>
    <cellStyle name="=C:\WINNT\SYSTEM32\COMMAND.COM" xfId="2651" xr:uid="{00000000-0005-0000-0000-0000A90A0000}"/>
    <cellStyle name="=C:\WINNT35\SYSTEM32\COMMAND.COM" xfId="2652" xr:uid="{00000000-0005-0000-0000-0000AA0A0000}"/>
    <cellStyle name="0" xfId="2653" xr:uid="{00000000-0005-0000-0000-0000AB0A0000}"/>
    <cellStyle name="0,0_x000d__x000a_NA_x000d__x000a_" xfId="2654" xr:uid="{00000000-0005-0000-0000-0000AC0A0000}"/>
    <cellStyle name="000 PN" xfId="2655" xr:uid="{00000000-0005-0000-0000-0000AD0A0000}"/>
    <cellStyle name="0000" xfId="2656" xr:uid="{00000000-0005-0000-0000-0000AE0A0000}"/>
    <cellStyle name="000000" xfId="2657" xr:uid="{00000000-0005-0000-0000-0000AF0A0000}"/>
    <cellStyle name="1o.nível" xfId="2658" xr:uid="{00000000-0005-0000-0000-0000B00A0000}"/>
    <cellStyle name="20% - Accent1" xfId="2659" xr:uid="{00000000-0005-0000-0000-0000B10A0000}"/>
    <cellStyle name="20% - Accent2" xfId="2660" xr:uid="{00000000-0005-0000-0000-0000B20A0000}"/>
    <cellStyle name="20% - Accent3" xfId="2661" xr:uid="{00000000-0005-0000-0000-0000B30A0000}"/>
    <cellStyle name="20% - Accent4" xfId="2662" xr:uid="{00000000-0005-0000-0000-0000B40A0000}"/>
    <cellStyle name="20% - Accent5" xfId="2663" xr:uid="{00000000-0005-0000-0000-0000B50A0000}"/>
    <cellStyle name="20% - Accent6" xfId="2664" xr:uid="{00000000-0005-0000-0000-0000B60A0000}"/>
    <cellStyle name="2o.nível" xfId="2665" xr:uid="{00000000-0005-0000-0000-0000B70A0000}"/>
    <cellStyle name="40% - Accent1" xfId="2666" xr:uid="{00000000-0005-0000-0000-0000B80A0000}"/>
    <cellStyle name="40% - Accent2" xfId="2667" xr:uid="{00000000-0005-0000-0000-0000B90A0000}"/>
    <cellStyle name="40% - Accent3" xfId="2668" xr:uid="{00000000-0005-0000-0000-0000BA0A0000}"/>
    <cellStyle name="40% - Accent4" xfId="2669" xr:uid="{00000000-0005-0000-0000-0000BB0A0000}"/>
    <cellStyle name="40% - Accent5" xfId="2670" xr:uid="{00000000-0005-0000-0000-0000BC0A0000}"/>
    <cellStyle name="40% - Accent6" xfId="2671" xr:uid="{00000000-0005-0000-0000-0000BD0A0000}"/>
    <cellStyle name="60% - Accent1" xfId="2672" xr:uid="{00000000-0005-0000-0000-0000BE0A0000}"/>
    <cellStyle name="60% - Accent2" xfId="2673" xr:uid="{00000000-0005-0000-0000-0000BF0A0000}"/>
    <cellStyle name="60% - Accent3" xfId="2674" xr:uid="{00000000-0005-0000-0000-0000C00A0000}"/>
    <cellStyle name="60% - Accent4" xfId="2675" xr:uid="{00000000-0005-0000-0000-0000C10A0000}"/>
    <cellStyle name="60% - Accent5" xfId="2676" xr:uid="{00000000-0005-0000-0000-0000C20A0000}"/>
    <cellStyle name="60% - Accent6" xfId="2677" xr:uid="{00000000-0005-0000-0000-0000C30A0000}"/>
    <cellStyle name="600 PN" xfId="2678" xr:uid="{00000000-0005-0000-0000-0000C40A0000}"/>
    <cellStyle name="6mal" xfId="2679" xr:uid="{00000000-0005-0000-0000-0000C50A0000}"/>
    <cellStyle name="700 PN" xfId="2680" xr:uid="{00000000-0005-0000-0000-0000C60A0000}"/>
    <cellStyle name="A%" xfId="2681" xr:uid="{00000000-0005-0000-0000-0000C70A0000}"/>
    <cellStyle name="a_normal" xfId="2682" xr:uid="{00000000-0005-0000-0000-0000C80A0000}"/>
    <cellStyle name="a_quebra_2" xfId="2683" xr:uid="{00000000-0005-0000-0000-0000C90A0000}"/>
    <cellStyle name="A3 297 x 420 mm" xfId="2684" xr:uid="{00000000-0005-0000-0000-0000CA0A0000}"/>
    <cellStyle name="Accent1" xfId="2685" xr:uid="{00000000-0005-0000-0000-0000CB0A0000}"/>
    <cellStyle name="Accent2" xfId="2686" xr:uid="{00000000-0005-0000-0000-0000CC0A0000}"/>
    <cellStyle name="Accent3" xfId="2687" xr:uid="{00000000-0005-0000-0000-0000CD0A0000}"/>
    <cellStyle name="Accent4" xfId="2688" xr:uid="{00000000-0005-0000-0000-0000CE0A0000}"/>
    <cellStyle name="Accent5" xfId="2689" xr:uid="{00000000-0005-0000-0000-0000CF0A0000}"/>
    <cellStyle name="Accent6" xfId="2690" xr:uid="{00000000-0005-0000-0000-0000D00A0000}"/>
    <cellStyle name="Acctg" xfId="2691" xr:uid="{00000000-0005-0000-0000-0000D10A0000}"/>
    <cellStyle name="Acctg$" xfId="2692" xr:uid="{00000000-0005-0000-0000-0000D20A0000}"/>
    <cellStyle name="Acctg_Ampla - FO.V1.5Betaxls" xfId="2693" xr:uid="{00000000-0005-0000-0000-0000D30A0000}"/>
    <cellStyle name="Acinput" xfId="2694" xr:uid="{00000000-0005-0000-0000-0000D40A0000}"/>
    <cellStyle name="Acinput,," xfId="2695" xr:uid="{00000000-0005-0000-0000-0000D50A0000}"/>
    <cellStyle name="Acinput_Suporte Shoppings_2T08_v1" xfId="2696" xr:uid="{00000000-0005-0000-0000-0000D60A0000}"/>
    <cellStyle name="Acoutput" xfId="2697" xr:uid="{00000000-0005-0000-0000-0000D70A0000}"/>
    <cellStyle name="Acoutput,," xfId="2698" xr:uid="{00000000-0005-0000-0000-0000D80A0000}"/>
    <cellStyle name="Acoutput_CAScomps02" xfId="2699" xr:uid="{00000000-0005-0000-0000-0000D90A0000}"/>
    <cellStyle name="Acquisition" xfId="2700" xr:uid="{00000000-0005-0000-0000-0000DA0A0000}"/>
    <cellStyle name="Actual Date" xfId="2701" xr:uid="{00000000-0005-0000-0000-0000DB0A0000}"/>
    <cellStyle name="AFE" xfId="2702" xr:uid="{00000000-0005-0000-0000-0000DC0A0000}"/>
    <cellStyle name="Amarelocot" xfId="2703" xr:uid="{00000000-0005-0000-0000-0000DD0A0000}"/>
    <cellStyle name="Amount_EQU_RIGH.XLS_Equity market_Preferred Securities " xfId="2704" xr:uid="{00000000-0005-0000-0000-0000DE0A0000}"/>
    <cellStyle name="Andre's Title" xfId="2705" xr:uid="{00000000-0005-0000-0000-0000DF0A0000}"/>
    <cellStyle name="Ano" xfId="2706" xr:uid="{00000000-0005-0000-0000-0000E00A0000}"/>
    <cellStyle name="Apershare" xfId="2707" xr:uid="{00000000-0005-0000-0000-0000E10A0000}"/>
    <cellStyle name="Aprice" xfId="2708" xr:uid="{00000000-0005-0000-0000-0000E20A0000}"/>
    <cellStyle name="args.style" xfId="2709" xr:uid="{00000000-0005-0000-0000-0000E30A0000}"/>
    <cellStyle name="Arial 10" xfId="2710" xr:uid="{00000000-0005-0000-0000-0000E40A0000}"/>
    <cellStyle name="Arial 12" xfId="2711" xr:uid="{00000000-0005-0000-0000-0000E50A0000}"/>
    <cellStyle name="Array" xfId="2712" xr:uid="{00000000-0005-0000-0000-0000E60A0000}"/>
    <cellStyle name="Array Enter" xfId="2713" xr:uid="{00000000-0005-0000-0000-0000E70A0000}"/>
    <cellStyle name="Assumption" xfId="2714" xr:uid="{00000000-0005-0000-0000-0000E80A0000}"/>
    <cellStyle name="auf tausender" xfId="2715" xr:uid="{00000000-0005-0000-0000-0000E90A0000}"/>
    <cellStyle name="Availability" xfId="2716" xr:uid="{00000000-0005-0000-0000-0000EA0A0000}"/>
    <cellStyle name="axlcolour" xfId="2717" xr:uid="{00000000-0005-0000-0000-0000EB0A0000}"/>
    <cellStyle name="Bad" xfId="2718" xr:uid="{00000000-0005-0000-0000-0000EC0A0000}"/>
    <cellStyle name="BalanceSheet" xfId="2719" xr:uid="{00000000-0005-0000-0000-0000ED0A0000}"/>
    <cellStyle name="black" xfId="2720" xr:uid="{00000000-0005-0000-0000-0000EE0A0000}"/>
    <cellStyle name="BlackStrike" xfId="2721" xr:uid="{00000000-0005-0000-0000-0000EF0A0000}"/>
    <cellStyle name="BlackText" xfId="2722" xr:uid="{00000000-0005-0000-0000-0000F00A0000}"/>
    <cellStyle name="blakc" xfId="2723" xr:uid="{00000000-0005-0000-0000-0000F10A0000}"/>
    <cellStyle name="blank" xfId="2724" xr:uid="{00000000-0005-0000-0000-0000F20A0000}"/>
    <cellStyle name="blue" xfId="2725" xr:uid="{00000000-0005-0000-0000-0000F30A0000}"/>
    <cellStyle name="blue font" xfId="2726" xr:uid="{00000000-0005-0000-0000-0000F40A0000}"/>
    <cellStyle name="blue_Papaya_Elektro_v03" xfId="2727" xr:uid="{00000000-0005-0000-0000-0000F50A0000}"/>
    <cellStyle name="Body" xfId="2728" xr:uid="{00000000-0005-0000-0000-0000F60A0000}"/>
    <cellStyle name="Bold/Border" xfId="2729" xr:uid="{00000000-0005-0000-0000-0000F70A0000}"/>
    <cellStyle name="Bol-Data" xfId="2730" xr:uid="{00000000-0005-0000-0000-0000F80A0000}"/>
    <cellStyle name="BoldText" xfId="2731" xr:uid="{00000000-0005-0000-0000-0000F90A0000}"/>
    <cellStyle name="bolet" xfId="2732" xr:uid="{00000000-0005-0000-0000-0000FA0A0000}"/>
    <cellStyle name="Boletim" xfId="2733" xr:uid="{00000000-0005-0000-0000-0000FB0A0000}"/>
    <cellStyle name="Border" xfId="2734" xr:uid="{00000000-0005-0000-0000-0000FC0A0000}"/>
    <cellStyle name="Border Heavy" xfId="2735" xr:uid="{00000000-0005-0000-0000-0000FD0A0000}"/>
    <cellStyle name="Border Thin" xfId="2736" xr:uid="{00000000-0005-0000-0000-0000FE0A0000}"/>
    <cellStyle name="Border_Papaya_Elektro_v03" xfId="2737" xr:uid="{00000000-0005-0000-0000-0000FF0A0000}"/>
    <cellStyle name="Bottom Edge" xfId="2738" xr:uid="{00000000-0005-0000-0000-0000000B0000}"/>
    <cellStyle name="bp--" xfId="2739" xr:uid="{00000000-0005-0000-0000-0000010B0000}"/>
    <cellStyle name="British Pound" xfId="2740" xr:uid="{00000000-0005-0000-0000-0000020B0000}"/>
    <cellStyle name="bud" xfId="2741" xr:uid="{00000000-0005-0000-0000-0000030B0000}"/>
    <cellStyle name="Bullet" xfId="2742" xr:uid="{00000000-0005-0000-0000-0000040B0000}"/>
    <cellStyle name="Business Description" xfId="2743" xr:uid="{00000000-0005-0000-0000-0000050B0000}"/>
    <cellStyle name="BvDAddIn_Currency" xfId="2744" xr:uid="{00000000-0005-0000-0000-0000060B0000}"/>
    <cellStyle name="CABEÇALHO" xfId="2745" xr:uid="{00000000-0005-0000-0000-0000070B0000}"/>
    <cellStyle name="CABEÇALHO2" xfId="2746" xr:uid="{00000000-0005-0000-0000-0000080B0000}"/>
    <cellStyle name="Calc Currency (0)" xfId="2747" xr:uid="{00000000-0005-0000-0000-0000090B0000}"/>
    <cellStyle name="Calc Currency (2)" xfId="2748" xr:uid="{00000000-0005-0000-0000-00000A0B0000}"/>
    <cellStyle name="Calc Percent (0)" xfId="2749" xr:uid="{00000000-0005-0000-0000-00000B0B0000}"/>
    <cellStyle name="Calc Percent (1)" xfId="2750" xr:uid="{00000000-0005-0000-0000-00000C0B0000}"/>
    <cellStyle name="Calc Percent (2)" xfId="2751" xr:uid="{00000000-0005-0000-0000-00000D0B0000}"/>
    <cellStyle name="Calc Units (0)" xfId="2752" xr:uid="{00000000-0005-0000-0000-00000E0B0000}"/>
    <cellStyle name="Calc Units (1)" xfId="2753" xr:uid="{00000000-0005-0000-0000-00000F0B0000}"/>
    <cellStyle name="Calc Units (2)" xfId="2754" xr:uid="{00000000-0005-0000-0000-0000100B0000}"/>
    <cellStyle name="Calculation" xfId="2755" xr:uid="{00000000-0005-0000-0000-0000110B0000}"/>
    <cellStyle name="Cancel" xfId="2756" xr:uid="{00000000-0005-0000-0000-0000120B0000}"/>
    <cellStyle name="čárky [0]_Business Plan MCE" xfId="2757" xr:uid="{00000000-0005-0000-0000-0000130B0000}"/>
    <cellStyle name="čárky_Business Plan MCE" xfId="2758" xr:uid="{00000000-0005-0000-0000-0000140B0000}"/>
    <cellStyle name="Carteira" xfId="2759" xr:uid="{00000000-0005-0000-0000-0000150B0000}"/>
    <cellStyle name="Case" xfId="2760" xr:uid="{00000000-0005-0000-0000-0000160B0000}"/>
    <cellStyle name="CashFlow" xfId="2761" xr:uid="{00000000-0005-0000-0000-0000170B0000}"/>
    <cellStyle name="category" xfId="2762" xr:uid="{00000000-0005-0000-0000-0000180B0000}"/>
    <cellStyle name="Cents" xfId="2763" xr:uid="{00000000-0005-0000-0000-0000190B0000}"/>
    <cellStyle name="Check" xfId="2764" xr:uid="{00000000-0005-0000-0000-00001A0B0000}"/>
    <cellStyle name="Check Cell" xfId="2765" xr:uid="{00000000-0005-0000-0000-00001B0B0000}"/>
    <cellStyle name="Check_Suporte Shoppings_2T08_v1" xfId="2766" xr:uid="{00000000-0005-0000-0000-00001C0B0000}"/>
    <cellStyle name="clear" xfId="2767" xr:uid="{00000000-0005-0000-0000-00001D0B0000}"/>
    <cellStyle name="clear color" xfId="2768" xr:uid="{00000000-0005-0000-0000-00001E0B0000}"/>
    <cellStyle name="Co. Names" xfId="2769" xr:uid="{00000000-0005-0000-0000-00001F0B0000}"/>
    <cellStyle name="Co. Names - Bold" xfId="2770" xr:uid="{00000000-0005-0000-0000-0000200B0000}"/>
    <cellStyle name="Co. Names_Break-Up" xfId="2771" xr:uid="{00000000-0005-0000-0000-0000210B0000}"/>
    <cellStyle name="COL HEADINGS" xfId="2772" xr:uid="{00000000-0005-0000-0000-0000220B0000}"/>
    <cellStyle name="colhead" xfId="2773" xr:uid="{00000000-0005-0000-0000-0000230B0000}"/>
    <cellStyle name="ColHeading" xfId="2774" xr:uid="{00000000-0005-0000-0000-0000240B0000}"/>
    <cellStyle name="Column Headings" xfId="2775" xr:uid="{00000000-0005-0000-0000-0000250B0000}"/>
    <cellStyle name="Column Title" xfId="2776" xr:uid="{00000000-0005-0000-0000-0000260B0000}"/>
    <cellStyle name="Column_Title" xfId="2777" xr:uid="{00000000-0005-0000-0000-0000270B0000}"/>
    <cellStyle name="Comma  - Style1" xfId="2778" xr:uid="{00000000-0005-0000-0000-0000280B0000}"/>
    <cellStyle name="Comma [00]" xfId="2779" xr:uid="{00000000-0005-0000-0000-0000290B0000}"/>
    <cellStyle name="Comma [1]" xfId="2780" xr:uid="{00000000-0005-0000-0000-00002A0B0000}"/>
    <cellStyle name="Comma [2]" xfId="2781" xr:uid="{00000000-0005-0000-0000-00002B0B0000}"/>
    <cellStyle name="Comma [3]" xfId="2782" xr:uid="{00000000-0005-0000-0000-00002C0B0000}"/>
    <cellStyle name="Comma 0" xfId="2783" xr:uid="{00000000-0005-0000-0000-00002D0B0000}"/>
    <cellStyle name="Comma 0*" xfId="2784" xr:uid="{00000000-0005-0000-0000-00002E0B0000}"/>
    <cellStyle name="Comma 0_~0059636" xfId="2785" xr:uid="{00000000-0005-0000-0000-00002F0B0000}"/>
    <cellStyle name="Comma 2" xfId="2786" xr:uid="{00000000-0005-0000-0000-0000300B0000}"/>
    <cellStyle name="Comma Cents" xfId="2787" xr:uid="{00000000-0005-0000-0000-0000310B0000}"/>
    <cellStyle name="Comma0" xfId="2788" xr:uid="{00000000-0005-0000-0000-0000320B0000}"/>
    <cellStyle name="Comma0 - Modelo1" xfId="2789" xr:uid="{00000000-0005-0000-0000-0000330B0000}"/>
    <cellStyle name="Comma0 - Style1" xfId="2790" xr:uid="{00000000-0005-0000-0000-0000340B0000}"/>
    <cellStyle name="Comma0 - Style2" xfId="2791" xr:uid="{00000000-0005-0000-0000-0000350B0000}"/>
    <cellStyle name="Comma0_contribution analysis" xfId="2792" xr:uid="{00000000-0005-0000-0000-0000360B0000}"/>
    <cellStyle name="Comma1" xfId="2793" xr:uid="{00000000-0005-0000-0000-0000370B0000}"/>
    <cellStyle name="Comma1 - Modelo2" xfId="2794" xr:uid="{00000000-0005-0000-0000-0000380B0000}"/>
    <cellStyle name="Comma1 - Style1" xfId="2795" xr:uid="{00000000-0005-0000-0000-0000390B0000}"/>
    <cellStyle name="Comma1 - Style2" xfId="2796" xr:uid="{00000000-0005-0000-0000-00003A0B0000}"/>
    <cellStyle name="Company" xfId="2797" xr:uid="{00000000-0005-0000-0000-00003B0B0000}"/>
    <cellStyle name="Conferência" xfId="2798" xr:uid="{00000000-0005-0000-0000-00003C0B0000}"/>
    <cellStyle name="Copied" xfId="2799" xr:uid="{00000000-0005-0000-0000-00003D0B0000}"/>
    <cellStyle name="COST1" xfId="2800" xr:uid="{00000000-0005-0000-0000-00003E0B0000}"/>
    <cellStyle name="CurRatio" xfId="2801" xr:uid="{00000000-0005-0000-0000-00003F0B0000}"/>
    <cellStyle name="Curren - Style2" xfId="2802" xr:uid="{00000000-0005-0000-0000-0000400B0000}"/>
    <cellStyle name="Currency--" xfId="2803" xr:uid="{00000000-0005-0000-0000-0000410B0000}"/>
    <cellStyle name="Currency [00]" xfId="2804" xr:uid="{00000000-0005-0000-0000-0000420B0000}"/>
    <cellStyle name="Currency [1]" xfId="2805" xr:uid="{00000000-0005-0000-0000-0000430B0000}"/>
    <cellStyle name="Currency [2]" xfId="2806" xr:uid="{00000000-0005-0000-0000-0000440B0000}"/>
    <cellStyle name="Currency [3]" xfId="2807" xr:uid="{00000000-0005-0000-0000-0000450B0000}"/>
    <cellStyle name="Currency 0" xfId="2808" xr:uid="{00000000-0005-0000-0000-0000460B0000}"/>
    <cellStyle name="Currency 2" xfId="2809" xr:uid="{00000000-0005-0000-0000-0000470B0000}"/>
    <cellStyle name="Currency 3*" xfId="2810" xr:uid="{00000000-0005-0000-0000-0000480B0000}"/>
    <cellStyle name="Currency Per Share" xfId="2811" xr:uid="{00000000-0005-0000-0000-0000490B0000}"/>
    <cellStyle name="Currency$" xfId="2812" xr:uid="{00000000-0005-0000-0000-00004A0B0000}"/>
    <cellStyle name="Currency--_football field" xfId="2813" xr:uid="{00000000-0005-0000-0000-00004B0B0000}"/>
    <cellStyle name="Currency0" xfId="2814" xr:uid="{00000000-0005-0000-0000-00004C0B0000}"/>
    <cellStyle name="Currency1" xfId="2815" xr:uid="{00000000-0005-0000-0000-00004D0B0000}"/>
    <cellStyle name="Currency2" xfId="2816" xr:uid="{00000000-0005-0000-0000-00004E0B0000}"/>
    <cellStyle name="Currsmall" xfId="2817" xr:uid="{00000000-0005-0000-0000-00004F0B0000}"/>
    <cellStyle name="d_yield" xfId="2818" xr:uid="{00000000-0005-0000-0000-0000500B0000}"/>
    <cellStyle name="d_yield_AVP" xfId="2819" xr:uid="{00000000-0005-0000-0000-0000510B0000}"/>
    <cellStyle name="d_yield_AVP_Graphic Depiction - NO DEV" xfId="2820" xr:uid="{00000000-0005-0000-0000-0000520B0000}"/>
    <cellStyle name="d_yield_AVP_THEsumPage (2)" xfId="2821" xr:uid="{00000000-0005-0000-0000-0000530B0000}"/>
    <cellStyle name="d_yield_CompSheet" xfId="2822" xr:uid="{00000000-0005-0000-0000-0000540B0000}"/>
    <cellStyle name="d_yield_Disc Analysis" xfId="2823" xr:uid="{00000000-0005-0000-0000-0000550B0000}"/>
    <cellStyle name="d_yield_Disc Analysis_CompSheet" xfId="2824" xr:uid="{00000000-0005-0000-0000-0000560B0000}"/>
    <cellStyle name="d_yield_Disc Analysis_THEsumPage (2)" xfId="2825" xr:uid="{00000000-0005-0000-0000-0000570B0000}"/>
    <cellStyle name="d_yield_Fairness Opinion Valuation 4-23a.xls Chart 1" xfId="2826" xr:uid="{00000000-0005-0000-0000-0000580B0000}"/>
    <cellStyle name="d_yield_LP Chart" xfId="2827" xr:uid="{00000000-0005-0000-0000-0000590B0000}"/>
    <cellStyle name="d_yield_LP Chart_THEsumPage (2)" xfId="2828" xr:uid="{00000000-0005-0000-0000-00005A0B0000}"/>
    <cellStyle name="d_yield_Merg Cons" xfId="2829" xr:uid="{00000000-0005-0000-0000-00005B0B0000}"/>
    <cellStyle name="d_yield_Merg Cons_CompSheet" xfId="2830" xr:uid="{00000000-0005-0000-0000-00005C0B0000}"/>
    <cellStyle name="d_yield_Merg Cons_THEsumPage (2)" xfId="2831" xr:uid="{00000000-0005-0000-0000-00005D0B0000}"/>
    <cellStyle name="d_yield_PowerValuation.xls Chart 21" xfId="2832" xr:uid="{00000000-0005-0000-0000-00005E0B0000}"/>
    <cellStyle name="d_yield_PowerValuation.xls Chart 28" xfId="2833" xr:uid="{00000000-0005-0000-0000-00005F0B0000}"/>
    <cellStyle name="d_yield_Proj10" xfId="2834" xr:uid="{00000000-0005-0000-0000-0000600B0000}"/>
    <cellStyle name="d_yield_Proj10_AVP" xfId="2835" xr:uid="{00000000-0005-0000-0000-0000610B0000}"/>
    <cellStyle name="d_yield_Proj10_AVP_Graphic Depiction - NO DEV" xfId="2836" xr:uid="{00000000-0005-0000-0000-0000620B0000}"/>
    <cellStyle name="d_yield_Proj10_AVP_THEsumPage (2)" xfId="2837" xr:uid="{00000000-0005-0000-0000-0000630B0000}"/>
    <cellStyle name="d_yield_Proj10_CompSheet" xfId="2838" xr:uid="{00000000-0005-0000-0000-0000640B0000}"/>
    <cellStyle name="d_yield_Proj10_Disc Analysis" xfId="2839" xr:uid="{00000000-0005-0000-0000-0000650B0000}"/>
    <cellStyle name="d_yield_Proj10_Disc Analysis_CompSheet" xfId="2840" xr:uid="{00000000-0005-0000-0000-0000660B0000}"/>
    <cellStyle name="d_yield_Proj10_Disc Analysis_THEsumPage (2)" xfId="2841" xr:uid="{00000000-0005-0000-0000-0000670B0000}"/>
    <cellStyle name="d_yield_Proj10_Fairness Opinion Valuation 4-23a.xls Chart 1" xfId="2842" xr:uid="{00000000-0005-0000-0000-0000680B0000}"/>
    <cellStyle name="d_yield_Proj10_LP Chart" xfId="2843" xr:uid="{00000000-0005-0000-0000-0000690B0000}"/>
    <cellStyle name="d_yield_Proj10_LP Chart_THEsumPage (2)" xfId="2844" xr:uid="{00000000-0005-0000-0000-00006A0B0000}"/>
    <cellStyle name="d_yield_Proj10_Merg Cons" xfId="2845" xr:uid="{00000000-0005-0000-0000-00006B0B0000}"/>
    <cellStyle name="d_yield_Proj10_Merg Cons_CompSheet" xfId="2846" xr:uid="{00000000-0005-0000-0000-00006C0B0000}"/>
    <cellStyle name="d_yield_Proj10_Merg Cons_THEsumPage (2)" xfId="2847" xr:uid="{00000000-0005-0000-0000-00006D0B0000}"/>
    <cellStyle name="d_yield_Proj10_PowerValuation.xls Chart 21" xfId="2848" xr:uid="{00000000-0005-0000-0000-00006E0B0000}"/>
    <cellStyle name="d_yield_Proj10_PowerValuation.xls Chart 28" xfId="2849" xr:uid="{00000000-0005-0000-0000-00006F0B0000}"/>
    <cellStyle name="d_yield_Proj10_Sensitivity" xfId="2850" xr:uid="{00000000-0005-0000-0000-0000700B0000}"/>
    <cellStyle name="d_yield_Proj10_Sensitivity_CompSheet" xfId="2851" xr:uid="{00000000-0005-0000-0000-0000710B0000}"/>
    <cellStyle name="d_yield_Proj10_Sensitivity_THEsumPage (2)" xfId="2852" xr:uid="{00000000-0005-0000-0000-0000720B0000}"/>
    <cellStyle name="d_yield_Proj10_show-hold" xfId="2853" xr:uid="{00000000-0005-0000-0000-0000730B0000}"/>
    <cellStyle name="d_yield_Proj10_show-hold_Graphic Depiction - NO DEV" xfId="2854" xr:uid="{00000000-0005-0000-0000-0000740B0000}"/>
    <cellStyle name="d_yield_Proj10_show-hold_THEsumPage (2)" xfId="2855" xr:uid="{00000000-0005-0000-0000-0000750B0000}"/>
    <cellStyle name="d_yield_Proj10_THEsumPage (2)" xfId="2856" xr:uid="{00000000-0005-0000-0000-0000760B0000}"/>
    <cellStyle name="d_yield_Proj10_Valuation summaries" xfId="2857" xr:uid="{00000000-0005-0000-0000-0000770B0000}"/>
    <cellStyle name="d_yield_Proj10_WACC-CableCar" xfId="2858" xr:uid="{00000000-0005-0000-0000-0000780B0000}"/>
    <cellStyle name="d_yield_Proj10_WACC-CableCar_THEsumPage (2)" xfId="2859" xr:uid="{00000000-0005-0000-0000-0000790B0000}"/>
    <cellStyle name="d_yield_Proj10_WACC-RAD (2)" xfId="2860" xr:uid="{00000000-0005-0000-0000-00007A0B0000}"/>
    <cellStyle name="d_yield_Proj10_WACC-RAD (2)_THEsumPage (2)" xfId="2861" xr:uid="{00000000-0005-0000-0000-00007B0B0000}"/>
    <cellStyle name="d_yield_Sensitivity" xfId="2862" xr:uid="{00000000-0005-0000-0000-00007C0B0000}"/>
    <cellStyle name="d_yield_Sensitivity_CompSheet" xfId="2863" xr:uid="{00000000-0005-0000-0000-00007D0B0000}"/>
    <cellStyle name="d_yield_Sensitivity_THEsumPage (2)" xfId="2864" xr:uid="{00000000-0005-0000-0000-00007E0B0000}"/>
    <cellStyle name="d_yield_show-hold" xfId="2865" xr:uid="{00000000-0005-0000-0000-00007F0B0000}"/>
    <cellStyle name="d_yield_show-hold_CompSheet" xfId="2866" xr:uid="{00000000-0005-0000-0000-0000800B0000}"/>
    <cellStyle name="d_yield_show-hold_THEsumPage (2)" xfId="2867" xr:uid="{00000000-0005-0000-0000-0000810B0000}"/>
    <cellStyle name="d_yield_THEsumPage (2)" xfId="2868" xr:uid="{00000000-0005-0000-0000-0000820B0000}"/>
    <cellStyle name="d_yield_Valuation summaries" xfId="2869" xr:uid="{00000000-0005-0000-0000-0000830B0000}"/>
    <cellStyle name="d_yield_WACC-CableCar" xfId="2870" xr:uid="{00000000-0005-0000-0000-0000840B0000}"/>
    <cellStyle name="d_yield_WACC-CableCar_THEsumPage (2)" xfId="2871" xr:uid="{00000000-0005-0000-0000-0000850B0000}"/>
    <cellStyle name="d_yield_WACC-RAD (2)" xfId="2872" xr:uid="{00000000-0005-0000-0000-0000860B0000}"/>
    <cellStyle name="d_yield_WACC-RAD (2)_THEsumPage (2)" xfId="2873" xr:uid="{00000000-0005-0000-0000-0000870B0000}"/>
    <cellStyle name="Dash" xfId="2874" xr:uid="{00000000-0005-0000-0000-0000880B0000}"/>
    <cellStyle name="Data" xfId="2875" xr:uid="{00000000-0005-0000-0000-0000890B0000}"/>
    <cellStyle name="Data Link" xfId="2876" xr:uid="{00000000-0005-0000-0000-00008A0B0000}"/>
    <cellStyle name="data_Break-Up" xfId="2877" xr:uid="{00000000-0005-0000-0000-00008B0B0000}"/>
    <cellStyle name="Date" xfId="2878" xr:uid="{00000000-0005-0000-0000-00008C0B0000}"/>
    <cellStyle name="Date &amp; Time" xfId="2879" xr:uid="{00000000-0005-0000-0000-00008D0B0000}"/>
    <cellStyle name="Date [d-mmm-yy]" xfId="2880" xr:uid="{00000000-0005-0000-0000-00008E0B0000}"/>
    <cellStyle name="Date [mm-d-yy]" xfId="2881" xr:uid="{00000000-0005-0000-0000-00008F0B0000}"/>
    <cellStyle name="Date [mm-d-yyyy]" xfId="2882" xr:uid="{00000000-0005-0000-0000-0000900B0000}"/>
    <cellStyle name="Date [mmm-d-yyyy]" xfId="2883" xr:uid="{00000000-0005-0000-0000-0000910B0000}"/>
    <cellStyle name="Date [mmm-yy]" xfId="2884" xr:uid="{00000000-0005-0000-0000-0000920B0000}"/>
    <cellStyle name="Date [mmm-yyyy]" xfId="2885" xr:uid="{00000000-0005-0000-0000-0000930B0000}"/>
    <cellStyle name="Date Aligned" xfId="2886" xr:uid="{00000000-0005-0000-0000-0000940B0000}"/>
    <cellStyle name="Date Short" xfId="2887" xr:uid="{00000000-0005-0000-0000-0000950B0000}"/>
    <cellStyle name="Date_~1445599" xfId="2888" xr:uid="{00000000-0005-0000-0000-0000960B0000}"/>
    <cellStyle name="Date2" xfId="2889" xr:uid="{00000000-0005-0000-0000-0000970B0000}"/>
    <cellStyle name="Date2h" xfId="2890" xr:uid="{00000000-0005-0000-0000-0000980B0000}"/>
    <cellStyle name="DATES" xfId="2891" xr:uid="{00000000-0005-0000-0000-0000990B0000}"/>
    <cellStyle name="DateYear" xfId="2892" xr:uid="{00000000-0005-0000-0000-00009A0B0000}"/>
    <cellStyle name="decimal" xfId="2893" xr:uid="{00000000-0005-0000-0000-00009B0B0000}"/>
    <cellStyle name="Dezimal [0]_Compiling Utility Macros" xfId="2894" xr:uid="{00000000-0005-0000-0000-00009C0B0000}"/>
    <cellStyle name="Dezimal_Compiling Utility Macros" xfId="2895" xr:uid="{00000000-0005-0000-0000-00009D0B0000}"/>
    <cellStyle name="Diseño" xfId="2896" xr:uid="{00000000-0005-0000-0000-00009E0B0000}"/>
    <cellStyle name="Dollar" xfId="2897" xr:uid="{00000000-0005-0000-0000-00009F0B0000}"/>
    <cellStyle name="Dollar1" xfId="2898" xr:uid="{00000000-0005-0000-0000-0000A00B0000}"/>
    <cellStyle name="dollars" xfId="2899" xr:uid="{00000000-0005-0000-0000-0000A10B0000}"/>
    <cellStyle name="DollarWhole" xfId="2900" xr:uid="{00000000-0005-0000-0000-0000A20B0000}"/>
    <cellStyle name="Dotted Line" xfId="2901" xr:uid="{00000000-0005-0000-0000-0000A30B0000}"/>
    <cellStyle name="Double Accounting" xfId="2902" xr:uid="{00000000-0005-0000-0000-0000A40B0000}"/>
    <cellStyle name="down" xfId="2903" xr:uid="{00000000-0005-0000-0000-0000A50B0000}"/>
    <cellStyle name="Engine" xfId="2904" xr:uid="{00000000-0005-0000-0000-0000A60B0000}"/>
    <cellStyle name="Enter Currency (0)" xfId="2905" xr:uid="{00000000-0005-0000-0000-0000A70B0000}"/>
    <cellStyle name="Enter Currency (2)" xfId="2906" xr:uid="{00000000-0005-0000-0000-0000A80B0000}"/>
    <cellStyle name="Enter Units (0)" xfId="2907" xr:uid="{00000000-0005-0000-0000-0000A90B0000}"/>
    <cellStyle name="Enter Units (1)" xfId="2908" xr:uid="{00000000-0005-0000-0000-0000AA0B0000}"/>
    <cellStyle name="Enter Units (2)" xfId="2909" xr:uid="{00000000-0005-0000-0000-0000AB0B0000}"/>
    <cellStyle name="Entered" xfId="2910" xr:uid="{00000000-0005-0000-0000-0000AC0B0000}"/>
    <cellStyle name="En-tête 1" xfId="2911" xr:uid="{00000000-0005-0000-0000-0000AD0B0000}"/>
    <cellStyle name="En-tête 2" xfId="2912" xr:uid="{00000000-0005-0000-0000-0000AE0B0000}"/>
    <cellStyle name="Entry_cell" xfId="2913" xr:uid="{00000000-0005-0000-0000-0000AF0B0000}"/>
    <cellStyle name="eps" xfId="2914" xr:uid="{00000000-0005-0000-0000-0000B00B0000}"/>
    <cellStyle name="eps$" xfId="2915" xr:uid="{00000000-0005-0000-0000-0000B10B0000}"/>
    <cellStyle name="eps$A" xfId="2916" xr:uid="{00000000-0005-0000-0000-0000B20B0000}"/>
    <cellStyle name="eps$E" xfId="2917" xr:uid="{00000000-0005-0000-0000-0000B30B0000}"/>
    <cellStyle name="eps_AVP" xfId="2918" xr:uid="{00000000-0005-0000-0000-0000B40B0000}"/>
    <cellStyle name="epsA" xfId="2919" xr:uid="{00000000-0005-0000-0000-0000B50B0000}"/>
    <cellStyle name="epsE" xfId="2920" xr:uid="{00000000-0005-0000-0000-0000B60B0000}"/>
    <cellStyle name="Estilo 1" xfId="2921" xr:uid="{00000000-0005-0000-0000-0000B70B0000}"/>
    <cellStyle name="Estilo 2" xfId="2922" xr:uid="{00000000-0005-0000-0000-0000B80B0000}"/>
    <cellStyle name="Estilo 3" xfId="2923" xr:uid="{00000000-0005-0000-0000-0000B90B0000}"/>
    <cellStyle name="Estilo 4" xfId="2924" xr:uid="{00000000-0005-0000-0000-0000BA0B0000}"/>
    <cellStyle name="Euro" xfId="2925" xr:uid="{00000000-0005-0000-0000-0000BB0B0000}"/>
    <cellStyle name="Ex_MISTO" xfId="2926" xr:uid="{00000000-0005-0000-0000-0000BC0B0000}"/>
    <cellStyle name="Excel.Chart_Jord-4" xfId="2927" xr:uid="{00000000-0005-0000-0000-0000BD0B0000}"/>
    <cellStyle name="Explanatory Text" xfId="2928" xr:uid="{00000000-0005-0000-0000-0000BE0B0000}"/>
    <cellStyle name="f" xfId="2929" xr:uid="{00000000-0005-0000-0000-0000BF0B0000}"/>
    <cellStyle name="F2" xfId="2930" xr:uid="{00000000-0005-0000-0000-0000C00B0000}"/>
    <cellStyle name="F3" xfId="2931" xr:uid="{00000000-0005-0000-0000-0000C10B0000}"/>
    <cellStyle name="F5" xfId="2932" xr:uid="{00000000-0005-0000-0000-0000C20B0000}"/>
    <cellStyle name="F6" xfId="2933" xr:uid="{00000000-0005-0000-0000-0000C30B0000}"/>
    <cellStyle name="F7" xfId="2934" xr:uid="{00000000-0005-0000-0000-0000C40B0000}"/>
    <cellStyle name="FIELD" xfId="2935" xr:uid="{00000000-0005-0000-0000-0000C50B0000}"/>
    <cellStyle name="Finan?ní0" xfId="2936" xr:uid="{00000000-0005-0000-0000-0000C60B0000}"/>
    <cellStyle name="Financial" xfId="2937" xr:uid="{00000000-0005-0000-0000-0000C70B0000}"/>
    <cellStyle name="Financier0" xfId="2938" xr:uid="{00000000-0005-0000-0000-0000C80B0000}"/>
    <cellStyle name="Finanční0" xfId="2939" xr:uid="{00000000-0005-0000-0000-0000C90B0000}"/>
    <cellStyle name="Fixed" xfId="2940" xr:uid="{00000000-0005-0000-0000-0000CA0B0000}"/>
    <cellStyle name="Fixed [0]" xfId="2941" xr:uid="{00000000-0005-0000-0000-0000CB0B0000}"/>
    <cellStyle name="Fixed_ELECTORANDES- OCT 15" xfId="2942" xr:uid="{00000000-0005-0000-0000-0000CC0B0000}"/>
    <cellStyle name="Fixlong" xfId="2943" xr:uid="{00000000-0005-0000-0000-0000CD0B0000}"/>
    <cellStyle name="Fixo" xfId="2944" xr:uid="{00000000-0005-0000-0000-0000CE0B0000}"/>
    <cellStyle name="fo]_x000d__x000a_UserName=Murat Zelef_x000d__x000a_UserCompany=Bumerang_x000d__x000a__x000d__x000a_[File Paths]_x000d__x000a_WorkingDirectory=C:\EQUIS\DLWIN_x000d__x000a_DownLoader=C" xfId="2945" xr:uid="{00000000-0005-0000-0000-0000CF0B0000}"/>
    <cellStyle name="Footnote" xfId="2946" xr:uid="{00000000-0005-0000-0000-0000D00B0000}"/>
    <cellStyle name="Footnotes" xfId="2947" xr:uid="{00000000-0005-0000-0000-0000D10B0000}"/>
    <cellStyle name="forms" xfId="2948" xr:uid="{00000000-0005-0000-0000-0000D20B0000}"/>
    <cellStyle name="Formula" xfId="2949" xr:uid="{00000000-0005-0000-0000-0000D30B0000}"/>
    <cellStyle name="Formula Num" xfId="2950" xr:uid="{00000000-0005-0000-0000-0000D40B0000}"/>
    <cellStyle name="Formula projecao percent" xfId="2951" xr:uid="{00000000-0005-0000-0000-0000D50B0000}"/>
    <cellStyle name="fraction" xfId="2952" xr:uid="{00000000-0005-0000-0000-0000D60B0000}"/>
    <cellStyle name="fundoamarelo" xfId="2953" xr:uid="{00000000-0005-0000-0000-0000D70B0000}"/>
    <cellStyle name="fundoazul" xfId="2954" xr:uid="{00000000-0005-0000-0000-0000D80B0000}"/>
    <cellStyle name="fundocinza" xfId="2955" xr:uid="{00000000-0005-0000-0000-0000D90B0000}"/>
    <cellStyle name="fundodeentrada" xfId="2956" xr:uid="{00000000-0005-0000-0000-0000DA0B0000}"/>
    <cellStyle name="fundoentrada" xfId="2957" xr:uid="{00000000-0005-0000-0000-0000DB0B0000}"/>
    <cellStyle name="fy_eps$" xfId="2958" xr:uid="{00000000-0005-0000-0000-0000DC0B0000}"/>
    <cellStyle name="g_rate" xfId="2959" xr:uid="{00000000-0005-0000-0000-0000DD0B0000}"/>
    <cellStyle name="g_rate_AVP" xfId="2960" xr:uid="{00000000-0005-0000-0000-0000DE0B0000}"/>
    <cellStyle name="g_rate_AVP_Graphic Depiction - NO DEV" xfId="2961" xr:uid="{00000000-0005-0000-0000-0000DF0B0000}"/>
    <cellStyle name="g_rate_AVP_THEsumPage (2)" xfId="2962" xr:uid="{00000000-0005-0000-0000-0000E00B0000}"/>
    <cellStyle name="g_rate_CompSheet" xfId="2963" xr:uid="{00000000-0005-0000-0000-0000E10B0000}"/>
    <cellStyle name="g_rate_Disc Analysis" xfId="2964" xr:uid="{00000000-0005-0000-0000-0000E20B0000}"/>
    <cellStyle name="g_rate_Disc Analysis_CompSheet" xfId="2965" xr:uid="{00000000-0005-0000-0000-0000E30B0000}"/>
    <cellStyle name="g_rate_Disc Analysis_THEsumPage (2)" xfId="2966" xr:uid="{00000000-0005-0000-0000-0000E40B0000}"/>
    <cellStyle name="g_rate_Fairness Opinion Valuation 4-23a.xls Chart 1" xfId="2967" xr:uid="{00000000-0005-0000-0000-0000E50B0000}"/>
    <cellStyle name="g_rate_LP Chart" xfId="2968" xr:uid="{00000000-0005-0000-0000-0000E60B0000}"/>
    <cellStyle name="g_rate_LP Chart_THEsumPage (2)" xfId="2969" xr:uid="{00000000-0005-0000-0000-0000E70B0000}"/>
    <cellStyle name="g_rate_Merg Cons" xfId="2970" xr:uid="{00000000-0005-0000-0000-0000E80B0000}"/>
    <cellStyle name="g_rate_Merg Cons_CompSheet" xfId="2971" xr:uid="{00000000-0005-0000-0000-0000E90B0000}"/>
    <cellStyle name="g_rate_Merg Cons_THEsumPage (2)" xfId="2972" xr:uid="{00000000-0005-0000-0000-0000EA0B0000}"/>
    <cellStyle name="g_rate_PowerValuation.xls Chart 21" xfId="2973" xr:uid="{00000000-0005-0000-0000-0000EB0B0000}"/>
    <cellStyle name="g_rate_PowerValuation.xls Chart 28" xfId="2974" xr:uid="{00000000-0005-0000-0000-0000EC0B0000}"/>
    <cellStyle name="g_rate_Proj10" xfId="2975" xr:uid="{00000000-0005-0000-0000-0000ED0B0000}"/>
    <cellStyle name="g_rate_Proj10_AVP" xfId="2976" xr:uid="{00000000-0005-0000-0000-0000EE0B0000}"/>
    <cellStyle name="g_rate_Proj10_AVP_Graphic Depiction - NO DEV" xfId="2977" xr:uid="{00000000-0005-0000-0000-0000EF0B0000}"/>
    <cellStyle name="g_rate_Proj10_AVP_THEsumPage (2)" xfId="2978" xr:uid="{00000000-0005-0000-0000-0000F00B0000}"/>
    <cellStyle name="g_rate_Proj10_CompSheet" xfId="2979" xr:uid="{00000000-0005-0000-0000-0000F10B0000}"/>
    <cellStyle name="g_rate_Proj10_Disc Analysis" xfId="2980" xr:uid="{00000000-0005-0000-0000-0000F20B0000}"/>
    <cellStyle name="g_rate_Proj10_Disc Analysis_CompSheet" xfId="2981" xr:uid="{00000000-0005-0000-0000-0000F30B0000}"/>
    <cellStyle name="g_rate_Proj10_Disc Analysis_THEsumPage (2)" xfId="2982" xr:uid="{00000000-0005-0000-0000-0000F40B0000}"/>
    <cellStyle name="g_rate_Proj10_Fairness Opinion Valuation 4-23a.xls Chart 1" xfId="2983" xr:uid="{00000000-0005-0000-0000-0000F50B0000}"/>
    <cellStyle name="g_rate_Proj10_LP Chart" xfId="2984" xr:uid="{00000000-0005-0000-0000-0000F60B0000}"/>
    <cellStyle name="g_rate_Proj10_LP Chart_THEsumPage (2)" xfId="2985" xr:uid="{00000000-0005-0000-0000-0000F70B0000}"/>
    <cellStyle name="g_rate_Proj10_Merg Cons" xfId="2986" xr:uid="{00000000-0005-0000-0000-0000F80B0000}"/>
    <cellStyle name="g_rate_Proj10_Merg Cons_CompSheet" xfId="2987" xr:uid="{00000000-0005-0000-0000-0000F90B0000}"/>
    <cellStyle name="g_rate_Proj10_Merg Cons_THEsumPage (2)" xfId="2988" xr:uid="{00000000-0005-0000-0000-0000FA0B0000}"/>
    <cellStyle name="g_rate_Proj10_PowerValuation.xls Chart 21" xfId="2989" xr:uid="{00000000-0005-0000-0000-0000FB0B0000}"/>
    <cellStyle name="g_rate_Proj10_PowerValuation.xls Chart 28" xfId="2990" xr:uid="{00000000-0005-0000-0000-0000FC0B0000}"/>
    <cellStyle name="g_rate_Proj10_Sensitivity" xfId="2991" xr:uid="{00000000-0005-0000-0000-0000FD0B0000}"/>
    <cellStyle name="g_rate_Proj10_Sensitivity_CompSheet" xfId="2992" xr:uid="{00000000-0005-0000-0000-0000FE0B0000}"/>
    <cellStyle name="g_rate_Proj10_Sensitivity_THEsumPage (2)" xfId="2993" xr:uid="{00000000-0005-0000-0000-0000FF0B0000}"/>
    <cellStyle name="g_rate_Proj10_show-hold" xfId="2994" xr:uid="{00000000-0005-0000-0000-0000000C0000}"/>
    <cellStyle name="g_rate_Proj10_show-hold_Graphic Depiction - NO DEV" xfId="2995" xr:uid="{00000000-0005-0000-0000-0000010C0000}"/>
    <cellStyle name="g_rate_Proj10_show-hold_THEsumPage (2)" xfId="2996" xr:uid="{00000000-0005-0000-0000-0000020C0000}"/>
    <cellStyle name="g_rate_Proj10_THEsumPage (2)" xfId="2997" xr:uid="{00000000-0005-0000-0000-0000030C0000}"/>
    <cellStyle name="g_rate_Proj10_Valuation summaries" xfId="2998" xr:uid="{00000000-0005-0000-0000-0000040C0000}"/>
    <cellStyle name="g_rate_Proj10_WACC-CableCar" xfId="2999" xr:uid="{00000000-0005-0000-0000-0000050C0000}"/>
    <cellStyle name="g_rate_Proj10_WACC-CableCar_THEsumPage (2)" xfId="3000" xr:uid="{00000000-0005-0000-0000-0000060C0000}"/>
    <cellStyle name="g_rate_Proj10_WACC-RAD (2)" xfId="3001" xr:uid="{00000000-0005-0000-0000-0000070C0000}"/>
    <cellStyle name="g_rate_Proj10_WACC-RAD (2)_THEsumPage (2)" xfId="3002" xr:uid="{00000000-0005-0000-0000-0000080C0000}"/>
    <cellStyle name="g_rate_Sensitivity" xfId="3003" xr:uid="{00000000-0005-0000-0000-0000090C0000}"/>
    <cellStyle name="g_rate_Sensitivity_CompSheet" xfId="3004" xr:uid="{00000000-0005-0000-0000-00000A0C0000}"/>
    <cellStyle name="g_rate_Sensitivity_THEsumPage (2)" xfId="3005" xr:uid="{00000000-0005-0000-0000-00000B0C0000}"/>
    <cellStyle name="g_rate_show-hold" xfId="3006" xr:uid="{00000000-0005-0000-0000-00000C0C0000}"/>
    <cellStyle name="g_rate_show-hold_CompSheet" xfId="3007" xr:uid="{00000000-0005-0000-0000-00000D0C0000}"/>
    <cellStyle name="g_rate_show-hold_THEsumPage (2)" xfId="3008" xr:uid="{00000000-0005-0000-0000-00000E0C0000}"/>
    <cellStyle name="g_rate_THEsumPage (2)" xfId="3009" xr:uid="{00000000-0005-0000-0000-00000F0C0000}"/>
    <cellStyle name="g_rate_Valuation summaries" xfId="3010" xr:uid="{00000000-0005-0000-0000-0000100C0000}"/>
    <cellStyle name="g_rate_WACC-CableCar" xfId="3011" xr:uid="{00000000-0005-0000-0000-0000110C0000}"/>
    <cellStyle name="g_rate_WACC-CableCar_THEsumPage (2)" xfId="3012" xr:uid="{00000000-0005-0000-0000-0000120C0000}"/>
    <cellStyle name="g_rate_WACC-RAD (2)" xfId="3013" xr:uid="{00000000-0005-0000-0000-0000130C0000}"/>
    <cellStyle name="g_rate_WACC-RAD (2)_THEsumPage (2)" xfId="3014" xr:uid="{00000000-0005-0000-0000-0000140C0000}"/>
    <cellStyle name="general" xfId="3015" xr:uid="{00000000-0005-0000-0000-0000150C0000}"/>
    <cellStyle name="Global" xfId="3016" xr:uid="{00000000-0005-0000-0000-0000160C0000}"/>
    <cellStyle name="Good" xfId="3017" xr:uid="{00000000-0005-0000-0000-0000170C0000}"/>
    <cellStyle name="Grey" xfId="3018" xr:uid="{00000000-0005-0000-0000-0000180C0000}"/>
    <cellStyle name="GrowthRate" xfId="3019" xr:uid="{00000000-0005-0000-0000-0000190C0000}"/>
    <cellStyle name="GWN Table Body" xfId="3020" xr:uid="{00000000-0005-0000-0000-00001A0C0000}"/>
    <cellStyle name="GWN Table Header" xfId="3021" xr:uid="{00000000-0005-0000-0000-00001B0C0000}"/>
    <cellStyle name="GWN Table Left Header" xfId="3022" xr:uid="{00000000-0005-0000-0000-00001C0C0000}"/>
    <cellStyle name="GWN Table Note" xfId="3023" xr:uid="{00000000-0005-0000-0000-00001D0C0000}"/>
    <cellStyle name="GWN Table Title" xfId="3024" xr:uid="{00000000-0005-0000-0000-00001E0C0000}"/>
    <cellStyle name="hard no" xfId="3025" xr:uid="{00000000-0005-0000-0000-00001F0C0000}"/>
    <cellStyle name="hard no." xfId="3026" xr:uid="{00000000-0005-0000-0000-0000200C0000}"/>
    <cellStyle name="Hard Num" xfId="3027" xr:uid="{00000000-0005-0000-0000-0000210C0000}"/>
    <cellStyle name="Hard Percent" xfId="3028" xr:uid="{00000000-0005-0000-0000-0000220C0000}"/>
    <cellStyle name="hardno" xfId="3029" xr:uid="{00000000-0005-0000-0000-0000230C0000}"/>
    <cellStyle name="Head de Tabela Dinâmica" xfId="3030" xr:uid="{00000000-0005-0000-0000-0000240C0000}"/>
    <cellStyle name="heade4r" xfId="3031" xr:uid="{00000000-0005-0000-0000-0000250C0000}"/>
    <cellStyle name="Header" xfId="3032" xr:uid="{00000000-0005-0000-0000-0000260C0000}"/>
    <cellStyle name="Header1" xfId="3033" xr:uid="{00000000-0005-0000-0000-0000270C0000}"/>
    <cellStyle name="Header2" xfId="3034" xr:uid="{00000000-0005-0000-0000-0000280C0000}"/>
    <cellStyle name="headers" xfId="3035" xr:uid="{00000000-0005-0000-0000-0000290C0000}"/>
    <cellStyle name="Heading" xfId="3036" xr:uid="{00000000-0005-0000-0000-00002A0C0000}"/>
    <cellStyle name="Heading 1" xfId="3037" xr:uid="{00000000-0005-0000-0000-00002B0C0000}"/>
    <cellStyle name="Heading 2" xfId="3038" xr:uid="{00000000-0005-0000-0000-00002C0C0000}"/>
    <cellStyle name="Heading 3" xfId="3039" xr:uid="{00000000-0005-0000-0000-00002D0C0000}"/>
    <cellStyle name="Heading 4" xfId="3040" xr:uid="{00000000-0005-0000-0000-00002E0C0000}"/>
    <cellStyle name="Heading_Add in Rafael" xfId="3041" xr:uid="{00000000-0005-0000-0000-00002F0C0000}"/>
    <cellStyle name="Heading1" xfId="3042" xr:uid="{00000000-0005-0000-0000-0000300C0000}"/>
    <cellStyle name="Heading2" xfId="3043" xr:uid="{00000000-0005-0000-0000-0000310C0000}"/>
    <cellStyle name="HeadingS" xfId="3044" xr:uid="{00000000-0005-0000-0000-0000320C0000}"/>
    <cellStyle name="hidden" xfId="3045" xr:uid="{00000000-0005-0000-0000-0000330C0000}"/>
    <cellStyle name="Highlight" xfId="3046" xr:uid="{00000000-0005-0000-0000-0000340C0000}"/>
    <cellStyle name="Hipervínculo visitado_Inversiones Febrero 2000 reports" xfId="3047" xr:uid="{00000000-0005-0000-0000-0000350C0000}"/>
    <cellStyle name="Hipervínculo_ENERGIA SEMPRA feb-2000 (sin cobros indebidos)" xfId="3048" xr:uid="{00000000-0005-0000-0000-0000360C0000}"/>
    <cellStyle name="Historical" xfId="3049" xr:uid="{00000000-0005-0000-0000-0000370C0000}"/>
    <cellStyle name="IncomeStatement" xfId="3050" xr:uid="{00000000-0005-0000-0000-0000380C0000}"/>
    <cellStyle name="Inconsistent" xfId="3051" xr:uid="{00000000-0005-0000-0000-0000390C0000}"/>
    <cellStyle name="Indefinido" xfId="3052" xr:uid="{00000000-0005-0000-0000-00003A0C0000}"/>
    <cellStyle name="Info Cell" xfId="3053" xr:uid="{00000000-0005-0000-0000-00003B0C0000}"/>
    <cellStyle name="Information" xfId="3054" xr:uid="{00000000-0005-0000-0000-00003C0C0000}"/>
    <cellStyle name="InLink" xfId="3055" xr:uid="{00000000-0005-0000-0000-00003D0C0000}"/>
    <cellStyle name="Input" xfId="3056" xr:uid="{00000000-0005-0000-0000-00003E0C0000}"/>
    <cellStyle name="Input (£m)" xfId="3057" xr:uid="{00000000-0005-0000-0000-00003F0C0000}"/>
    <cellStyle name="Input (1dp#)_ Pies " xfId="3058" xr:uid="{00000000-0005-0000-0000-0000400C0000}"/>
    <cellStyle name="Input [yellow]" xfId="3059" xr:uid="{00000000-0005-0000-0000-0000410C0000}"/>
    <cellStyle name="Input Cell" xfId="3060" xr:uid="{00000000-0005-0000-0000-0000420C0000}"/>
    <cellStyle name="Input Cells" xfId="3061" xr:uid="{00000000-0005-0000-0000-0000430C0000}"/>
    <cellStyle name="Input Currency" xfId="3062" xr:uid="{00000000-0005-0000-0000-0000440C0000}"/>
    <cellStyle name="Input Date" xfId="3063" xr:uid="{00000000-0005-0000-0000-0000450C0000}"/>
    <cellStyle name="Input Fixed [0]" xfId="3064" xr:uid="{00000000-0005-0000-0000-0000460C0000}"/>
    <cellStyle name="Input Normal" xfId="3065" xr:uid="{00000000-0005-0000-0000-0000470C0000}"/>
    <cellStyle name="input override" xfId="3066" xr:uid="{00000000-0005-0000-0000-0000480C0000}"/>
    <cellStyle name="Input Percent" xfId="3067" xr:uid="{00000000-0005-0000-0000-0000490C0000}"/>
    <cellStyle name="Input Percent [2]" xfId="3068" xr:uid="{00000000-0005-0000-0000-00004A0C0000}"/>
    <cellStyle name="Input Percent_~1445599" xfId="3069" xr:uid="{00000000-0005-0000-0000-00004B0C0000}"/>
    <cellStyle name="Input Titles" xfId="3070" xr:uid="{00000000-0005-0000-0000-00004C0C0000}"/>
    <cellStyle name="Input_ " xfId="3071" xr:uid="{00000000-0005-0000-0000-00004D0C0000}"/>
    <cellStyle name="Input0" xfId="3072" xr:uid="{00000000-0005-0000-0000-00004E0C0000}"/>
    <cellStyle name="Input1" xfId="3073" xr:uid="{00000000-0005-0000-0000-00004F0C0000}"/>
    <cellStyle name="Input2" xfId="3074" xr:uid="{00000000-0005-0000-0000-0000500C0000}"/>
    <cellStyle name="InputCurrency" xfId="3075" xr:uid="{00000000-0005-0000-0000-0000510C0000}"/>
    <cellStyle name="InputCurrency2" xfId="3076" xr:uid="{00000000-0005-0000-0000-0000520C0000}"/>
    <cellStyle name="InputGen" xfId="3077" xr:uid="{00000000-0005-0000-0000-0000530C0000}"/>
    <cellStyle name="InputKeepColour" xfId="3078" xr:uid="{00000000-0005-0000-0000-0000540C0000}"/>
    <cellStyle name="InputKeepPale" xfId="3079" xr:uid="{00000000-0005-0000-0000-0000550C0000}"/>
    <cellStyle name="InputMultiple1" xfId="3080" xr:uid="{00000000-0005-0000-0000-0000560C0000}"/>
    <cellStyle name="InputNormal" xfId="3081" xr:uid="{00000000-0005-0000-0000-0000570C0000}"/>
    <cellStyle name="InputPercent1" xfId="3082" xr:uid="{00000000-0005-0000-0000-0000580C0000}"/>
    <cellStyle name="InputVariColour" xfId="3083" xr:uid="{00000000-0005-0000-0000-0000590C0000}"/>
    <cellStyle name="Integer" xfId="3084" xr:uid="{00000000-0005-0000-0000-00005A0C0000}"/>
    <cellStyle name="Item" xfId="3085" xr:uid="{00000000-0005-0000-0000-00005B0C0000}"/>
    <cellStyle name="Item Descriptions" xfId="3086" xr:uid="{00000000-0005-0000-0000-00005C0C0000}"/>
    <cellStyle name="Item Descriptions - Bold" xfId="3087" xr:uid="{00000000-0005-0000-0000-00005D0C0000}"/>
    <cellStyle name="Item Descriptions_6079BX" xfId="3088" xr:uid="{00000000-0005-0000-0000-00005E0C0000}"/>
    <cellStyle name="Item_Projeto Europa - Valuation PARGIM_IBBA_v13" xfId="3089" xr:uid="{00000000-0005-0000-0000-00005F0C0000}"/>
    <cellStyle name="Items_Optional" xfId="3090" xr:uid="{00000000-0005-0000-0000-0000600C0000}"/>
    <cellStyle name="ItemTypeClass" xfId="3091" xr:uid="{00000000-0005-0000-0000-0000610C0000}"/>
    <cellStyle name="JustOneDec" xfId="3092" xr:uid="{00000000-0005-0000-0000-0000620C0000}"/>
    <cellStyle name="Komma [0]_businessplan CMA '99v1" xfId="3093" xr:uid="{00000000-0005-0000-0000-0000630C0000}"/>
    <cellStyle name="Komma_businessplan 99-08-20 SC-SC terreinen" xfId="3094" xr:uid="{00000000-0005-0000-0000-0000640C0000}"/>
    <cellStyle name="KP_Normal" xfId="3095" xr:uid="{00000000-0005-0000-0000-0000650C0000}"/>
    <cellStyle name="L BP" xfId="3096" xr:uid="{00000000-0005-0000-0000-0000660C0000}"/>
    <cellStyle name="Lable8Left" xfId="3097" xr:uid="{00000000-0005-0000-0000-0000670C0000}"/>
    <cellStyle name="Lien hypertexte" xfId="3098" xr:uid="{00000000-0005-0000-0000-0000680C0000}"/>
    <cellStyle name="Lien hypertexte visité" xfId="3099" xr:uid="{00000000-0005-0000-0000-0000690C0000}"/>
    <cellStyle name="Line" xfId="3100" xr:uid="{00000000-0005-0000-0000-00006A0C0000}"/>
    <cellStyle name="Link Currency (0)" xfId="3101" xr:uid="{00000000-0005-0000-0000-00006B0C0000}"/>
    <cellStyle name="Link Currency (2)" xfId="3102" xr:uid="{00000000-0005-0000-0000-00006C0C0000}"/>
    <cellStyle name="Link Units (0)" xfId="3103" xr:uid="{00000000-0005-0000-0000-00006D0C0000}"/>
    <cellStyle name="Link Units (1)" xfId="3104" xr:uid="{00000000-0005-0000-0000-00006E0C0000}"/>
    <cellStyle name="Link Units (2)" xfId="3105" xr:uid="{00000000-0005-0000-0000-00006F0C0000}"/>
    <cellStyle name="Linked Cell" xfId="3106" xr:uid="{00000000-0005-0000-0000-0000700C0000}"/>
    <cellStyle name="Linked Cells" xfId="3107" xr:uid="{00000000-0005-0000-0000-0000710C0000}"/>
    <cellStyle name="Lock" xfId="3108" xr:uid="{00000000-0005-0000-0000-0000720C0000}"/>
    <cellStyle name="Lock partiel" xfId="3109" xr:uid="{00000000-0005-0000-0000-0000730C0000}"/>
    <cellStyle name="Lock_AfricaMiddleEastMobileDemand2Q2005" xfId="3110" xr:uid="{00000000-0005-0000-0000-0000740C0000}"/>
    <cellStyle name="Locked" xfId="3111" xr:uid="{00000000-0005-0000-0000-0000750C0000}"/>
    <cellStyle name="m" xfId="3112" xr:uid="{00000000-0005-0000-0000-0000760C0000}"/>
    <cellStyle name="m$" xfId="3113" xr:uid="{00000000-0005-0000-0000-0000770C0000}"/>
    <cellStyle name="m/d/yy" xfId="3114" xr:uid="{00000000-0005-0000-0000-0000780C0000}"/>
    <cellStyle name="m_AVP" xfId="3115" xr:uid="{00000000-0005-0000-0000-0000790C0000}"/>
    <cellStyle name="m_Disc Analysis" xfId="3116" xr:uid="{00000000-0005-0000-0000-00007A0C0000}"/>
    <cellStyle name="m_LP Chart" xfId="3117" xr:uid="{00000000-0005-0000-0000-00007B0C0000}"/>
    <cellStyle name="m_Merg Cons" xfId="3118" xr:uid="{00000000-0005-0000-0000-00007C0C0000}"/>
    <cellStyle name="m_Proj10" xfId="3119" xr:uid="{00000000-0005-0000-0000-00007D0C0000}"/>
    <cellStyle name="m_Proj10_AVP" xfId="3120" xr:uid="{00000000-0005-0000-0000-00007E0C0000}"/>
    <cellStyle name="m_Proj10_Disc Analysis" xfId="3121" xr:uid="{00000000-0005-0000-0000-00007F0C0000}"/>
    <cellStyle name="m_Proj10_LP Chart" xfId="3122" xr:uid="{00000000-0005-0000-0000-0000800C0000}"/>
    <cellStyle name="m_Proj10_Merg Cons" xfId="3123" xr:uid="{00000000-0005-0000-0000-0000810C0000}"/>
    <cellStyle name="m_Proj10_Sensitivity" xfId="3124" xr:uid="{00000000-0005-0000-0000-0000820C0000}"/>
    <cellStyle name="m_Proj10_show-hold" xfId="3125" xr:uid="{00000000-0005-0000-0000-0000830C0000}"/>
    <cellStyle name="m_Proj10_WACC-CableCar" xfId="3126" xr:uid="{00000000-0005-0000-0000-0000840C0000}"/>
    <cellStyle name="m_Proj10_WACC-RAD (2)" xfId="3127" xr:uid="{00000000-0005-0000-0000-0000850C0000}"/>
    <cellStyle name="m_Sensitivity" xfId="3128" xr:uid="{00000000-0005-0000-0000-0000860C0000}"/>
    <cellStyle name="m_show-hold" xfId="3129" xr:uid="{00000000-0005-0000-0000-0000870C0000}"/>
    <cellStyle name="m_WACC-CableCar" xfId="3130" xr:uid="{00000000-0005-0000-0000-0000880C0000}"/>
    <cellStyle name="m_WACC-RAD (2)" xfId="3131" xr:uid="{00000000-0005-0000-0000-0000890C0000}"/>
    <cellStyle name="MacroCode" xfId="3132" xr:uid="{00000000-0005-0000-0000-00008A0C0000}"/>
    <cellStyle name="Margin" xfId="3133" xr:uid="{00000000-0005-0000-0000-00008B0C0000}"/>
    <cellStyle name="Margin with x [1]" xfId="3134" xr:uid="{00000000-0005-0000-0000-00008C0C0000}"/>
    <cellStyle name="Margin without x [1]" xfId="3135" xr:uid="{00000000-0005-0000-0000-00008D0C0000}"/>
    <cellStyle name="Margin_Hering_Apoio_v11" xfId="3136" xr:uid="{00000000-0005-0000-0000-00008E0C0000}"/>
    <cellStyle name="Margins" xfId="3137" xr:uid="{00000000-0005-0000-0000-00008F0C0000}"/>
    <cellStyle name="měny_Business Plan MCE" xfId="3138" xr:uid="{00000000-0005-0000-0000-0000900C0000}"/>
    <cellStyle name="Migliaia (0)_1320 NX" xfId="3139" xr:uid="{00000000-0005-0000-0000-0000910C0000}"/>
    <cellStyle name="Migliaia_1320 NX" xfId="3140" xr:uid="{00000000-0005-0000-0000-0000920C0000}"/>
    <cellStyle name="Mike" xfId="3141" xr:uid="{00000000-0005-0000-0000-0000930C0000}"/>
    <cellStyle name="Millares [0,1]" xfId="3142" xr:uid="{00000000-0005-0000-0000-0000940C0000}"/>
    <cellStyle name="Millares [0.0]" xfId="3143" xr:uid="{00000000-0005-0000-0000-0000950C0000}"/>
    <cellStyle name="Millares [0.1]" xfId="3144" xr:uid="{00000000-0005-0000-0000-0000960C0000}"/>
    <cellStyle name="Millares [0]_$aSOLES" xfId="3145" xr:uid="{00000000-0005-0000-0000-0000970C0000}"/>
    <cellStyle name="Millares [1]" xfId="3146" xr:uid="{00000000-0005-0000-0000-0000980C0000}"/>
    <cellStyle name="Millares [2]" xfId="3147" xr:uid="{00000000-0005-0000-0000-0000990C0000}"/>
    <cellStyle name="Millares [3]" xfId="3148" xr:uid="{00000000-0005-0000-0000-00009A0C0000}"/>
    <cellStyle name="Millares(0)" xfId="3149" xr:uid="{00000000-0005-0000-0000-00009B0C0000}"/>
    <cellStyle name="Millares(1)" xfId="3150" xr:uid="{00000000-0005-0000-0000-00009C0C0000}"/>
    <cellStyle name="Millares[1]" xfId="3151" xr:uid="{00000000-0005-0000-0000-00009D0C0000}"/>
    <cellStyle name="Millares_$aSOLES" xfId="3152" xr:uid="{00000000-0005-0000-0000-00009E0C0000}"/>
    <cellStyle name="Milliers [0]_!!!GO" xfId="3153" xr:uid="{00000000-0005-0000-0000-00009F0C0000}"/>
    <cellStyle name="Milliers_!!!GO" xfId="3154" xr:uid="{00000000-0005-0000-0000-0000A00C0000}"/>
    <cellStyle name="Misto" xfId="3155" xr:uid="{00000000-0005-0000-0000-0000A10C0000}"/>
    <cellStyle name="MLComma0" xfId="3156" xr:uid="{00000000-0005-0000-0000-0000A20C0000}"/>
    <cellStyle name="MLDollar0" xfId="3157" xr:uid="{00000000-0005-0000-0000-0000A30C0000}"/>
    <cellStyle name="MLEuro0" xfId="3158" xr:uid="{00000000-0005-0000-0000-0000A40C0000}"/>
    <cellStyle name="MLHeaderSection" xfId="3159" xr:uid="{00000000-0005-0000-0000-0000A50C0000}"/>
    <cellStyle name="MLMultiple0" xfId="3160" xr:uid="{00000000-0005-0000-0000-0000A60C0000}"/>
    <cellStyle name="MLPercent0" xfId="3161" xr:uid="{00000000-0005-0000-0000-0000A70C0000}"/>
    <cellStyle name="MLPound0" xfId="3162" xr:uid="{00000000-0005-0000-0000-0000A80C0000}"/>
    <cellStyle name="MLYen0" xfId="3163" xr:uid="{00000000-0005-0000-0000-0000A90C0000}"/>
    <cellStyle name="mm" xfId="3164" xr:uid="{00000000-0005-0000-0000-0000AA0C0000}"/>
    <cellStyle name="Model" xfId="3165" xr:uid="{00000000-0005-0000-0000-0000AB0C0000}"/>
    <cellStyle name="Moeda 2" xfId="8" xr:uid="{00000000-0005-0000-0000-0000AC0C0000}"/>
    <cellStyle name="Moeda 2 2" xfId="9" xr:uid="{00000000-0005-0000-0000-0000AD0C0000}"/>
    <cellStyle name="Moeda 2 2 2" xfId="10" xr:uid="{00000000-0005-0000-0000-0000AE0C0000}"/>
    <cellStyle name="Moeda 2 3" xfId="11" xr:uid="{00000000-0005-0000-0000-0000AF0C0000}"/>
    <cellStyle name="Moeda 3" xfId="12" xr:uid="{00000000-0005-0000-0000-0000B00C0000}"/>
    <cellStyle name="Moeda 4" xfId="13" xr:uid="{00000000-0005-0000-0000-0000B10C0000}"/>
    <cellStyle name="Moeda 5" xfId="3729" xr:uid="{00000000-0005-0000-0000-0000B20C0000}"/>
    <cellStyle name="Moneda [0]_$aSOLES" xfId="3166" xr:uid="{00000000-0005-0000-0000-0000B30C0000}"/>
    <cellStyle name="Moneda_$aSOLES" xfId="3167" xr:uid="{00000000-0005-0000-0000-0000B40C0000}"/>
    <cellStyle name="Monétaire [0]_!!!GO" xfId="3168" xr:uid="{00000000-0005-0000-0000-0000B50C0000}"/>
    <cellStyle name="Monétaire_!!!GO" xfId="3169" xr:uid="{00000000-0005-0000-0000-0000B60C0000}"/>
    <cellStyle name="Monétaire0" xfId="3170" xr:uid="{00000000-0005-0000-0000-0000B70C0000}"/>
    <cellStyle name="Money" xfId="3171" xr:uid="{00000000-0005-0000-0000-0000B80C0000}"/>
    <cellStyle name="Money2" xfId="3172" xr:uid="{00000000-0005-0000-0000-0000B90C0000}"/>
    <cellStyle name="Morgan" xfId="3173" xr:uid="{00000000-0005-0000-0000-0000BA0C0000}"/>
    <cellStyle name="Morgan assump" xfId="3174" xr:uid="{00000000-0005-0000-0000-0000BB0C0000}"/>
    <cellStyle name="Morgan pct assump" xfId="3175" xr:uid="{00000000-0005-0000-0000-0000BC0C0000}"/>
    <cellStyle name="movimentação" xfId="3176" xr:uid="{00000000-0005-0000-0000-0000BD0C0000}"/>
    <cellStyle name="Muliple" xfId="3177" xr:uid="{00000000-0005-0000-0000-0000BE0C0000}"/>
    <cellStyle name="Multiple" xfId="3178" xr:uid="{00000000-0005-0000-0000-0000BF0C0000}"/>
    <cellStyle name="Multiple [0]" xfId="3179" xr:uid="{00000000-0005-0000-0000-0000C00C0000}"/>
    <cellStyle name="Multiple [1]" xfId="3180" xr:uid="{00000000-0005-0000-0000-0000C10C0000}"/>
    <cellStyle name="Multiple [2]" xfId="3181" xr:uid="{00000000-0005-0000-0000-0000C20C0000}"/>
    <cellStyle name="Multiple [3]" xfId="3182" xr:uid="{00000000-0005-0000-0000-0000C30C0000}"/>
    <cellStyle name="Multiple_1030171N" xfId="3183" xr:uid="{00000000-0005-0000-0000-0000C40C0000}"/>
    <cellStyle name="Multiple0" xfId="3184" xr:uid="{00000000-0005-0000-0000-0000C50C0000}"/>
    <cellStyle name="Multiple1" xfId="3185" xr:uid="{00000000-0005-0000-0000-0000C60C0000}"/>
    <cellStyle name="Multiple-Special" xfId="3186" xr:uid="{00000000-0005-0000-0000-0000C70C0000}"/>
    <cellStyle name="NA is zero" xfId="3187" xr:uid="{00000000-0005-0000-0000-0000C80C0000}"/>
    <cellStyle name="neg0.0" xfId="3188" xr:uid="{00000000-0005-0000-0000-0000C90C0000}"/>
    <cellStyle name="Neutral" xfId="3189" xr:uid="{00000000-0005-0000-0000-0000CA0C0000}"/>
    <cellStyle name="new" xfId="3190" xr:uid="{00000000-0005-0000-0000-0000CB0C0000}"/>
    <cellStyle name="Nil" xfId="3191" xr:uid="{00000000-0005-0000-0000-0000CC0C0000}"/>
    <cellStyle name="no dec" xfId="3192" xr:uid="{00000000-0005-0000-0000-0000CD0C0000}"/>
    <cellStyle name="No-definido" xfId="3193" xr:uid="{00000000-0005-0000-0000-0000CE0C0000}"/>
    <cellStyle name="Non-Input" xfId="3194" xr:uid="{00000000-0005-0000-0000-0000CF0C0000}"/>
    <cellStyle name="NonPrintingArea" xfId="3195" xr:uid="{00000000-0005-0000-0000-0000D00C0000}"/>
    <cellStyle name="Normal" xfId="0" builtinId="0"/>
    <cellStyle name="Normal--" xfId="3196" xr:uid="{00000000-0005-0000-0000-0000D20C0000}"/>
    <cellStyle name="Normal - Style1" xfId="3197" xr:uid="{00000000-0005-0000-0000-0000D30C0000}"/>
    <cellStyle name="Normal (%)" xfId="3198" xr:uid="{00000000-0005-0000-0000-0000D40C0000}"/>
    <cellStyle name="Normal (£m)" xfId="3199" xr:uid="{00000000-0005-0000-0000-0000D50C0000}"/>
    <cellStyle name="Normal (No)" xfId="3200" xr:uid="{00000000-0005-0000-0000-0000D60C0000}"/>
    <cellStyle name="Normal [0]" xfId="3201" xr:uid="{00000000-0005-0000-0000-0000D70C0000}"/>
    <cellStyle name="Normal [1]" xfId="3202" xr:uid="{00000000-0005-0000-0000-0000D80C0000}"/>
    <cellStyle name="Normal [2]" xfId="3203" xr:uid="{00000000-0005-0000-0000-0000D90C0000}"/>
    <cellStyle name="Normal [3]" xfId="3204" xr:uid="{00000000-0005-0000-0000-0000DA0C0000}"/>
    <cellStyle name="Normal 10" xfId="14" xr:uid="{00000000-0005-0000-0000-0000DB0C0000}"/>
    <cellStyle name="Normal 11" xfId="57" xr:uid="{00000000-0005-0000-0000-0000DC0C0000}"/>
    <cellStyle name="Normal 12" xfId="56" xr:uid="{00000000-0005-0000-0000-0000DD0C0000}"/>
    <cellStyle name="Normal 13" xfId="71" xr:uid="{00000000-0005-0000-0000-0000DE0C0000}"/>
    <cellStyle name="Normal 14" xfId="3726" xr:uid="{00000000-0005-0000-0000-0000DF0C0000}"/>
    <cellStyle name="Normal 15" xfId="3887" xr:uid="{00000000-0005-0000-0000-0000E00C0000}"/>
    <cellStyle name="Normal 2" xfId="2" xr:uid="{00000000-0005-0000-0000-0000E10C0000}"/>
    <cellStyle name="Normal 2 2" xfId="15" xr:uid="{00000000-0005-0000-0000-0000E20C0000}"/>
    <cellStyle name="Normal 2 2 2" xfId="16" xr:uid="{00000000-0005-0000-0000-0000E30C0000}"/>
    <cellStyle name="Normal 2 2 2 2" xfId="65" xr:uid="{00000000-0005-0000-0000-0000E40C0000}"/>
    <cellStyle name="Normal 2 2 3" xfId="72" xr:uid="{00000000-0005-0000-0000-0000E50C0000}"/>
    <cellStyle name="Normal 2 3" xfId="59" xr:uid="{00000000-0005-0000-0000-0000E60C0000}"/>
    <cellStyle name="Normal 2 4" xfId="68" xr:uid="{00000000-0005-0000-0000-0000E70C0000}"/>
    <cellStyle name="Normal 2 5" xfId="75" xr:uid="{00000000-0005-0000-0000-0000E80C0000}"/>
    <cellStyle name="Normal 2 6" xfId="3890" xr:uid="{A73820DC-982A-4BE4-B259-407D46BCBBFD}"/>
    <cellStyle name="Normal 3" xfId="5" xr:uid="{00000000-0005-0000-0000-0000E90C0000}"/>
    <cellStyle name="Normal 3 2" xfId="62" xr:uid="{00000000-0005-0000-0000-0000EA0C0000}"/>
    <cellStyle name="Normal 32" xfId="3205" xr:uid="{00000000-0005-0000-0000-0000EB0C0000}"/>
    <cellStyle name="Normal 35" xfId="3206" xr:uid="{00000000-0005-0000-0000-0000EC0C0000}"/>
    <cellStyle name="Normal 4" xfId="17" xr:uid="{00000000-0005-0000-0000-0000ED0C0000}"/>
    <cellStyle name="Normal 4 2" xfId="18" xr:uid="{00000000-0005-0000-0000-0000EE0C0000}"/>
    <cellStyle name="Normal 4 3" xfId="19" xr:uid="{00000000-0005-0000-0000-0000EF0C0000}"/>
    <cellStyle name="Normal 4 4" xfId="20" xr:uid="{00000000-0005-0000-0000-0000F00C0000}"/>
    <cellStyle name="Normal 4 5" xfId="21" xr:uid="{00000000-0005-0000-0000-0000F10C0000}"/>
    <cellStyle name="Normal 5" xfId="22" xr:uid="{00000000-0005-0000-0000-0000F20C0000}"/>
    <cellStyle name="Normal 5 2" xfId="23" xr:uid="{00000000-0005-0000-0000-0000F30C0000}"/>
    <cellStyle name="Normal 6" xfId="24" xr:uid="{00000000-0005-0000-0000-0000F40C0000}"/>
    <cellStyle name="Normal 6 2" xfId="25" xr:uid="{00000000-0005-0000-0000-0000F50C0000}"/>
    <cellStyle name="Normal 7" xfId="26" xr:uid="{00000000-0005-0000-0000-0000F60C0000}"/>
    <cellStyle name="Normal 7 2" xfId="27" xr:uid="{00000000-0005-0000-0000-0000F70C0000}"/>
    <cellStyle name="Normal 7 2 2" xfId="28" xr:uid="{00000000-0005-0000-0000-0000F80C0000}"/>
    <cellStyle name="Normal 7 3" xfId="29" xr:uid="{00000000-0005-0000-0000-0000F90C0000}"/>
    <cellStyle name="Normal 8" xfId="30" xr:uid="{00000000-0005-0000-0000-0000FA0C0000}"/>
    <cellStyle name="Normal 8 2" xfId="31" xr:uid="{00000000-0005-0000-0000-0000FB0C0000}"/>
    <cellStyle name="Normal 9" xfId="32" xr:uid="{00000000-0005-0000-0000-0000FC0C0000}"/>
    <cellStyle name="Normal 9 2" xfId="33" xr:uid="{00000000-0005-0000-0000-0000FD0C0000}"/>
    <cellStyle name="Normal Bold" xfId="3207" xr:uid="{00000000-0005-0000-0000-0000FE0C0000}"/>
    <cellStyle name="Normal I" xfId="3208" xr:uid="{00000000-0005-0000-0000-0000FF0C0000}"/>
    <cellStyle name="Normal II" xfId="3209" xr:uid="{00000000-0005-0000-0000-0000000D0000}"/>
    <cellStyle name="Normal II a" xfId="3210" xr:uid="{00000000-0005-0000-0000-0000010D0000}"/>
    <cellStyle name="Normal II_Projeto Europa - Valuation PARGIM_IBBA_v13" xfId="3211" xr:uid="{00000000-0005-0000-0000-0000020D0000}"/>
    <cellStyle name="Normal Pct" xfId="3212" xr:uid="{00000000-0005-0000-0000-0000030D0000}"/>
    <cellStyle name="Normal Zero White" xfId="3213" xr:uid="{00000000-0005-0000-0000-0000040D0000}"/>
    <cellStyle name="Normal_AC 05.3 - Def Sign Acc's 2004" xfId="3889" xr:uid="{00000000-0005-0000-0000-0000050D0000}"/>
    <cellStyle name="Normal--_football field" xfId="3214" xr:uid="{00000000-0005-0000-0000-0000060D0000}"/>
    <cellStyle name="Normal0" xfId="3215" xr:uid="{00000000-0005-0000-0000-0000070D0000}"/>
    <cellStyle name="Normal1" xfId="3216" xr:uid="{00000000-0005-0000-0000-0000080D0000}"/>
    <cellStyle name="Normal2" xfId="3217" xr:uid="{00000000-0005-0000-0000-0000090D0000}"/>
    <cellStyle name="NormalBold" xfId="3218" xr:uid="{00000000-0005-0000-0000-00000A0D0000}"/>
    <cellStyle name="NormalCurrency" xfId="3219" xr:uid="{00000000-0005-0000-0000-00000B0D0000}"/>
    <cellStyle name="Normale_1320 NX" xfId="3220" xr:uid="{00000000-0005-0000-0000-00000C0D0000}"/>
    <cellStyle name="NormalGB" xfId="3221" xr:uid="{00000000-0005-0000-0000-00000D0D0000}"/>
    <cellStyle name="NormalHelv" xfId="3222" xr:uid="{00000000-0005-0000-0000-00000E0D0000}"/>
    <cellStyle name="NormalMultiple" xfId="3223" xr:uid="{00000000-0005-0000-0000-00000F0D0000}"/>
    <cellStyle name="normální_Business Plan MCE" xfId="3224" xr:uid="{00000000-0005-0000-0000-0000100D0000}"/>
    <cellStyle name="Normalny_56.Podstawowe dane o woj.(1)" xfId="3225" xr:uid="{00000000-0005-0000-0000-0000110D0000}"/>
    <cellStyle name="NormalPink" xfId="3226" xr:uid="{00000000-0005-0000-0000-0000120D0000}"/>
    <cellStyle name="NormalX" xfId="3227" xr:uid="{00000000-0005-0000-0000-0000130D0000}"/>
    <cellStyle name="NormalxShadow" xfId="3228" xr:uid="{00000000-0005-0000-0000-0000140D0000}"/>
    <cellStyle name="Note" xfId="3229" xr:uid="{00000000-0005-0000-0000-0000150D0000}"/>
    <cellStyle name="NPPESalesPct" xfId="3230" xr:uid="{00000000-0005-0000-0000-0000160D0000}"/>
    <cellStyle name="Num1" xfId="3231" xr:uid="{00000000-0005-0000-0000-0000170D0000}"/>
    <cellStyle name="Num1Blue" xfId="3232" xr:uid="{00000000-0005-0000-0000-0000180D0000}"/>
    <cellStyle name="Number" xfId="3233" xr:uid="{00000000-0005-0000-0000-0000190D0000}"/>
    <cellStyle name="Numbers" xfId="3234" xr:uid="{00000000-0005-0000-0000-00001A0D0000}"/>
    <cellStyle name="Numbers - Bold" xfId="3235" xr:uid="{00000000-0005-0000-0000-00001B0D0000}"/>
    <cellStyle name="Numbers - Bold - Italic" xfId="3236" xr:uid="{00000000-0005-0000-0000-00001C0D0000}"/>
    <cellStyle name="Numbers - Bold_6079BX" xfId="3237" xr:uid="{00000000-0005-0000-0000-00001D0D0000}"/>
    <cellStyle name="Numbers - Large" xfId="3238" xr:uid="{00000000-0005-0000-0000-00001E0D0000}"/>
    <cellStyle name="Numbers_6079BX" xfId="3239" xr:uid="{00000000-0005-0000-0000-00001F0D0000}"/>
    <cellStyle name="NumberX" xfId="3240" xr:uid="{00000000-0005-0000-0000-0000200D0000}"/>
    <cellStyle name="NWI%S" xfId="3241" xr:uid="{00000000-0005-0000-0000-0000210D0000}"/>
    <cellStyle name="Obsolete" xfId="3242" xr:uid="{00000000-0005-0000-0000-0000220D0000}"/>
    <cellStyle name="Œ…‹æØ‚è [0.00]_!!!GO" xfId="3243" xr:uid="{00000000-0005-0000-0000-0000230D0000}"/>
    <cellStyle name="Œ…‹æØ‚è_!!!GO" xfId="3244" xr:uid="{00000000-0005-0000-0000-0000240D0000}"/>
    <cellStyle name="Ongedefinieerd" xfId="3245" xr:uid="{00000000-0005-0000-0000-0000250D0000}"/>
    <cellStyle name="Output" xfId="3246" xr:uid="{00000000-0005-0000-0000-0000260D0000}"/>
    <cellStyle name="Output (1dp#)_ Pies " xfId="3247" xr:uid="{00000000-0005-0000-0000-0000270D0000}"/>
    <cellStyle name="Output (1dpx)_ Pies " xfId="3248" xr:uid="{00000000-0005-0000-0000-0000280D0000}"/>
    <cellStyle name="Output Amounts" xfId="3249" xr:uid="{00000000-0005-0000-0000-0000290D0000}"/>
    <cellStyle name="Output Column Headings" xfId="3250" xr:uid="{00000000-0005-0000-0000-00002A0D0000}"/>
    <cellStyle name="Output Line Items" xfId="3251" xr:uid="{00000000-0005-0000-0000-00002B0D0000}"/>
    <cellStyle name="Output Report Heading" xfId="3252" xr:uid="{00000000-0005-0000-0000-00002C0D0000}"/>
    <cellStyle name="Output Report Title" xfId="3253" xr:uid="{00000000-0005-0000-0000-00002D0D0000}"/>
    <cellStyle name="Output_Acquis_CapitalCost " xfId="3254" xr:uid="{00000000-0005-0000-0000-00002E0D0000}"/>
    <cellStyle name="P" xfId="3255" xr:uid="{00000000-0005-0000-0000-00002F0D0000}"/>
    <cellStyle name="P&amp;L Numbers" xfId="3256" xr:uid="{00000000-0005-0000-0000-0000300D0000}"/>
    <cellStyle name="Package_numbers" xfId="3257" xr:uid="{00000000-0005-0000-0000-0000310D0000}"/>
    <cellStyle name="Page Heading" xfId="3258" xr:uid="{00000000-0005-0000-0000-0000320D0000}"/>
    <cellStyle name="Page Heading Large" xfId="3259" xr:uid="{00000000-0005-0000-0000-0000330D0000}"/>
    <cellStyle name="Page Heading Small" xfId="3260" xr:uid="{00000000-0005-0000-0000-0000340D0000}"/>
    <cellStyle name="Page Number" xfId="3261" xr:uid="{00000000-0005-0000-0000-0000350D0000}"/>
    <cellStyle name="PageSubTitle" xfId="3262" xr:uid="{00000000-0005-0000-0000-0000360D0000}"/>
    <cellStyle name="PageTitle" xfId="3263" xr:uid="{00000000-0005-0000-0000-0000370D0000}"/>
    <cellStyle name="PageTitleSub" xfId="3264" xr:uid="{00000000-0005-0000-0000-0000380D0000}"/>
    <cellStyle name="Palatino" xfId="3265" xr:uid="{00000000-0005-0000-0000-0000390D0000}"/>
    <cellStyle name="PB Table Heading" xfId="3266" xr:uid="{00000000-0005-0000-0000-00003A0D0000}"/>
    <cellStyle name="PB Table Highlight1" xfId="3267" xr:uid="{00000000-0005-0000-0000-00003B0D0000}"/>
    <cellStyle name="PB Table Highlight2" xfId="3268" xr:uid="{00000000-0005-0000-0000-00003C0D0000}"/>
    <cellStyle name="PB Table Highlight3" xfId="3269" xr:uid="{00000000-0005-0000-0000-00003D0D0000}"/>
    <cellStyle name="PB Table Standard Row" xfId="3270" xr:uid="{00000000-0005-0000-0000-00003E0D0000}"/>
    <cellStyle name="PB Table Subtotal Row" xfId="3271" xr:uid="{00000000-0005-0000-0000-00003F0D0000}"/>
    <cellStyle name="PB Table Total Row" xfId="3272" xr:uid="{00000000-0005-0000-0000-0000400D0000}"/>
    <cellStyle name="pb_page_heading_LS" xfId="3273" xr:uid="{00000000-0005-0000-0000-0000410D0000}"/>
    <cellStyle name="pc1" xfId="3274" xr:uid="{00000000-0005-0000-0000-0000420D0000}"/>
    <cellStyle name="pct_sub" xfId="3275" xr:uid="{00000000-0005-0000-0000-0000430D0000}"/>
    <cellStyle name="pe" xfId="3276" xr:uid="{00000000-0005-0000-0000-0000440D0000}"/>
    <cellStyle name="PE(1)" xfId="3277" xr:uid="{00000000-0005-0000-0000-0000450D0000}"/>
    <cellStyle name="PEG" xfId="3278" xr:uid="{00000000-0005-0000-0000-0000460D0000}"/>
    <cellStyle name="Per share data" xfId="3279" xr:uid="{00000000-0005-0000-0000-0000470D0000}"/>
    <cellStyle name="per.style" xfId="3280" xr:uid="{00000000-0005-0000-0000-0000480D0000}"/>
    <cellStyle name="Percent (0)" xfId="3281" xr:uid="{00000000-0005-0000-0000-0000490D0000}"/>
    <cellStyle name="Percent [.00%]" xfId="3282" xr:uid="{00000000-0005-0000-0000-00004A0D0000}"/>
    <cellStyle name="Percent [0]" xfId="3283" xr:uid="{00000000-0005-0000-0000-00004B0D0000}"/>
    <cellStyle name="Percent [00]" xfId="3284" xr:uid="{00000000-0005-0000-0000-00004C0D0000}"/>
    <cellStyle name="Percent [1]" xfId="3285" xr:uid="{00000000-0005-0000-0000-00004D0D0000}"/>
    <cellStyle name="Percent [1]--" xfId="3286" xr:uid="{00000000-0005-0000-0000-00004E0D0000}"/>
    <cellStyle name="Percent [1] --" xfId="3287" xr:uid="{00000000-0005-0000-0000-00004F0D0000}"/>
    <cellStyle name="Percent [1]_~1445599" xfId="3288" xr:uid="{00000000-0005-0000-0000-0000500D0000}"/>
    <cellStyle name="Percent [1]--_Papaya_Elektro_v03" xfId="3289" xr:uid="{00000000-0005-0000-0000-0000510D0000}"/>
    <cellStyle name="Percent [1]_Papaya_Elektro_v04" xfId="3290" xr:uid="{00000000-0005-0000-0000-0000520D0000}"/>
    <cellStyle name="Percent [1]--_Papaya_Elektro_v04" xfId="3291" xr:uid="{00000000-0005-0000-0000-0000530D0000}"/>
    <cellStyle name="Percent [1]_RB IV - Apr-28-05 - EDF" xfId="3292" xr:uid="{00000000-0005-0000-0000-0000540D0000}"/>
    <cellStyle name="Percent [1]--_SUE_LATAM-final" xfId="3293" xr:uid="{00000000-0005-0000-0000-0000550D0000}"/>
    <cellStyle name="Percent [1]_WACC Papaya_v02" xfId="3294" xr:uid="{00000000-0005-0000-0000-0000560D0000}"/>
    <cellStyle name="Percent [1]--_WACC Papaya_v02" xfId="3295" xr:uid="{00000000-0005-0000-0000-0000570D0000}"/>
    <cellStyle name="Percent [2]" xfId="3296" xr:uid="{00000000-0005-0000-0000-0000580D0000}"/>
    <cellStyle name="Percent [3]" xfId="3297" xr:uid="{00000000-0005-0000-0000-0000590D0000}"/>
    <cellStyle name="Percent [3]--" xfId="3298" xr:uid="{00000000-0005-0000-0000-00005A0D0000}"/>
    <cellStyle name="Percent Comma" xfId="3299" xr:uid="{00000000-0005-0000-0000-00005B0D0000}"/>
    <cellStyle name="Percent Hard" xfId="3300" xr:uid="{00000000-0005-0000-0000-00005C0D0000}"/>
    <cellStyle name="Percent input" xfId="3301" xr:uid="{00000000-0005-0000-0000-00005D0D0000}"/>
    <cellStyle name="Percent w/ decimals" xfId="3302" xr:uid="{00000000-0005-0000-0000-00005E0D0000}"/>
    <cellStyle name="Percent(0)" xfId="3303" xr:uid="{00000000-0005-0000-0000-00005F0D0000}"/>
    <cellStyle name="Percent(1)" xfId="3304" xr:uid="{00000000-0005-0000-0000-0000600D0000}"/>
    <cellStyle name="Percent_modelo" xfId="3305" xr:uid="{00000000-0005-0000-0000-0000610D0000}"/>
    <cellStyle name="Percent0" xfId="3306" xr:uid="{00000000-0005-0000-0000-0000620D0000}"/>
    <cellStyle name="Percent1" xfId="3307" xr:uid="{00000000-0005-0000-0000-0000630D0000}"/>
    <cellStyle name="Percent1Blue" xfId="3308" xr:uid="{00000000-0005-0000-0000-0000640D0000}"/>
    <cellStyle name="Percentage" xfId="3309" xr:uid="{00000000-0005-0000-0000-0000650D0000}"/>
    <cellStyle name="PercentageParen" xfId="3310" xr:uid="{00000000-0005-0000-0000-0000660D0000}"/>
    <cellStyle name="PercentChange" xfId="3311" xr:uid="{00000000-0005-0000-0000-0000670D0000}"/>
    <cellStyle name="PercentPresentation" xfId="3312" xr:uid="{00000000-0005-0000-0000-0000680D0000}"/>
    <cellStyle name="PercentSales" xfId="3313" xr:uid="{00000000-0005-0000-0000-0000690D0000}"/>
    <cellStyle name="Percentual" xfId="3314" xr:uid="{00000000-0005-0000-0000-00006A0D0000}"/>
    <cellStyle name="perec" xfId="3315" xr:uid="{00000000-0005-0000-0000-00006B0D0000}"/>
    <cellStyle name="Perlong" xfId="3316" xr:uid="{00000000-0005-0000-0000-00006C0D0000}"/>
    <cellStyle name="pink" xfId="3317" xr:uid="{00000000-0005-0000-0000-00006D0D0000}"/>
    <cellStyle name="POA" xfId="3318" xr:uid="{00000000-0005-0000-0000-00006E0D0000}"/>
    <cellStyle name="Ponto" xfId="3319" xr:uid="{00000000-0005-0000-0000-00006F0D0000}"/>
    <cellStyle name="POPS" xfId="3320" xr:uid="{00000000-0005-0000-0000-0000700D0000}"/>
    <cellStyle name="Porcentagem" xfId="7" builtinId="5"/>
    <cellStyle name="Porcentagem 2" xfId="4" xr:uid="{00000000-0005-0000-0000-0000720D0000}"/>
    <cellStyle name="Porcentagem 2 2" xfId="34" xr:uid="{00000000-0005-0000-0000-0000730D0000}"/>
    <cellStyle name="Porcentagem 2 3" xfId="61" xr:uid="{00000000-0005-0000-0000-0000740D0000}"/>
    <cellStyle name="Porcentagem 3" xfId="6" xr:uid="{00000000-0005-0000-0000-0000750D0000}"/>
    <cellStyle name="Porcentagem 3 2" xfId="35" xr:uid="{00000000-0005-0000-0000-0000760D0000}"/>
    <cellStyle name="Porcentagem 3 3" xfId="63" xr:uid="{00000000-0005-0000-0000-0000770D0000}"/>
    <cellStyle name="Porcentagem 4" xfId="36" xr:uid="{00000000-0005-0000-0000-0000780D0000}"/>
    <cellStyle name="Porcentagem 5" xfId="64" xr:uid="{00000000-0005-0000-0000-0000790D0000}"/>
    <cellStyle name="Porcentagem 6" xfId="70" xr:uid="{00000000-0005-0000-0000-00007A0D0000}"/>
    <cellStyle name="Porcentagem 7" xfId="77" xr:uid="{00000000-0005-0000-0000-00007B0D0000}"/>
    <cellStyle name="Porcentagem 8" xfId="3728" xr:uid="{00000000-0005-0000-0000-00007C0D0000}"/>
    <cellStyle name="Porcentagem 9" xfId="3888" xr:uid="{00000000-0005-0000-0000-00007D0D0000}"/>
    <cellStyle name="Premissas" xfId="3321" xr:uid="{00000000-0005-0000-0000-00007E0D0000}"/>
    <cellStyle name="PrePop Currency (0)" xfId="3322" xr:uid="{00000000-0005-0000-0000-00007F0D0000}"/>
    <cellStyle name="PrePop Currency (2)" xfId="3323" xr:uid="{00000000-0005-0000-0000-0000800D0000}"/>
    <cellStyle name="PrePop Units (0)" xfId="3324" xr:uid="{00000000-0005-0000-0000-0000810D0000}"/>
    <cellStyle name="PrePop Units (1)" xfId="3325" xr:uid="{00000000-0005-0000-0000-0000820D0000}"/>
    <cellStyle name="PrePop Units (2)" xfId="3326" xr:uid="{00000000-0005-0000-0000-0000830D0000}"/>
    <cellStyle name="PresentationZero" xfId="3327" xr:uid="{00000000-0005-0000-0000-0000840D0000}"/>
    <cellStyle name="price" xfId="3328" xr:uid="{00000000-0005-0000-0000-0000850D0000}"/>
    <cellStyle name="pricing" xfId="3329" xr:uid="{00000000-0005-0000-0000-0000860D0000}"/>
    <cellStyle name="Print_header" xfId="3330" xr:uid="{00000000-0005-0000-0000-0000870D0000}"/>
    <cellStyle name="Private" xfId="3331" xr:uid="{00000000-0005-0000-0000-0000880D0000}"/>
    <cellStyle name="Private1" xfId="3332" xr:uid="{00000000-0005-0000-0000-0000890D0000}"/>
    <cellStyle name="Profit figure" xfId="3333" xr:uid="{00000000-0005-0000-0000-00008A0D0000}"/>
    <cellStyle name="Proj" xfId="3334" xr:uid="{00000000-0005-0000-0000-00008B0D0000}"/>
    <cellStyle name="Projecao Num" xfId="3335" xr:uid="{00000000-0005-0000-0000-00008C0D0000}"/>
    <cellStyle name="Projeções" xfId="3336" xr:uid="{00000000-0005-0000-0000-00008D0D0000}"/>
    <cellStyle name="Protected" xfId="3337" xr:uid="{00000000-0005-0000-0000-00008E0D0000}"/>
    <cellStyle name="PSChar" xfId="3338" xr:uid="{00000000-0005-0000-0000-00008F0D0000}"/>
    <cellStyle name="PSDate" xfId="3339" xr:uid="{00000000-0005-0000-0000-0000900D0000}"/>
    <cellStyle name="PSDec" xfId="3340" xr:uid="{00000000-0005-0000-0000-0000910D0000}"/>
    <cellStyle name="PSHeading" xfId="3341" xr:uid="{00000000-0005-0000-0000-0000920D0000}"/>
    <cellStyle name="PSInt" xfId="3342" xr:uid="{00000000-0005-0000-0000-0000930D0000}"/>
    <cellStyle name="PSSpacer" xfId="3343" xr:uid="{00000000-0005-0000-0000-0000940D0000}"/>
    <cellStyle name="q" xfId="3344" xr:uid="{00000000-0005-0000-0000-0000950D0000}"/>
    <cellStyle name="q_AVP" xfId="3345" xr:uid="{00000000-0005-0000-0000-0000960D0000}"/>
    <cellStyle name="q_AVP_Graphic Depiction - NO DEV" xfId="3346" xr:uid="{00000000-0005-0000-0000-0000970D0000}"/>
    <cellStyle name="q_AVP_THEsumPage (2)" xfId="3347" xr:uid="{00000000-0005-0000-0000-0000980D0000}"/>
    <cellStyle name="q_AVP_Valuation Summary Graphics" xfId="3348" xr:uid="{00000000-0005-0000-0000-0000990D0000}"/>
    <cellStyle name="q_CompSheet" xfId="3349" xr:uid="{00000000-0005-0000-0000-00009A0D0000}"/>
    <cellStyle name="q_Disc Analysis" xfId="3350" xr:uid="{00000000-0005-0000-0000-00009B0D0000}"/>
    <cellStyle name="q_Disc Analysis_CompSheet" xfId="3351" xr:uid="{00000000-0005-0000-0000-00009C0D0000}"/>
    <cellStyle name="q_Disc Analysis_Fairness Opinion Valuation 4-23a.xls Chart 1" xfId="3352" xr:uid="{00000000-0005-0000-0000-00009D0D0000}"/>
    <cellStyle name="q_Disc Analysis_PowerValuation.xls Chart 21" xfId="3353" xr:uid="{00000000-0005-0000-0000-00009E0D0000}"/>
    <cellStyle name="q_Disc Analysis_PowerValuation.xls Chart 28" xfId="3354" xr:uid="{00000000-0005-0000-0000-00009F0D0000}"/>
    <cellStyle name="q_Disc Analysis_THEsumPage (2)" xfId="3355" xr:uid="{00000000-0005-0000-0000-0000A00D0000}"/>
    <cellStyle name="q_Disc Analysis_Valuation summaries" xfId="3356" xr:uid="{00000000-0005-0000-0000-0000A10D0000}"/>
    <cellStyle name="q_Fairness Opinion Valuation 4-23a.xls Chart 1" xfId="3357" xr:uid="{00000000-0005-0000-0000-0000A20D0000}"/>
    <cellStyle name="q_Merg Cons" xfId="3358" xr:uid="{00000000-0005-0000-0000-0000A30D0000}"/>
    <cellStyle name="q_Merg Cons_CompSheet" xfId="3359" xr:uid="{00000000-0005-0000-0000-0000A40D0000}"/>
    <cellStyle name="q_Merg Cons_Fairness Opinion Valuation 4-23a.xls Chart 1" xfId="3360" xr:uid="{00000000-0005-0000-0000-0000A50D0000}"/>
    <cellStyle name="q_Merg Cons_PowerValuation.xls Chart 21" xfId="3361" xr:uid="{00000000-0005-0000-0000-0000A60D0000}"/>
    <cellStyle name="q_Merg Cons_PowerValuation.xls Chart 28" xfId="3362" xr:uid="{00000000-0005-0000-0000-0000A70D0000}"/>
    <cellStyle name="q_Merg Cons_THEsumPage (2)" xfId="3363" xr:uid="{00000000-0005-0000-0000-0000A80D0000}"/>
    <cellStyle name="q_Merg Cons_Valuation summaries" xfId="3364" xr:uid="{00000000-0005-0000-0000-0000A90D0000}"/>
    <cellStyle name="q_PowerValuation.xls Chart 21" xfId="3365" xr:uid="{00000000-0005-0000-0000-0000AA0D0000}"/>
    <cellStyle name="q_PowerValuation.xls Chart 28" xfId="3366" xr:uid="{00000000-0005-0000-0000-0000AB0D0000}"/>
    <cellStyle name="q_Proj10" xfId="3367" xr:uid="{00000000-0005-0000-0000-0000AC0D0000}"/>
    <cellStyle name="q_Proj10_AVP" xfId="3368" xr:uid="{00000000-0005-0000-0000-0000AD0D0000}"/>
    <cellStyle name="q_Proj10_AVP_Graphic Depiction - NO DEV" xfId="3369" xr:uid="{00000000-0005-0000-0000-0000AE0D0000}"/>
    <cellStyle name="q_Proj10_AVP_THEsumPage (2)" xfId="3370" xr:uid="{00000000-0005-0000-0000-0000AF0D0000}"/>
    <cellStyle name="q_Proj10_AVP_Valuation Summary Graphics" xfId="3371" xr:uid="{00000000-0005-0000-0000-0000B00D0000}"/>
    <cellStyle name="q_Proj10_CompSheet" xfId="3372" xr:uid="{00000000-0005-0000-0000-0000B10D0000}"/>
    <cellStyle name="q_Proj10_Disc Analysis" xfId="3373" xr:uid="{00000000-0005-0000-0000-0000B20D0000}"/>
    <cellStyle name="q_Proj10_Disc Analysis_CompSheet" xfId="3374" xr:uid="{00000000-0005-0000-0000-0000B30D0000}"/>
    <cellStyle name="q_Proj10_Disc Analysis_Fairness Opinion Valuation 4-23a.xls Chart 1" xfId="3375" xr:uid="{00000000-0005-0000-0000-0000B40D0000}"/>
    <cellStyle name="q_Proj10_Disc Analysis_PowerValuation.xls Chart 21" xfId="3376" xr:uid="{00000000-0005-0000-0000-0000B50D0000}"/>
    <cellStyle name="q_Proj10_Disc Analysis_PowerValuation.xls Chart 28" xfId="3377" xr:uid="{00000000-0005-0000-0000-0000B60D0000}"/>
    <cellStyle name="q_Proj10_Disc Analysis_THEsumPage (2)" xfId="3378" xr:uid="{00000000-0005-0000-0000-0000B70D0000}"/>
    <cellStyle name="q_Proj10_Disc Analysis_Valuation summaries" xfId="3379" xr:uid="{00000000-0005-0000-0000-0000B80D0000}"/>
    <cellStyle name="q_Proj10_Fairness Opinion Valuation 4-23a.xls Chart 1" xfId="3380" xr:uid="{00000000-0005-0000-0000-0000B90D0000}"/>
    <cellStyle name="q_Proj10_Merg Cons" xfId="3381" xr:uid="{00000000-0005-0000-0000-0000BA0D0000}"/>
    <cellStyle name="q_Proj10_Merg Cons_CompSheet" xfId="3382" xr:uid="{00000000-0005-0000-0000-0000BB0D0000}"/>
    <cellStyle name="q_Proj10_Merg Cons_Fairness Opinion Valuation 4-23a.xls Chart 1" xfId="3383" xr:uid="{00000000-0005-0000-0000-0000BC0D0000}"/>
    <cellStyle name="q_Proj10_Merg Cons_PowerValuation.xls Chart 21" xfId="3384" xr:uid="{00000000-0005-0000-0000-0000BD0D0000}"/>
    <cellStyle name="q_Proj10_Merg Cons_PowerValuation.xls Chart 28" xfId="3385" xr:uid="{00000000-0005-0000-0000-0000BE0D0000}"/>
    <cellStyle name="q_Proj10_Merg Cons_THEsumPage (2)" xfId="3386" xr:uid="{00000000-0005-0000-0000-0000BF0D0000}"/>
    <cellStyle name="q_Proj10_Merg Cons_Valuation summaries" xfId="3387" xr:uid="{00000000-0005-0000-0000-0000C00D0000}"/>
    <cellStyle name="q_Proj10_PowerValuation.xls Chart 21" xfId="3388" xr:uid="{00000000-0005-0000-0000-0000C10D0000}"/>
    <cellStyle name="q_Proj10_PowerValuation.xls Chart 28" xfId="3389" xr:uid="{00000000-0005-0000-0000-0000C20D0000}"/>
    <cellStyle name="q_Proj10_Sensitivity" xfId="3390" xr:uid="{00000000-0005-0000-0000-0000C30D0000}"/>
    <cellStyle name="q_Proj10_Sensitivity_CompSheet" xfId="3391" xr:uid="{00000000-0005-0000-0000-0000C40D0000}"/>
    <cellStyle name="q_Proj10_Sensitivity_Fairness Opinion Valuation 4-23a.xls Chart 1" xfId="3392" xr:uid="{00000000-0005-0000-0000-0000C50D0000}"/>
    <cellStyle name="q_Proj10_Sensitivity_PowerValuation.xls Chart 21" xfId="3393" xr:uid="{00000000-0005-0000-0000-0000C60D0000}"/>
    <cellStyle name="q_Proj10_Sensitivity_PowerValuation.xls Chart 28" xfId="3394" xr:uid="{00000000-0005-0000-0000-0000C70D0000}"/>
    <cellStyle name="q_Proj10_Sensitivity_THEsumPage (2)" xfId="3395" xr:uid="{00000000-0005-0000-0000-0000C80D0000}"/>
    <cellStyle name="q_Proj10_Sensitivity_Valuation summaries" xfId="3396" xr:uid="{00000000-0005-0000-0000-0000C90D0000}"/>
    <cellStyle name="q_Proj10_show-hold" xfId="3397" xr:uid="{00000000-0005-0000-0000-0000CA0D0000}"/>
    <cellStyle name="q_Proj10_show-hold_Graphic Depiction - NO DEV" xfId="3398" xr:uid="{00000000-0005-0000-0000-0000CB0D0000}"/>
    <cellStyle name="q_Proj10_show-hold_THEsumPage (2)" xfId="3399" xr:uid="{00000000-0005-0000-0000-0000CC0D0000}"/>
    <cellStyle name="q_Proj10_show-hold_Valuation Summary Graphics" xfId="3400" xr:uid="{00000000-0005-0000-0000-0000CD0D0000}"/>
    <cellStyle name="q_Proj10_THEsumPage (2)" xfId="3401" xr:uid="{00000000-0005-0000-0000-0000CE0D0000}"/>
    <cellStyle name="q_Proj10_Valuation summaries" xfId="3402" xr:uid="{00000000-0005-0000-0000-0000CF0D0000}"/>
    <cellStyle name="q_Proj10_WACC-CableCar" xfId="3403" xr:uid="{00000000-0005-0000-0000-0000D00D0000}"/>
    <cellStyle name="q_Proj10_WACC-CableCar_THEsumPage (2)" xfId="3404" xr:uid="{00000000-0005-0000-0000-0000D10D0000}"/>
    <cellStyle name="q_Sensitivity" xfId="3405" xr:uid="{00000000-0005-0000-0000-0000D20D0000}"/>
    <cellStyle name="q_Sensitivity_CompSheet" xfId="3406" xr:uid="{00000000-0005-0000-0000-0000D30D0000}"/>
    <cellStyle name="q_Sensitivity_Fairness Opinion Valuation 4-23a.xls Chart 1" xfId="3407" xr:uid="{00000000-0005-0000-0000-0000D40D0000}"/>
    <cellStyle name="q_Sensitivity_PowerValuation.xls Chart 21" xfId="3408" xr:uid="{00000000-0005-0000-0000-0000D50D0000}"/>
    <cellStyle name="q_Sensitivity_PowerValuation.xls Chart 28" xfId="3409" xr:uid="{00000000-0005-0000-0000-0000D60D0000}"/>
    <cellStyle name="q_Sensitivity_THEsumPage (2)" xfId="3410" xr:uid="{00000000-0005-0000-0000-0000D70D0000}"/>
    <cellStyle name="q_Sensitivity_Valuation summaries" xfId="3411" xr:uid="{00000000-0005-0000-0000-0000D80D0000}"/>
    <cellStyle name="q_show-hold" xfId="3412" xr:uid="{00000000-0005-0000-0000-0000D90D0000}"/>
    <cellStyle name="q_show-hold_CompSheet" xfId="3413" xr:uid="{00000000-0005-0000-0000-0000DA0D0000}"/>
    <cellStyle name="q_show-hold_Fairness Opinion Valuation 4-23a.xls Chart 1" xfId="3414" xr:uid="{00000000-0005-0000-0000-0000DB0D0000}"/>
    <cellStyle name="q_show-hold_PowerValuation.xls Chart 21" xfId="3415" xr:uid="{00000000-0005-0000-0000-0000DC0D0000}"/>
    <cellStyle name="q_show-hold_PowerValuation.xls Chart 28" xfId="3416" xr:uid="{00000000-0005-0000-0000-0000DD0D0000}"/>
    <cellStyle name="q_show-hold_THEsumPage (2)" xfId="3417" xr:uid="{00000000-0005-0000-0000-0000DE0D0000}"/>
    <cellStyle name="q_show-hold_Valuation summaries" xfId="3418" xr:uid="{00000000-0005-0000-0000-0000DF0D0000}"/>
    <cellStyle name="q_THEsumPage (2)" xfId="3419" xr:uid="{00000000-0005-0000-0000-0000E00D0000}"/>
    <cellStyle name="q_Valuation summaries" xfId="3420" xr:uid="{00000000-0005-0000-0000-0000E10D0000}"/>
    <cellStyle name="q_WACC-CableCar" xfId="3421" xr:uid="{00000000-0005-0000-0000-0000E20D0000}"/>
    <cellStyle name="q_WACC-CableCar_THEsumPage (2)" xfId="3422" xr:uid="{00000000-0005-0000-0000-0000E30D0000}"/>
    <cellStyle name="QEPS-h" xfId="3423" xr:uid="{00000000-0005-0000-0000-0000E40D0000}"/>
    <cellStyle name="QEPS-H1" xfId="3424" xr:uid="{00000000-0005-0000-0000-0000E50D0000}"/>
    <cellStyle name="qRange" xfId="3425" xr:uid="{00000000-0005-0000-0000-0000E60D0000}"/>
    <cellStyle name="Qté calculées" xfId="3426" xr:uid="{00000000-0005-0000-0000-0000E70D0000}"/>
    <cellStyle name="QTé entrées" xfId="3427" xr:uid="{00000000-0005-0000-0000-0000E80D0000}"/>
    <cellStyle name="r" xfId="3428" xr:uid="{00000000-0005-0000-0000-0000E90D0000}"/>
    <cellStyle name="r_Dominion_One_Pager 05_28_02 v34" xfId="3429" xr:uid="{00000000-0005-0000-0000-0000EA0D0000}"/>
    <cellStyle name="r_EXC-PSEG PF v5" xfId="3430" xr:uid="{00000000-0005-0000-0000-0000EB0D0000}"/>
    <cellStyle name="r_Merger_PSEG_v9.2" xfId="3431" xr:uid="{00000000-0005-0000-0000-0000EC0D0000}"/>
    <cellStyle name="r_Merger_PSEG_v9.2_Exelon Power Fuel Forecast - Project P 6-11-2004 ver21" xfId="3432" xr:uid="{00000000-0005-0000-0000-0000ED0D0000}"/>
    <cellStyle name="r_Merger_PSEG_v9.2_ML Outputs" xfId="3433" xr:uid="{00000000-0005-0000-0000-0000EE0D0000}"/>
    <cellStyle name="r_Merger_PSEG_v9.2_Project Forest Pro Forma Model v58" xfId="3434" xr:uid="{00000000-0005-0000-0000-0000EF0D0000}"/>
    <cellStyle name="r_ML Outputs" xfId="3435" xr:uid="{00000000-0005-0000-0000-0000F00D0000}"/>
    <cellStyle name="r_Model v9.8" xfId="3436" xr:uid="{00000000-0005-0000-0000-0000F10D0000}"/>
    <cellStyle name="r_Modeling3" xfId="3437" xr:uid="{00000000-0005-0000-0000-0000F20D0000}"/>
    <cellStyle name="r_Project Forest Pro Forma Model v58" xfId="3438" xr:uid="{00000000-0005-0000-0000-0000F30D0000}"/>
    <cellStyle name="r_PSEG Consolidated Model ver 23" xfId="3439" xr:uid="{00000000-0005-0000-0000-0000F40D0000}"/>
    <cellStyle name="range" xfId="3440" xr:uid="{00000000-0005-0000-0000-0000F50D0000}"/>
    <cellStyle name="rate" xfId="3441" xr:uid="{00000000-0005-0000-0000-0000F60D0000}"/>
    <cellStyle name="Ratio" xfId="3442" xr:uid="{00000000-0005-0000-0000-0000F70D0000}"/>
    <cellStyle name="Ratio Comma" xfId="3443" xr:uid="{00000000-0005-0000-0000-0000F80D0000}"/>
    <cellStyle name="Ratio_~1445599" xfId="3444" xr:uid="{00000000-0005-0000-0000-0000F90D0000}"/>
    <cellStyle name="RatioX" xfId="3445" xr:uid="{00000000-0005-0000-0000-0000FA0D0000}"/>
    <cellStyle name="red" xfId="3446" xr:uid="{00000000-0005-0000-0000-0000FB0D0000}"/>
    <cellStyle name="Red font" xfId="3447" xr:uid="{00000000-0005-0000-0000-0000FC0D0000}"/>
    <cellStyle name="Red Text" xfId="3448" xr:uid="{00000000-0005-0000-0000-0000FD0D0000}"/>
    <cellStyle name="Ref Numbers" xfId="3449" xr:uid="{00000000-0005-0000-0000-0000FE0D0000}"/>
    <cellStyle name="Renata" xfId="3450" xr:uid="{00000000-0005-0000-0000-0000FF0D0000}"/>
    <cellStyle name="Renata I" xfId="3451" xr:uid="{00000000-0005-0000-0000-0000000E0000}"/>
    <cellStyle name="Renata II" xfId="3452" xr:uid="{00000000-0005-0000-0000-0000010E0000}"/>
    <cellStyle name="Renata III" xfId="3453" xr:uid="{00000000-0005-0000-0000-0000020E0000}"/>
    <cellStyle name="Renata_Add in Rafael" xfId="3454" xr:uid="{00000000-0005-0000-0000-0000030E0000}"/>
    <cellStyle name="RevList" xfId="3455" xr:uid="{00000000-0005-0000-0000-0000040E0000}"/>
    <cellStyle name="Right" xfId="3456" xr:uid="{00000000-0005-0000-0000-0000050E0000}"/>
    <cellStyle name="RISKbigPercent" xfId="3457" xr:uid="{00000000-0005-0000-0000-0000060E0000}"/>
    <cellStyle name="RISKblandrEdge" xfId="3458" xr:uid="{00000000-0005-0000-0000-0000070E0000}"/>
    <cellStyle name="RISKblCorner" xfId="3459" xr:uid="{00000000-0005-0000-0000-0000080E0000}"/>
    <cellStyle name="RISKbottomEdge" xfId="3460" xr:uid="{00000000-0005-0000-0000-0000090E0000}"/>
    <cellStyle name="RISKbrCorner" xfId="3461" xr:uid="{00000000-0005-0000-0000-00000A0E0000}"/>
    <cellStyle name="RISKdarkBoxed" xfId="3462" xr:uid="{00000000-0005-0000-0000-00000B0E0000}"/>
    <cellStyle name="RISKdarkShade" xfId="3463" xr:uid="{00000000-0005-0000-0000-00000C0E0000}"/>
    <cellStyle name="RISKdbottomEdge" xfId="3464" xr:uid="{00000000-0005-0000-0000-00000D0E0000}"/>
    <cellStyle name="RISKdrightEdge" xfId="3465" xr:uid="{00000000-0005-0000-0000-00000E0E0000}"/>
    <cellStyle name="RISKdurationTime" xfId="3466" xr:uid="{00000000-0005-0000-0000-00000F0E0000}"/>
    <cellStyle name="RISKinNumber" xfId="3467" xr:uid="{00000000-0005-0000-0000-0000100E0000}"/>
    <cellStyle name="RISKlandrEdge" xfId="3468" xr:uid="{00000000-0005-0000-0000-0000110E0000}"/>
    <cellStyle name="RISKleftEdge" xfId="3469" xr:uid="{00000000-0005-0000-0000-0000120E0000}"/>
    <cellStyle name="RISKlightBoxed" xfId="3470" xr:uid="{00000000-0005-0000-0000-0000130E0000}"/>
    <cellStyle name="RISKltandbEdge" xfId="3471" xr:uid="{00000000-0005-0000-0000-0000140E0000}"/>
    <cellStyle name="RISKnormBoxed" xfId="3472" xr:uid="{00000000-0005-0000-0000-0000150E0000}"/>
    <cellStyle name="RISKnormCenter" xfId="3473" xr:uid="{00000000-0005-0000-0000-0000160E0000}"/>
    <cellStyle name="RISKnormHeading" xfId="3474" xr:uid="{00000000-0005-0000-0000-0000170E0000}"/>
    <cellStyle name="RISKnormItal" xfId="3475" xr:uid="{00000000-0005-0000-0000-0000180E0000}"/>
    <cellStyle name="RISKnormLabel" xfId="3476" xr:uid="{00000000-0005-0000-0000-0000190E0000}"/>
    <cellStyle name="RISKnormShade" xfId="3477" xr:uid="{00000000-0005-0000-0000-00001A0E0000}"/>
    <cellStyle name="RISKnormTitle" xfId="3478" xr:uid="{00000000-0005-0000-0000-00001B0E0000}"/>
    <cellStyle name="RISKoutNumber" xfId="3479" xr:uid="{00000000-0005-0000-0000-00001C0E0000}"/>
    <cellStyle name="RISKrightEdge" xfId="3480" xr:uid="{00000000-0005-0000-0000-00001D0E0000}"/>
    <cellStyle name="RISKrtandbEdge" xfId="3481" xr:uid="{00000000-0005-0000-0000-00001E0E0000}"/>
    <cellStyle name="RISKssTime" xfId="3482" xr:uid="{00000000-0005-0000-0000-00001F0E0000}"/>
    <cellStyle name="RISKtandbEdge" xfId="3483" xr:uid="{00000000-0005-0000-0000-0000200E0000}"/>
    <cellStyle name="RISKtlandrEdge" xfId="3484" xr:uid="{00000000-0005-0000-0000-0000210E0000}"/>
    <cellStyle name="RISKtlCorner" xfId="3485" xr:uid="{00000000-0005-0000-0000-0000220E0000}"/>
    <cellStyle name="RISKtopEdge" xfId="3486" xr:uid="{00000000-0005-0000-0000-0000230E0000}"/>
    <cellStyle name="RISKtrCorner" xfId="3487" xr:uid="{00000000-0005-0000-0000-0000240E0000}"/>
    <cellStyle name="RM" xfId="3488" xr:uid="{00000000-0005-0000-0000-0000250E0000}"/>
    <cellStyle name="Roadrunner" xfId="3489" xr:uid="{00000000-0005-0000-0000-0000260E0000}"/>
    <cellStyle name="robs" xfId="3490" xr:uid="{00000000-0005-0000-0000-0000270E0000}"/>
    <cellStyle name="rodape" xfId="3491" xr:uid="{00000000-0005-0000-0000-0000280E0000}"/>
    <cellStyle name="Row Headings" xfId="3492" xr:uid="{00000000-0005-0000-0000-0000290E0000}"/>
    <cellStyle name="s]_x000d__x000a_load=_x000d__x000a_run=_x000d__x000a_NullPort=None_x000d__x000a_DosPrint=no_x000d__x000a_device=HP LaserJet 4ML,HPPCL5MS,\\CONTABILIDADE\Q_HDH9006P4_x000d__x000a__x000d__x000a_[Desktop]_x000d__x000a_" xfId="3493" xr:uid="{00000000-0005-0000-0000-00002A0E0000}"/>
    <cellStyle name="Salomon Logo" xfId="3494" xr:uid="{00000000-0005-0000-0000-00002B0E0000}"/>
    <cellStyle name="SAPBEXaggData" xfId="3495" xr:uid="{00000000-0005-0000-0000-00002C0E0000}"/>
    <cellStyle name="SAPBEXaggDataEmph" xfId="3496" xr:uid="{00000000-0005-0000-0000-00002D0E0000}"/>
    <cellStyle name="SAPBEXaggItem" xfId="3497" xr:uid="{00000000-0005-0000-0000-00002E0E0000}"/>
    <cellStyle name="SAPBEXaggItemX" xfId="3498" xr:uid="{00000000-0005-0000-0000-00002F0E0000}"/>
    <cellStyle name="SAPBEXchaText" xfId="3499" xr:uid="{00000000-0005-0000-0000-0000300E0000}"/>
    <cellStyle name="SAPBEXexcBad7" xfId="3500" xr:uid="{00000000-0005-0000-0000-0000310E0000}"/>
    <cellStyle name="SAPBEXexcBad8" xfId="3501" xr:uid="{00000000-0005-0000-0000-0000320E0000}"/>
    <cellStyle name="SAPBEXexcBad9" xfId="3502" xr:uid="{00000000-0005-0000-0000-0000330E0000}"/>
    <cellStyle name="SAPBEXexcCritical4" xfId="3503" xr:uid="{00000000-0005-0000-0000-0000340E0000}"/>
    <cellStyle name="SAPBEXexcCritical5" xfId="3504" xr:uid="{00000000-0005-0000-0000-0000350E0000}"/>
    <cellStyle name="SAPBEXexcCritical6" xfId="3505" xr:uid="{00000000-0005-0000-0000-0000360E0000}"/>
    <cellStyle name="SAPBEXexcGood1" xfId="3506" xr:uid="{00000000-0005-0000-0000-0000370E0000}"/>
    <cellStyle name="SAPBEXexcGood2" xfId="3507" xr:uid="{00000000-0005-0000-0000-0000380E0000}"/>
    <cellStyle name="SAPBEXexcGood3" xfId="3508" xr:uid="{00000000-0005-0000-0000-0000390E0000}"/>
    <cellStyle name="SAPBEXfilterDrill" xfId="3509" xr:uid="{00000000-0005-0000-0000-00003A0E0000}"/>
    <cellStyle name="SAPBEXfilterItem" xfId="3510" xr:uid="{00000000-0005-0000-0000-00003B0E0000}"/>
    <cellStyle name="SAPBEXfilterText" xfId="3511" xr:uid="{00000000-0005-0000-0000-00003C0E0000}"/>
    <cellStyle name="SAPBEXformats" xfId="3512" xr:uid="{00000000-0005-0000-0000-00003D0E0000}"/>
    <cellStyle name="SAPBEXheaderItem" xfId="3513" xr:uid="{00000000-0005-0000-0000-00003E0E0000}"/>
    <cellStyle name="SAPBEXheaderText" xfId="3514" xr:uid="{00000000-0005-0000-0000-00003F0E0000}"/>
    <cellStyle name="SAPBEXHLevel0" xfId="3515" xr:uid="{00000000-0005-0000-0000-0000400E0000}"/>
    <cellStyle name="SAPBEXHLevel0X" xfId="3516" xr:uid="{00000000-0005-0000-0000-0000410E0000}"/>
    <cellStyle name="SAPBEXHLevel1" xfId="3517" xr:uid="{00000000-0005-0000-0000-0000420E0000}"/>
    <cellStyle name="SAPBEXHLevel1X" xfId="3518" xr:uid="{00000000-0005-0000-0000-0000430E0000}"/>
    <cellStyle name="SAPBEXHLevel2" xfId="3519" xr:uid="{00000000-0005-0000-0000-0000440E0000}"/>
    <cellStyle name="SAPBEXHLevel2X" xfId="3520" xr:uid="{00000000-0005-0000-0000-0000450E0000}"/>
    <cellStyle name="SAPBEXHLevel3" xfId="3521" xr:uid="{00000000-0005-0000-0000-0000460E0000}"/>
    <cellStyle name="SAPBEXHLevel3X" xfId="3522" xr:uid="{00000000-0005-0000-0000-0000470E0000}"/>
    <cellStyle name="SAPBEXresData" xfId="3523" xr:uid="{00000000-0005-0000-0000-0000480E0000}"/>
    <cellStyle name="SAPBEXresDataEmph" xfId="3524" xr:uid="{00000000-0005-0000-0000-0000490E0000}"/>
    <cellStyle name="SAPBEXresItem" xfId="3525" xr:uid="{00000000-0005-0000-0000-00004A0E0000}"/>
    <cellStyle name="SAPBEXresItemX" xfId="3526" xr:uid="{00000000-0005-0000-0000-00004B0E0000}"/>
    <cellStyle name="SAPBEXstdData" xfId="3527" xr:uid="{00000000-0005-0000-0000-00004C0E0000}"/>
    <cellStyle name="SAPBEXstdDataEmph" xfId="3528" xr:uid="{00000000-0005-0000-0000-00004D0E0000}"/>
    <cellStyle name="SAPBEXstdItem" xfId="3529" xr:uid="{00000000-0005-0000-0000-00004E0E0000}"/>
    <cellStyle name="SAPBEXstdItemX" xfId="3530" xr:uid="{00000000-0005-0000-0000-00004F0E0000}"/>
    <cellStyle name="SAPBEXtitle" xfId="3531" xr:uid="{00000000-0005-0000-0000-0000500E0000}"/>
    <cellStyle name="SAPBEXundefined" xfId="3532" xr:uid="{00000000-0005-0000-0000-0000510E0000}"/>
    <cellStyle name="SAPOutput" xfId="3533" xr:uid="{00000000-0005-0000-0000-0000520E0000}"/>
    <cellStyle name="ScripFactor" xfId="3534" xr:uid="{00000000-0005-0000-0000-0000530E0000}"/>
    <cellStyle name="Section" xfId="3535" xr:uid="{00000000-0005-0000-0000-0000540E0000}"/>
    <cellStyle name="SectionHeading" xfId="3536" xr:uid="{00000000-0005-0000-0000-0000550E0000}"/>
    <cellStyle name="Sep. milhar [0]" xfId="3537" xr:uid="{00000000-0005-0000-0000-0000560E0000}"/>
    <cellStyle name="Separador de milhares 10" xfId="3538" xr:uid="{00000000-0005-0000-0000-0000570E0000}"/>
    <cellStyle name="Separador de milhares 11" xfId="3727" xr:uid="{00000000-0005-0000-0000-0000580E0000}"/>
    <cellStyle name="Separador de milhares 2" xfId="3" xr:uid="{00000000-0005-0000-0000-0000590E0000}"/>
    <cellStyle name="Separador de milhares 2 2" xfId="37" xr:uid="{00000000-0005-0000-0000-00005A0E0000}"/>
    <cellStyle name="Separador de milhares 2 2 2" xfId="66" xr:uid="{00000000-0005-0000-0000-00005B0E0000}"/>
    <cellStyle name="Separador de milhares 2 2 3" xfId="73" xr:uid="{00000000-0005-0000-0000-00005C0E0000}"/>
    <cellStyle name="Separador de milhares 2 3" xfId="38" xr:uid="{00000000-0005-0000-0000-00005D0E0000}"/>
    <cellStyle name="Separador de milhares 2 3 2" xfId="67" xr:uid="{00000000-0005-0000-0000-00005E0E0000}"/>
    <cellStyle name="Separador de milhares 2 4" xfId="60" xr:uid="{00000000-0005-0000-0000-00005F0E0000}"/>
    <cellStyle name="Separador de milhares 2 5" xfId="76" xr:uid="{00000000-0005-0000-0000-0000600E0000}"/>
    <cellStyle name="Separador de milhares 2 6" xfId="3891" xr:uid="{BB9DFA8D-A2D8-4CC9-9442-6D622D6CA8A3}"/>
    <cellStyle name="Separador de milhares 3" xfId="39" xr:uid="{00000000-0005-0000-0000-0000610E0000}"/>
    <cellStyle name="Separador de milhares 3 2" xfId="40" xr:uid="{00000000-0005-0000-0000-0000620E0000}"/>
    <cellStyle name="Separador de milhares 3 3" xfId="41" xr:uid="{00000000-0005-0000-0000-0000630E0000}"/>
    <cellStyle name="Separador de milhares 3 4" xfId="42" xr:uid="{00000000-0005-0000-0000-0000640E0000}"/>
    <cellStyle name="Separador de milhares 3 5" xfId="43" xr:uid="{00000000-0005-0000-0000-0000650E0000}"/>
    <cellStyle name="Separador de milhares 4" xfId="44" xr:uid="{00000000-0005-0000-0000-0000660E0000}"/>
    <cellStyle name="Separador de milhares 4 2" xfId="45" xr:uid="{00000000-0005-0000-0000-0000670E0000}"/>
    <cellStyle name="Separador de milhares 5" xfId="46" xr:uid="{00000000-0005-0000-0000-0000680E0000}"/>
    <cellStyle name="Separador de milhares 5 2" xfId="47" xr:uid="{00000000-0005-0000-0000-0000690E0000}"/>
    <cellStyle name="Separador de milhares 6" xfId="48" xr:uid="{00000000-0005-0000-0000-00006A0E0000}"/>
    <cellStyle name="Separador de milhares 6 2" xfId="49" xr:uid="{00000000-0005-0000-0000-00006B0E0000}"/>
    <cellStyle name="Separador de milhares 6 2 2" xfId="50" xr:uid="{00000000-0005-0000-0000-00006C0E0000}"/>
    <cellStyle name="Separador de milhares 6 3" xfId="51" xr:uid="{00000000-0005-0000-0000-00006D0E0000}"/>
    <cellStyle name="Separador de milhares 7" xfId="52" xr:uid="{00000000-0005-0000-0000-00006E0E0000}"/>
    <cellStyle name="Separador de milhares 7 2" xfId="53" xr:uid="{00000000-0005-0000-0000-00006F0E0000}"/>
    <cellStyle name="Separador de milhares 8" xfId="54" xr:uid="{00000000-0005-0000-0000-0000700E0000}"/>
    <cellStyle name="Separador de milhares 9" xfId="58" xr:uid="{00000000-0005-0000-0000-0000710E0000}"/>
    <cellStyle name="Shaded" xfId="3539" xr:uid="{00000000-0005-0000-0000-0000720E0000}"/>
    <cellStyle name="Shaded Header" xfId="3540" xr:uid="{00000000-0005-0000-0000-0000730E0000}"/>
    <cellStyle name="Shares" xfId="3541" xr:uid="{00000000-0005-0000-0000-0000740E0000}"/>
    <cellStyle name="Sheet Name" xfId="3542" xr:uid="{00000000-0005-0000-0000-0000750E0000}"/>
    <cellStyle name="Source Line" xfId="3543" xr:uid="{00000000-0005-0000-0000-0000760E0000}"/>
    <cellStyle name="spreadsheetl" xfId="3544" xr:uid="{00000000-0005-0000-0000-0000770E0000}"/>
    <cellStyle name="ssubtitulo" xfId="3545" xr:uid="{00000000-0005-0000-0000-0000780E0000}"/>
    <cellStyle name="Standaard_ANP" xfId="3546" xr:uid="{00000000-0005-0000-0000-0000790E0000}"/>
    <cellStyle name="Standard_Anpassen der Amortisation" xfId="3547" xr:uid="{00000000-0005-0000-0000-00007A0E0000}"/>
    <cellStyle name="STA-TI - Style4" xfId="3548" xr:uid="{00000000-0005-0000-0000-00007B0E0000}"/>
    <cellStyle name="Stein-Blue" xfId="3549" xr:uid="{00000000-0005-0000-0000-00007C0E0000}"/>
    <cellStyle name="Stein-Header" xfId="3550" xr:uid="{00000000-0005-0000-0000-00007D0E0000}"/>
    <cellStyle name="Stock Comma" xfId="3551" xr:uid="{00000000-0005-0000-0000-00007E0E0000}"/>
    <cellStyle name="Stock Price" xfId="3552" xr:uid="{00000000-0005-0000-0000-00007F0E0000}"/>
    <cellStyle name="Strange" xfId="3553" xr:uid="{00000000-0005-0000-0000-0000800E0000}"/>
    <cellStyle name="STYL1 - Style1" xfId="3554" xr:uid="{00000000-0005-0000-0000-0000810E0000}"/>
    <cellStyle name="Style 1" xfId="3555" xr:uid="{00000000-0005-0000-0000-0000820E0000}"/>
    <cellStyle name="Style 2" xfId="3556" xr:uid="{00000000-0005-0000-0000-0000830E0000}"/>
    <cellStyle name="Style 21" xfId="3557" xr:uid="{00000000-0005-0000-0000-0000840E0000}"/>
    <cellStyle name="Style 3" xfId="3558" xr:uid="{00000000-0005-0000-0000-0000850E0000}"/>
    <cellStyle name="Style 41" xfId="3559" xr:uid="{00000000-0005-0000-0000-0000860E0000}"/>
    <cellStyle name="Style 42" xfId="3560" xr:uid="{00000000-0005-0000-0000-0000870E0000}"/>
    <cellStyle name="Style 43" xfId="3561" xr:uid="{00000000-0005-0000-0000-0000880E0000}"/>
    <cellStyle name="Style 44" xfId="3562" xr:uid="{00000000-0005-0000-0000-0000890E0000}"/>
    <cellStyle name="Style 45" xfId="3563" xr:uid="{00000000-0005-0000-0000-00008A0E0000}"/>
    <cellStyle name="Style 46" xfId="3564" xr:uid="{00000000-0005-0000-0000-00008B0E0000}"/>
    <cellStyle name="Style 47" xfId="3565" xr:uid="{00000000-0005-0000-0000-00008C0E0000}"/>
    <cellStyle name="Style 48" xfId="3566" xr:uid="{00000000-0005-0000-0000-00008D0E0000}"/>
    <cellStyle name="Style 49" xfId="3567" xr:uid="{00000000-0005-0000-0000-00008E0E0000}"/>
    <cellStyle name="Style 50" xfId="3568" xr:uid="{00000000-0005-0000-0000-00008F0E0000}"/>
    <cellStyle name="Style 56" xfId="3569" xr:uid="{00000000-0005-0000-0000-0000900E0000}"/>
    <cellStyle name="Style 57" xfId="3570" xr:uid="{00000000-0005-0000-0000-0000910E0000}"/>
    <cellStyle name="Style 58" xfId="3571" xr:uid="{00000000-0005-0000-0000-0000920E0000}"/>
    <cellStyle name="Style 59" xfId="3572" xr:uid="{00000000-0005-0000-0000-0000930E0000}"/>
    <cellStyle name="Style 60" xfId="3573" xr:uid="{00000000-0005-0000-0000-0000940E0000}"/>
    <cellStyle name="Style 61" xfId="3574" xr:uid="{00000000-0005-0000-0000-0000950E0000}"/>
    <cellStyle name="Style 62" xfId="3575" xr:uid="{00000000-0005-0000-0000-0000960E0000}"/>
    <cellStyle name="Style 63" xfId="3576" xr:uid="{00000000-0005-0000-0000-0000970E0000}"/>
    <cellStyle name="Style 64" xfId="3577" xr:uid="{00000000-0005-0000-0000-0000980E0000}"/>
    <cellStyle name="Style 65" xfId="3578" xr:uid="{00000000-0005-0000-0000-0000990E0000}"/>
    <cellStyle name="STYLE1 - Style1" xfId="3579" xr:uid="{00000000-0005-0000-0000-00009A0E0000}"/>
    <cellStyle name="STYLE2 - Style2" xfId="3580" xr:uid="{00000000-0005-0000-0000-00009B0E0000}"/>
    <cellStyle name="STYLE3 - Style3" xfId="3581" xr:uid="{00000000-0005-0000-0000-00009C0E0000}"/>
    <cellStyle name="STYLE4 - Style4" xfId="3582" xr:uid="{00000000-0005-0000-0000-00009D0E0000}"/>
    <cellStyle name="Subhead" xfId="3583" xr:uid="{00000000-0005-0000-0000-00009E0E0000}"/>
    <cellStyle name="SubTitle" xfId="3584" xr:uid="{00000000-0005-0000-0000-00009F0E0000}"/>
    <cellStyle name="subtitulo" xfId="3585" xr:uid="{00000000-0005-0000-0000-0000A00E0000}"/>
    <cellStyle name="Sub-Título" xfId="3586" xr:uid="{00000000-0005-0000-0000-0000A10E0000}"/>
    <cellStyle name="sub-to - Style3" xfId="3587" xr:uid="{00000000-0005-0000-0000-0000A20E0000}"/>
    <cellStyle name="SubTotal" xfId="3588" xr:uid="{00000000-0005-0000-0000-0000A30E0000}"/>
    <cellStyle name="Summary" xfId="3589" xr:uid="{00000000-0005-0000-0000-0000A40E0000}"/>
    <cellStyle name="SwitchCell" xfId="3590" xr:uid="{00000000-0005-0000-0000-0000A50E0000}"/>
    <cellStyle name="t" xfId="3591" xr:uid="{00000000-0005-0000-0000-0000A60E0000}"/>
    <cellStyle name="T¡tu-1 - Style2" xfId="3592" xr:uid="{00000000-0005-0000-0000-0000A70E0000}"/>
    <cellStyle name="Table Col Head" xfId="3593" xr:uid="{00000000-0005-0000-0000-0000A80E0000}"/>
    <cellStyle name="Table Head" xfId="3594" xr:uid="{00000000-0005-0000-0000-0000A90E0000}"/>
    <cellStyle name="Table Head Aligned" xfId="3595" xr:uid="{00000000-0005-0000-0000-0000AA0E0000}"/>
    <cellStyle name="Table Head Blue" xfId="3596" xr:uid="{00000000-0005-0000-0000-0000AB0E0000}"/>
    <cellStyle name="Table Head Green" xfId="3597" xr:uid="{00000000-0005-0000-0000-0000AC0E0000}"/>
    <cellStyle name="Table Head_Pargim - Modelo IBBA_vPRÉ-EUROPA" xfId="3598" xr:uid="{00000000-0005-0000-0000-0000AD0E0000}"/>
    <cellStyle name="Table Heading" xfId="3599" xr:uid="{00000000-0005-0000-0000-0000AE0E0000}"/>
    <cellStyle name="Table Sub Head" xfId="3600" xr:uid="{00000000-0005-0000-0000-0000AF0E0000}"/>
    <cellStyle name="Table Text" xfId="3601" xr:uid="{00000000-0005-0000-0000-0000B00E0000}"/>
    <cellStyle name="Table Title" xfId="3602" xr:uid="{00000000-0005-0000-0000-0000B10E0000}"/>
    <cellStyle name="Table Units" xfId="3603" xr:uid="{00000000-0005-0000-0000-0000B20E0000}"/>
    <cellStyle name="Table_Header" xfId="3604" xr:uid="{00000000-0005-0000-0000-0000B30E0000}"/>
    <cellStyle name="TableBase" xfId="3605" xr:uid="{00000000-0005-0000-0000-0000B40E0000}"/>
    <cellStyle name="TableBorder" xfId="3606" xr:uid="{00000000-0005-0000-0000-0000B50E0000}"/>
    <cellStyle name="TableColumnHeader" xfId="3607" xr:uid="{00000000-0005-0000-0000-0000B60E0000}"/>
    <cellStyle name="TableContents" xfId="3608" xr:uid="{00000000-0005-0000-0000-0000B70E0000}"/>
    <cellStyle name="TableContentsSmall" xfId="3609" xr:uid="{00000000-0005-0000-0000-0000B80E0000}"/>
    <cellStyle name="TableContentsVSmall" xfId="3610" xr:uid="{00000000-0005-0000-0000-0000B90E0000}"/>
    <cellStyle name="TableHead" xfId="3611" xr:uid="{00000000-0005-0000-0000-0000BA0E0000}"/>
    <cellStyle name="TableHeadColMulti" xfId="3612" xr:uid="{00000000-0005-0000-0000-0000BB0E0000}"/>
    <cellStyle name="TableHeadColStd" xfId="3613" xr:uid="{00000000-0005-0000-0000-0000BC0E0000}"/>
    <cellStyle name="TableHeadColThin" xfId="3614" xr:uid="{00000000-0005-0000-0000-0000BD0E0000}"/>
    <cellStyle name="TableHeading" xfId="3615" xr:uid="{00000000-0005-0000-0000-0000BE0E0000}"/>
    <cellStyle name="TableHeadLeft" xfId="3616" xr:uid="{00000000-0005-0000-0000-0000BF0E0000}"/>
    <cellStyle name="TableHighlight" xfId="3617" xr:uid="{00000000-0005-0000-0000-0000C00E0000}"/>
    <cellStyle name="TableLineAboveCell" xfId="3618" xr:uid="{00000000-0005-0000-0000-0000C10E0000}"/>
    <cellStyle name="TableLineBelowCell" xfId="3619" xr:uid="{00000000-0005-0000-0000-0000C20E0000}"/>
    <cellStyle name="TableNote" xfId="3620" xr:uid="{00000000-0005-0000-0000-0000C30E0000}"/>
    <cellStyle name="TableNotes" xfId="3621" xr:uid="{00000000-0005-0000-0000-0000C40E0000}"/>
    <cellStyle name="TableRowBeforeTotal" xfId="3622" xr:uid="{00000000-0005-0000-0000-0000C50E0000}"/>
    <cellStyle name="TableSpaceCreator" xfId="3623" xr:uid="{00000000-0005-0000-0000-0000C60E0000}"/>
    <cellStyle name="TableSpaceCreatorSmall" xfId="3624" xr:uid="{00000000-0005-0000-0000-0000C70E0000}"/>
    <cellStyle name="TableSubtotalData" xfId="3625" xr:uid="{00000000-0005-0000-0000-0000C80E0000}"/>
    <cellStyle name="TableSubtotalText" xfId="3626" xr:uid="{00000000-0005-0000-0000-0000C90E0000}"/>
    <cellStyle name="TableTitle" xfId="3627" xr:uid="{00000000-0005-0000-0000-0000CA0E0000}"/>
    <cellStyle name="TableTitleSub" xfId="3628" xr:uid="{00000000-0005-0000-0000-0000CB0E0000}"/>
    <cellStyle name="TableTotalData" xfId="3629" xr:uid="{00000000-0005-0000-0000-0000CC0E0000}"/>
    <cellStyle name="TableTotalText" xfId="3630" xr:uid="{00000000-0005-0000-0000-0000CD0E0000}"/>
    <cellStyle name="Tag" xfId="3631" xr:uid="{00000000-0005-0000-0000-0000CE0E0000}"/>
    <cellStyle name="taples Plaza" xfId="3632" xr:uid="{00000000-0005-0000-0000-0000CF0E0000}"/>
    <cellStyle name="tcn" xfId="3633" xr:uid="{00000000-0005-0000-0000-0000D00E0000}"/>
    <cellStyle name="Test" xfId="3634" xr:uid="{00000000-0005-0000-0000-0000D10E0000}"/>
    <cellStyle name="Test [green]" xfId="3635" xr:uid="{00000000-0005-0000-0000-0000D20E0000}"/>
    <cellStyle name="test a style" xfId="3636" xr:uid="{00000000-0005-0000-0000-0000D30E0000}"/>
    <cellStyle name="TESTE" xfId="3637" xr:uid="{00000000-0005-0000-0000-0000D40E0000}"/>
    <cellStyle name="Text" xfId="3638" xr:uid="{00000000-0005-0000-0000-0000D50E0000}"/>
    <cellStyle name="Text 1" xfId="3639" xr:uid="{00000000-0005-0000-0000-0000D60E0000}"/>
    <cellStyle name="Text Head" xfId="3640" xr:uid="{00000000-0005-0000-0000-0000D70E0000}"/>
    <cellStyle name="Text Head 1" xfId="3641" xr:uid="{00000000-0005-0000-0000-0000D80E0000}"/>
    <cellStyle name="Text Indent A" xfId="3642" xr:uid="{00000000-0005-0000-0000-0000D90E0000}"/>
    <cellStyle name="Text Indent B" xfId="3643" xr:uid="{00000000-0005-0000-0000-0000DA0E0000}"/>
    <cellStyle name="Text Indent C" xfId="3644" xr:uid="{00000000-0005-0000-0000-0000DB0E0000}"/>
    <cellStyle name="Text_EXC-PSEG PF v5" xfId="3645" xr:uid="{00000000-0005-0000-0000-0000DC0E0000}"/>
    <cellStyle name="TextData" xfId="3646" xr:uid="{00000000-0005-0000-0000-0000DD0E0000}"/>
    <cellStyle name="TextDataFlag" xfId="3647" xr:uid="{00000000-0005-0000-0000-0000DE0E0000}"/>
    <cellStyle name="TextDataLong" xfId="3648" xr:uid="{00000000-0005-0000-0000-0000DF0E0000}"/>
    <cellStyle name="TFCF" xfId="3649" xr:uid="{00000000-0005-0000-0000-0000E00E0000}"/>
    <cellStyle name="þ_x001d_ðÍ%–ý&amp;‰ýG_x0008_{_x0010_X_x0011__x0007__x0001__x0001_" xfId="3650" xr:uid="{00000000-0005-0000-0000-0000E10E0000}"/>
    <cellStyle name="thenums" xfId="3651" xr:uid="{00000000-0005-0000-0000-0000E20E0000}"/>
    <cellStyle name="Time" xfId="3652" xr:uid="{00000000-0005-0000-0000-0000E30E0000}"/>
    <cellStyle name="times" xfId="3653" xr:uid="{00000000-0005-0000-0000-0000E40E0000}"/>
    <cellStyle name="Times 10" xfId="3654" xr:uid="{00000000-0005-0000-0000-0000E50E0000}"/>
    <cellStyle name="Times New Roman" xfId="3655" xr:uid="{00000000-0005-0000-0000-0000E60E0000}"/>
    <cellStyle name="times_Projeto Europa - Valuation PARGIM_IBBA_v13" xfId="3656" xr:uid="{00000000-0005-0000-0000-0000E70E0000}"/>
    <cellStyle name="Title" xfId="3657" xr:uid="{00000000-0005-0000-0000-0000E80E0000}"/>
    <cellStyle name="Title - PROJECT" xfId="3658" xr:uid="{00000000-0005-0000-0000-0000E90E0000}"/>
    <cellStyle name="Title - Underline" xfId="3659" xr:uid="{00000000-0005-0000-0000-0000EA0E0000}"/>
    <cellStyle name="Title Line" xfId="3660" xr:uid="{00000000-0005-0000-0000-0000EB0E0000}"/>
    <cellStyle name="Title_Add in Rafael" xfId="3661" xr:uid="{00000000-0005-0000-0000-0000EC0E0000}"/>
    <cellStyle name="title1" xfId="3662" xr:uid="{00000000-0005-0000-0000-0000ED0E0000}"/>
    <cellStyle name="title2" xfId="3663" xr:uid="{00000000-0005-0000-0000-0000EE0E0000}"/>
    <cellStyle name="Title8" xfId="3664" xr:uid="{00000000-0005-0000-0000-0000EF0E0000}"/>
    <cellStyle name="TitleII" xfId="3665" xr:uid="{00000000-0005-0000-0000-0000F00E0000}"/>
    <cellStyle name="Titles" xfId="3666" xr:uid="{00000000-0005-0000-0000-0000F10E0000}"/>
    <cellStyle name="Titles - Col. Headings" xfId="3667" xr:uid="{00000000-0005-0000-0000-0000F20E0000}"/>
    <cellStyle name="Titles - Other" xfId="3668" xr:uid="{00000000-0005-0000-0000-0000F30E0000}"/>
    <cellStyle name="Titles_Projeto Europa - Valuation PARGIM_IBBA_v13" xfId="3669" xr:uid="{00000000-0005-0000-0000-0000F40E0000}"/>
    <cellStyle name="TitleVertical" xfId="3670" xr:uid="{00000000-0005-0000-0000-0000F50E0000}"/>
    <cellStyle name="titulo" xfId="3671" xr:uid="{00000000-0005-0000-0000-0000F60E0000}"/>
    <cellStyle name="Titulo_Pargim - Modelo IBBA_vPRÉ-EUROPA" xfId="3672" xr:uid="{00000000-0005-0000-0000-0000F70E0000}"/>
    <cellStyle name="Titulo1" xfId="3673" xr:uid="{00000000-0005-0000-0000-0000F80E0000}"/>
    <cellStyle name="Titulo2" xfId="3674" xr:uid="{00000000-0005-0000-0000-0000F90E0000}"/>
    <cellStyle name="titulomov" xfId="3675" xr:uid="{00000000-0005-0000-0000-0000FA0E0000}"/>
    <cellStyle name="tn" xfId="3676" xr:uid="{00000000-0005-0000-0000-0000FB0E0000}"/>
    <cellStyle name="TOC" xfId="3677" xr:uid="{00000000-0005-0000-0000-0000FC0E0000}"/>
    <cellStyle name="Todos" xfId="3678" xr:uid="{00000000-0005-0000-0000-0000FD0E0000}"/>
    <cellStyle name="Top Edge" xfId="3679" xr:uid="{00000000-0005-0000-0000-0000FE0E0000}"/>
    <cellStyle name="Top Row" xfId="3680" xr:uid="{00000000-0005-0000-0000-0000FF0E0000}"/>
    <cellStyle name="Tope - Style1" xfId="3681" xr:uid="{00000000-0005-0000-0000-0000000F0000}"/>
    <cellStyle name="TopGrey" xfId="3682" xr:uid="{00000000-0005-0000-0000-0000010F0000}"/>
    <cellStyle name="Topline" xfId="3683" xr:uid="{00000000-0005-0000-0000-0000020F0000}"/>
    <cellStyle name="Total Row" xfId="3684" xr:uid="{00000000-0005-0000-0000-0000030F0000}"/>
    <cellStyle name="totalbalan" xfId="3685" xr:uid="{00000000-0005-0000-0000-0000040F0000}"/>
    <cellStyle name="TotalCurrency" xfId="3686" xr:uid="{00000000-0005-0000-0000-0000050F0000}"/>
    <cellStyle name="typeset" xfId="3687" xr:uid="{00000000-0005-0000-0000-0000060F0000}"/>
    <cellStyle name="ubordinated Debt" xfId="3688" xr:uid="{00000000-0005-0000-0000-0000070F0000}"/>
    <cellStyle name="uk" xfId="3689" xr:uid="{00000000-0005-0000-0000-0000080F0000}"/>
    <cellStyle name="Un" xfId="3690" xr:uid="{00000000-0005-0000-0000-0000090F0000}"/>
    <cellStyle name="Underline_Single" xfId="3691" xr:uid="{00000000-0005-0000-0000-00000A0F0000}"/>
    <cellStyle name="UNIDAGSCode" xfId="3692" xr:uid="{00000000-0005-0000-0000-00000B0F0000}"/>
    <cellStyle name="UNIDAGSCode2" xfId="3693" xr:uid="{00000000-0005-0000-0000-00000C0F0000}"/>
    <cellStyle name="UNIDAGSCurrency" xfId="3694" xr:uid="{00000000-0005-0000-0000-00000D0F0000}"/>
    <cellStyle name="UNIDAGSDate" xfId="3695" xr:uid="{00000000-0005-0000-0000-00000E0F0000}"/>
    <cellStyle name="UNIDAGSPercent" xfId="3696" xr:uid="{00000000-0005-0000-0000-00000F0F0000}"/>
    <cellStyle name="UNIDAGSPercent2" xfId="3697" xr:uid="{00000000-0005-0000-0000-0000100F0000}"/>
    <cellStyle name="UNLocked" xfId="3698" xr:uid="{00000000-0005-0000-0000-0000110F0000}"/>
    <cellStyle name="Unprot" xfId="3699" xr:uid="{00000000-0005-0000-0000-0000120F0000}"/>
    <cellStyle name="Unprot$" xfId="3700" xr:uid="{00000000-0005-0000-0000-0000130F0000}"/>
    <cellStyle name="Unprot_BLM_06_08_00 - mm-verma" xfId="3701" xr:uid="{00000000-0005-0000-0000-0000140F0000}"/>
    <cellStyle name="Unprotect" xfId="3702" xr:uid="{00000000-0005-0000-0000-0000150F0000}"/>
    <cellStyle name="User Entered" xfId="3703" xr:uid="{00000000-0005-0000-0000-0000160F0000}"/>
    <cellStyle name="Valuta (0)_1320 NX" xfId="3704" xr:uid="{00000000-0005-0000-0000-0000170F0000}"/>
    <cellStyle name="Valuta [0]_businessplan CMA '99v1" xfId="3705" xr:uid="{00000000-0005-0000-0000-0000180F0000}"/>
    <cellStyle name="Valuta_1320 NX" xfId="3706" xr:uid="{00000000-0005-0000-0000-0000190F0000}"/>
    <cellStyle name="Vírgula" xfId="1" builtinId="3"/>
    <cellStyle name="Vírgula 2" xfId="55" xr:uid="{00000000-0005-0000-0000-00001B0F0000}"/>
    <cellStyle name="Vírgula 3" xfId="69" xr:uid="{00000000-0005-0000-0000-00001C0F0000}"/>
    <cellStyle name="Vírgula 4" xfId="74" xr:uid="{00000000-0005-0000-0000-00001D0F0000}"/>
    <cellStyle name="Vírgula 5" xfId="3886" xr:uid="{00000000-0005-0000-0000-00001E0F0000}"/>
    <cellStyle name="Virgule fixe" xfId="3707" xr:uid="{00000000-0005-0000-0000-00001F0F0000}"/>
    <cellStyle name="Währung [0]_Compiling Utility Macros" xfId="3708" xr:uid="{00000000-0005-0000-0000-0000200F0000}"/>
    <cellStyle name="Währung_Compiling Utility Macros" xfId="3709" xr:uid="{00000000-0005-0000-0000-0000210F0000}"/>
    <cellStyle name="Walutowy [0]_laroux" xfId="3710" xr:uid="{00000000-0005-0000-0000-0000220F0000}"/>
    <cellStyle name="Walutowy_laroux" xfId="3711" xr:uid="{00000000-0005-0000-0000-0000230F0000}"/>
    <cellStyle name="Warburg" xfId="3712" xr:uid="{00000000-0005-0000-0000-0000240F0000}"/>
    <cellStyle name="Warning Text" xfId="3713" xr:uid="{00000000-0005-0000-0000-0000250F0000}"/>
    <cellStyle name="White" xfId="3714" xr:uid="{00000000-0005-0000-0000-0000260F0000}"/>
    <cellStyle name="WhitePattern" xfId="3715" xr:uid="{00000000-0005-0000-0000-0000270F0000}"/>
    <cellStyle name="WhitePattern1" xfId="3716" xr:uid="{00000000-0005-0000-0000-0000280F0000}"/>
    <cellStyle name="WhiteText" xfId="3717" xr:uid="{00000000-0005-0000-0000-0000290F0000}"/>
    <cellStyle name="WholeNumber" xfId="3718" xr:uid="{00000000-0005-0000-0000-00002A0F0000}"/>
    <cellStyle name="WideFontText" xfId="3719" xr:uid="{00000000-0005-0000-0000-00002B0F0000}"/>
    <cellStyle name="WrappedBold" xfId="3720" xr:uid="{00000000-0005-0000-0000-00002C0F0000}"/>
    <cellStyle name="x" xfId="3721" xr:uid="{00000000-0005-0000-0000-00002D0F0000}"/>
    <cellStyle name="x_FPL acc.dil v8" xfId="3722" xr:uid="{00000000-0005-0000-0000-00002E0F0000}"/>
    <cellStyle name="x_Papaya_Elektro_v04" xfId="3723" xr:uid="{00000000-0005-0000-0000-00002F0F0000}"/>
    <cellStyle name="x_school specialty v7" xfId="3724" xr:uid="{00000000-0005-0000-0000-0000300F0000}"/>
    <cellStyle name="x_WACC Papaya_v02" xfId="3725" xr:uid="{00000000-0005-0000-0000-0000310F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81639</xdr:colOff>
      <xdr:row>0</xdr:row>
      <xdr:rowOff>18142</xdr:rowOff>
    </xdr:from>
    <xdr:to>
      <xdr:col>0</xdr:col>
      <xdr:colOff>1742084</xdr:colOff>
      <xdr:row>2</xdr:row>
      <xdr:rowOff>143696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DFEEF2-3F91-4FEE-A9BE-E7387190B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39" y="18142"/>
          <a:ext cx="1660445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25743</xdr:colOff>
      <xdr:row>0</xdr:row>
      <xdr:rowOff>0</xdr:rowOff>
    </xdr:from>
    <xdr:to>
      <xdr:col>0</xdr:col>
      <xdr:colOff>1686188</xdr:colOff>
      <xdr:row>2</xdr:row>
      <xdr:rowOff>141919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7A41AE-E8E9-4C08-A02C-C8B67FD34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3" y="0"/>
          <a:ext cx="1660445" cy="46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99791</xdr:colOff>
      <xdr:row>0</xdr:row>
      <xdr:rowOff>9072</xdr:rowOff>
    </xdr:from>
    <xdr:to>
      <xdr:col>0</xdr:col>
      <xdr:colOff>1760236</xdr:colOff>
      <xdr:row>2</xdr:row>
      <xdr:rowOff>150501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696C7E-61D7-4AE8-BC5C-A5532920F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91" y="9072"/>
          <a:ext cx="1660445" cy="46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1660445</xdr:colOff>
      <xdr:row>5</xdr:row>
      <xdr:rowOff>141429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C2D82E2-13BC-4498-BD28-EE63FCCBF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0"/>
          <a:ext cx="1660445" cy="4589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60445" cy="468000"/>
    <xdr:pic>
      <xdr:nvPicPr>
        <xdr:cNvPr id="2" name="Imagem 1">
          <a:extLst>
            <a:ext uri="{FF2B5EF4-FFF2-40B4-BE49-F238E27FC236}">
              <a16:creationId xmlns:a16="http://schemas.microsoft.com/office/drawing/2014/main" id="{E23323C4-58B8-43F3-BC48-34EA47063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0445" cy="468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1660445</xdr:colOff>
      <xdr:row>2</xdr:row>
      <xdr:rowOff>134625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102628-77D8-42F7-BA49-97726B52A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0445" cy="46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13607</xdr:rowOff>
    </xdr:from>
    <xdr:to>
      <xdr:col>0</xdr:col>
      <xdr:colOff>1674052</xdr:colOff>
      <xdr:row>1</xdr:row>
      <xdr:rowOff>285437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A27408-4B9A-4D9A-B771-57578E85D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13607"/>
          <a:ext cx="1660445" cy="475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Natalino%20trabalho\Shop%20Piracicaba\Pira%20Plan%20Empreendedores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 "/>
      <sheetName val="alug min - Não imprimi"/>
      <sheetName val="311 alug compl"/>
      <sheetName val="312Cessao"/>
      <sheetName val="313LOJA VAGAS"/>
      <sheetName val="314SUSÍDIOS"/>
      <sheetName val="315Comissão"/>
      <sheetName val="316 INVEST_MKT"/>
      <sheetName val="manutenção"/>
      <sheetName val="Breakdown Outubro"/>
    </sheetNames>
    <sheetDataSet>
      <sheetData sheetId="0">
        <row r="1">
          <cell r="C1" t="str">
            <v>SHOPPING PIRACICABA</v>
          </cell>
        </row>
        <row r="3">
          <cell r="A3" t="str">
            <v>Digitar Indice Inflação</v>
          </cell>
          <cell r="C3" t="str">
            <v>3.1 - PREVISÃO DE RECEITAS/DESPESAS DOS EMPREENDEDORES - ANO 2.007</v>
          </cell>
        </row>
        <row r="4">
          <cell r="C4" t="str">
            <v>REGIME DE CAIXA</v>
          </cell>
          <cell r="D4" t="str">
            <v>Janeiro</v>
          </cell>
        </row>
        <row r="5">
          <cell r="C5" t="str">
            <v>RECEITAS (+)</v>
          </cell>
          <cell r="D5">
            <v>1293407.7855276987</v>
          </cell>
        </row>
        <row r="6">
          <cell r="C6" t="str">
            <v>Aluguel Mínimo Lojas Âncoras - Mês</v>
          </cell>
          <cell r="D6">
            <v>104616.0533</v>
          </cell>
        </row>
        <row r="7">
          <cell r="C7" t="str">
            <v>Aluguel Mínimo Lojas Satélites - Mês</v>
          </cell>
          <cell r="D7">
            <v>859397.48911937245</v>
          </cell>
        </row>
        <row r="8">
          <cell r="C8" t="str">
            <v>Aluguel Complementar Lojas Âncoras - Mês</v>
          </cell>
          <cell r="D8">
            <v>93265.87000000001</v>
          </cell>
        </row>
        <row r="9">
          <cell r="A9" t="str">
            <v>% não podem ser lineares</v>
          </cell>
          <cell r="C9" t="str">
            <v>Aluguel Complementar Lojas Satélites - Mês</v>
          </cell>
          <cell r="D9">
            <v>36954.092032133012</v>
          </cell>
        </row>
        <row r="10">
          <cell r="C10" t="str">
            <v>Auditoria de Lojas ( Acordos+Área Compl. ) - Mês</v>
          </cell>
          <cell r="D10">
            <v>58017.92449044883</v>
          </cell>
        </row>
        <row r="11">
          <cell r="C11" t="str">
            <v>Locação Temporária - Mês</v>
          </cell>
          <cell r="D11">
            <v>85815.74</v>
          </cell>
        </row>
        <row r="12">
          <cell r="C12" t="str">
            <v>( - ) Descontos - Mês</v>
          </cell>
          <cell r="D12">
            <v>-27723.681724274305</v>
          </cell>
        </row>
        <row r="13">
          <cell r="C13" t="str">
            <v>(+/ - ) Ajustes/Estornos Faturamento - Mês</v>
          </cell>
          <cell r="D13">
            <v>0</v>
          </cell>
        </row>
        <row r="14">
          <cell r="C14" t="str">
            <v>( - ) Estornos Recebimentos Antecipados - Mês</v>
          </cell>
          <cell r="D14">
            <v>0</v>
          </cell>
        </row>
        <row r="15">
          <cell r="A15" t="str">
            <v>% não podem ser lineares</v>
          </cell>
          <cell r="C15" t="str">
            <v>( - ) Inadimplência  - Mês</v>
          </cell>
          <cell r="D15">
            <v>-154691.54804148703</v>
          </cell>
        </row>
        <row r="16">
          <cell r="C16" t="str">
            <v>Recebimentos Antecipados</v>
          </cell>
          <cell r="D16">
            <v>0</v>
          </cell>
        </row>
        <row r="17">
          <cell r="A17" t="str">
            <v>% não podem ser lineares</v>
          </cell>
          <cell r="C17" t="str">
            <v>Recuperação de Atrasados - Aluguéis</v>
          </cell>
          <cell r="D17">
            <v>100549.50622696657</v>
          </cell>
        </row>
        <row r="18">
          <cell r="C18" t="str">
            <v>Multas/Juros/Correção Monetária</v>
          </cell>
          <cell r="D18">
            <v>2010.9901245393314</v>
          </cell>
        </row>
        <row r="19">
          <cell r="C19" t="str">
            <v xml:space="preserve">Cessão de Direitos </v>
          </cell>
          <cell r="D19">
            <v>135195.35</v>
          </cell>
        </row>
        <row r="20">
          <cell r="C20" t="str">
            <v>Devolução de Aporte/Retenção-Condomínio</v>
          </cell>
          <cell r="D20">
            <v>0</v>
          </cell>
        </row>
        <row r="21">
          <cell r="C21" t="str">
            <v>Devolução de Aporte ao Fundo de Promoção</v>
          </cell>
          <cell r="D21" t="str">
            <v xml:space="preserve"> </v>
          </cell>
        </row>
        <row r="22">
          <cell r="C22" t="str">
            <v>Taxa de Transferência</v>
          </cell>
          <cell r="D22">
            <v>0</v>
          </cell>
        </row>
        <row r="23">
          <cell r="C23" t="str">
            <v>Financeiras</v>
          </cell>
          <cell r="D23">
            <v>0</v>
          </cell>
        </row>
        <row r="24">
          <cell r="C24" t="str">
            <v xml:space="preserve">Outras </v>
          </cell>
        </row>
        <row r="25">
          <cell r="C25" t="str">
            <v>DESPESAS  (-)</v>
          </cell>
          <cell r="D25">
            <v>245457.52715375467</v>
          </cell>
        </row>
        <row r="26">
          <cell r="C26" t="str">
            <v xml:space="preserve">Taxa de Administração  </v>
          </cell>
          <cell r="D26">
            <v>32410.832733214767</v>
          </cell>
        </row>
        <row r="27">
          <cell r="C27" t="str">
            <v xml:space="preserve">Encargos Lojas Vagas </v>
          </cell>
          <cell r="D27">
            <v>23530.589298800001</v>
          </cell>
        </row>
        <row r="28">
          <cell r="C28" t="str">
            <v>Fundo de Promoção Estatutário</v>
          </cell>
          <cell r="D28">
            <v>5802.4387371405483</v>
          </cell>
        </row>
        <row r="29">
          <cell r="C29" t="str">
            <v>Subsídios de Lojas</v>
          </cell>
          <cell r="D29">
            <v>78065.979629599999</v>
          </cell>
        </row>
        <row r="30">
          <cell r="C30" t="str">
            <v>Jurídicas</v>
          </cell>
          <cell r="D30">
            <v>3638</v>
          </cell>
        </row>
        <row r="31">
          <cell r="C31" t="str">
            <v>Auditoria de Lojas</v>
          </cell>
          <cell r="D31">
            <v>10475.14</v>
          </cell>
        </row>
        <row r="32">
          <cell r="C32" t="str">
            <v>Auditoria Externa</v>
          </cell>
          <cell r="D32">
            <v>918.75</v>
          </cell>
        </row>
        <row r="33">
          <cell r="A33" t="str">
            <v xml:space="preserve"> </v>
          </cell>
          <cell r="C33" t="str">
            <v>Aporte/Retenção Inadimplência - Condomínio</v>
          </cell>
          <cell r="D33">
            <v>0</v>
          </cell>
        </row>
        <row r="34">
          <cell r="C34" t="str">
            <v>Aporte ao Fundo de Promoção</v>
          </cell>
          <cell r="D34">
            <v>0</v>
          </cell>
        </row>
        <row r="35">
          <cell r="C35" t="str">
            <v>Impostos/Taxas Bancárias/Financeiras</v>
          </cell>
          <cell r="D35">
            <v>6753.087354999323</v>
          </cell>
        </row>
        <row r="36">
          <cell r="C36" t="str">
            <v>Comissão s/ Comercializações</v>
          </cell>
          <cell r="D36">
            <v>82387.744399999996</v>
          </cell>
        </row>
        <row r="37">
          <cell r="C37" t="str">
            <v xml:space="preserve">Outras </v>
          </cell>
          <cell r="D37">
            <v>1474.9649999999999</v>
          </cell>
        </row>
        <row r="38">
          <cell r="C38" t="str">
            <v>RECEITA LÍQUIDA ( REC - DESP )</v>
          </cell>
          <cell r="D38">
            <v>1047950.2583739441</v>
          </cell>
        </row>
        <row r="39">
          <cell r="C39" t="str">
            <v>INVESTIMENTOS (OBRAS + ADAPTAÇÕES) (-)</v>
          </cell>
          <cell r="D39">
            <v>593050</v>
          </cell>
        </row>
        <row r="40">
          <cell r="C40" t="str">
            <v>RESULTADO FINANCEIRO (=)</v>
          </cell>
          <cell r="D40">
            <v>454900.25837394409</v>
          </cell>
        </row>
        <row r="42">
          <cell r="C42" t="str">
            <v>RECEITA LÍQUIDA - ESTACIONAMNETO</v>
          </cell>
          <cell r="D42">
            <v>143601.89543490001</v>
          </cell>
        </row>
        <row r="44">
          <cell r="C44" t="str">
            <v>RESULTADO COM ESTACIONAMENTO</v>
          </cell>
          <cell r="D44">
            <v>598502.15380884404</v>
          </cell>
        </row>
        <row r="45">
          <cell r="C45" t="str">
            <v xml:space="preserve">RECEBIDO / FATURADO </v>
          </cell>
          <cell r="D45">
            <v>0.95526720936138432</v>
          </cell>
        </row>
        <row r="47">
          <cell r="C47" t="str">
            <v>Faturamento</v>
          </cell>
          <cell r="D47">
            <v>1210343.4872176799</v>
          </cell>
        </row>
        <row r="48">
          <cell r="C48" t="str">
            <v>Inadimplência</v>
          </cell>
          <cell r="D48">
            <v>-154691.54804148703</v>
          </cell>
        </row>
        <row r="49">
          <cell r="D49">
            <v>0.1278079732531876</v>
          </cell>
        </row>
        <row r="51">
          <cell r="C51" t="str">
            <v>Receitas</v>
          </cell>
          <cell r="D51">
            <v>1293407.7855276987</v>
          </cell>
        </row>
        <row r="52">
          <cell r="C52" t="str">
            <v>Despesas- taxa adm.</v>
          </cell>
          <cell r="D52">
            <v>213046.69442053986</v>
          </cell>
        </row>
        <row r="53">
          <cell r="C53" t="str">
            <v>Receita Liquida</v>
          </cell>
          <cell r="D53">
            <v>1080361.0911071589</v>
          </cell>
        </row>
        <row r="54">
          <cell r="C54" t="str">
            <v>Tx Adm. 3%</v>
          </cell>
          <cell r="D54">
            <v>32410.832733214767</v>
          </cell>
        </row>
        <row r="56">
          <cell r="C56" t="str">
            <v>Impostos (CPMF, tarifa bancária...)</v>
          </cell>
          <cell r="D56">
            <v>7562.8778530562577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CK41"/>
  <sheetViews>
    <sheetView showGridLines="0" tabSelected="1" zoomScale="80" zoomScaleNormal="80" workbookViewId="0">
      <pane xSplit="1" ySplit="3" topLeftCell="CB4" activePane="bottomRight" state="frozen"/>
      <selection pane="topRight" activeCell="B1" sqref="B1"/>
      <selection pane="bottomLeft" activeCell="A4" sqref="A4"/>
      <selection pane="bottomRight" activeCell="CK22" sqref="CK22"/>
    </sheetView>
  </sheetViews>
  <sheetFormatPr defaultColWidth="8.7265625" defaultRowHeight="13" outlineLevelCol="2"/>
  <cols>
    <col min="1" max="1" width="53.1796875" style="20" bestFit="1" customWidth="1"/>
    <col min="2" max="2" width="1.7265625" style="20" customWidth="1"/>
    <col min="3" max="3" width="15.26953125" style="20" bestFit="1" customWidth="1"/>
    <col min="4" max="4" width="1.7265625" style="28" customWidth="1"/>
    <col min="5" max="8" width="13.54296875" style="20" hidden="1" customWidth="1" outlineLevel="1"/>
    <col min="9" max="9" width="15.26953125" style="20" bestFit="1" customWidth="1" collapsed="1"/>
    <col min="10" max="10" width="1.7265625" style="28" customWidth="1"/>
    <col min="11" max="14" width="15.26953125" style="20" hidden="1" customWidth="1" outlineLevel="1"/>
    <col min="15" max="15" width="15.26953125" style="20" customWidth="1" collapsed="1"/>
    <col min="16" max="16" width="1.54296875" style="28" customWidth="1"/>
    <col min="17" max="20" width="15.26953125" style="20" hidden="1" customWidth="1" outlineLevel="1"/>
    <col min="21" max="21" width="15.26953125" style="20" customWidth="1" collapsed="1"/>
    <col min="22" max="22" width="1.54296875" style="28" customWidth="1"/>
    <col min="23" max="26" width="15.26953125" style="20" hidden="1" customWidth="1" outlineLevel="1"/>
    <col min="27" max="27" width="15.26953125" style="20" customWidth="1" collapsed="1"/>
    <col min="28" max="28" width="1.54296875" style="28" customWidth="1"/>
    <col min="29" max="32" width="15.26953125" style="20" hidden="1" customWidth="1" outlineLevel="1"/>
    <col min="33" max="33" width="15.26953125" style="20" customWidth="1" collapsed="1"/>
    <col min="34" max="34" width="1.7265625" style="20" customWidth="1"/>
    <col min="35" max="38" width="15.26953125" style="20" hidden="1" customWidth="1" outlineLevel="1"/>
    <col min="39" max="39" width="15.26953125" style="20" customWidth="1" collapsed="1"/>
    <col min="40" max="40" width="1.7265625" style="20" customWidth="1"/>
    <col min="41" max="44" width="15.54296875" style="20" hidden="1" customWidth="1" outlineLevel="1"/>
    <col min="45" max="45" width="15.54296875" style="20" customWidth="1" collapsed="1"/>
    <col min="46" max="46" width="1.7265625" style="20" customWidth="1"/>
    <col min="47" max="50" width="15.54296875" style="20" hidden="1" customWidth="1" outlineLevel="1"/>
    <col min="51" max="51" width="15.54296875" style="20" customWidth="1" collapsed="1"/>
    <col min="52" max="52" width="1.7265625" style="20" customWidth="1"/>
    <col min="53" max="56" width="15.54296875" style="20" hidden="1" customWidth="1" outlineLevel="1"/>
    <col min="57" max="57" width="15.54296875" style="20" customWidth="1" collapsed="1"/>
    <col min="58" max="58" width="1.7265625" style="20" customWidth="1"/>
    <col min="59" max="62" width="15.54296875" style="20" hidden="1" customWidth="1" outlineLevel="1"/>
    <col min="63" max="63" width="15.54296875" style="20" customWidth="1" collapsed="1"/>
    <col min="64" max="64" width="3.1796875" style="20" customWidth="1"/>
    <col min="65" max="65" width="15.54296875" style="20" hidden="1" customWidth="1" outlineLevel="1"/>
    <col min="66" max="68" width="15.54296875" style="20" hidden="1" customWidth="1" outlineLevel="2"/>
    <col min="69" max="69" width="15.54296875" style="20" customWidth="1" collapsed="1"/>
    <col min="70" max="70" width="3.1796875" style="20" customWidth="1"/>
    <col min="71" max="74" width="15.54296875" style="20" customWidth="1" outlineLevel="1"/>
    <col min="75" max="75" width="15.54296875" style="20" customWidth="1"/>
    <col min="76" max="76" width="3.1796875" style="20" customWidth="1"/>
    <col min="77" max="81" width="15.54296875" style="20" customWidth="1" outlineLevel="1"/>
    <col min="82" max="82" width="3.1796875" style="20" customWidth="1"/>
    <col min="83" max="87" width="15.54296875" style="20" customWidth="1" outlineLevel="1"/>
    <col min="88" max="88" width="3.1796875" style="20" customWidth="1"/>
    <col min="89" max="89" width="15.54296875" style="20" customWidth="1" outlineLevel="1"/>
    <col min="90" max="16384" width="8.7265625" style="20"/>
  </cols>
  <sheetData>
    <row r="1" spans="1:89">
      <c r="A1" s="317"/>
    </row>
    <row r="2" spans="1:89">
      <c r="A2" s="317"/>
      <c r="C2" s="187" t="s">
        <v>159</v>
      </c>
      <c r="E2" s="318" t="s">
        <v>159</v>
      </c>
      <c r="F2" s="318"/>
      <c r="G2" s="318"/>
      <c r="H2" s="318"/>
      <c r="I2" s="318"/>
      <c r="K2" s="318" t="s">
        <v>160</v>
      </c>
      <c r="L2" s="318"/>
      <c r="M2" s="318"/>
      <c r="N2" s="318"/>
      <c r="O2" s="318"/>
      <c r="Q2" s="318" t="s">
        <v>160</v>
      </c>
      <c r="R2" s="318"/>
      <c r="S2" s="318"/>
      <c r="T2" s="318"/>
      <c r="U2" s="318"/>
      <c r="W2" s="318" t="s">
        <v>160</v>
      </c>
      <c r="X2" s="318"/>
      <c r="Y2" s="318"/>
      <c r="Z2" s="318"/>
      <c r="AA2" s="318"/>
      <c r="AC2" s="319" t="s">
        <v>160</v>
      </c>
      <c r="AD2" s="319"/>
      <c r="AE2" s="319"/>
      <c r="AF2" s="319"/>
      <c r="AG2" s="319"/>
      <c r="AI2" s="316" t="s">
        <v>160</v>
      </c>
      <c r="AJ2" s="316"/>
      <c r="AK2" s="316"/>
      <c r="AL2" s="316"/>
      <c r="AM2" s="316"/>
      <c r="AO2" s="316" t="s">
        <v>160</v>
      </c>
      <c r="AP2" s="316"/>
      <c r="AQ2" s="316"/>
      <c r="AR2" s="316"/>
      <c r="AS2" s="316"/>
      <c r="AU2" s="316" t="s">
        <v>160</v>
      </c>
      <c r="AV2" s="316"/>
      <c r="AW2" s="316"/>
      <c r="AX2" s="316"/>
      <c r="AY2" s="316"/>
      <c r="BA2" s="316" t="s">
        <v>160</v>
      </c>
      <c r="BB2" s="316"/>
      <c r="BC2" s="316"/>
      <c r="BD2" s="316"/>
      <c r="BE2" s="316"/>
      <c r="BG2" s="316" t="s">
        <v>160</v>
      </c>
      <c r="BH2" s="316"/>
      <c r="BI2" s="316"/>
      <c r="BJ2" s="316"/>
      <c r="BK2" s="316"/>
      <c r="BM2" s="316" t="s">
        <v>160</v>
      </c>
      <c r="BN2" s="316"/>
      <c r="BO2" s="316"/>
      <c r="BP2" s="316"/>
      <c r="BQ2" s="188"/>
    </row>
    <row r="3" spans="1:89">
      <c r="C3" s="189">
        <v>2007</v>
      </c>
      <c r="D3" s="190"/>
      <c r="E3" s="189" t="s">
        <v>133</v>
      </c>
      <c r="F3" s="189" t="s">
        <v>122</v>
      </c>
      <c r="G3" s="189" t="s">
        <v>123</v>
      </c>
      <c r="H3" s="189" t="s">
        <v>124</v>
      </c>
      <c r="I3" s="189">
        <v>2008</v>
      </c>
      <c r="J3" s="190"/>
      <c r="K3" s="189" t="s">
        <v>125</v>
      </c>
      <c r="L3" s="189" t="s">
        <v>126</v>
      </c>
      <c r="M3" s="189" t="s">
        <v>127</v>
      </c>
      <c r="N3" s="189" t="s">
        <v>128</v>
      </c>
      <c r="O3" s="189">
        <v>2009</v>
      </c>
      <c r="P3" s="190"/>
      <c r="Q3" s="189" t="s">
        <v>129</v>
      </c>
      <c r="R3" s="189" t="s">
        <v>130</v>
      </c>
      <c r="S3" s="189" t="s">
        <v>131</v>
      </c>
      <c r="T3" s="189" t="s">
        <v>157</v>
      </c>
      <c r="U3" s="189">
        <v>2010</v>
      </c>
      <c r="V3" s="190"/>
      <c r="W3" s="189" t="s">
        <v>158</v>
      </c>
      <c r="X3" s="189" t="s">
        <v>218</v>
      </c>
      <c r="Y3" s="189" t="s">
        <v>248</v>
      </c>
      <c r="Z3" s="189" t="s">
        <v>262</v>
      </c>
      <c r="AA3" s="189">
        <v>2011</v>
      </c>
      <c r="AB3" s="190"/>
      <c r="AC3" s="189" t="s">
        <v>263</v>
      </c>
      <c r="AD3" s="189" t="s">
        <v>328</v>
      </c>
      <c r="AE3" s="189" t="s">
        <v>332</v>
      </c>
      <c r="AF3" s="189" t="s">
        <v>338</v>
      </c>
      <c r="AG3" s="189">
        <v>2012</v>
      </c>
      <c r="AI3" s="189" t="s">
        <v>340</v>
      </c>
      <c r="AJ3" s="189" t="s">
        <v>347</v>
      </c>
      <c r="AK3" s="189" t="s">
        <v>349</v>
      </c>
      <c r="AL3" s="189" t="s">
        <v>352</v>
      </c>
      <c r="AM3" s="189">
        <v>2013</v>
      </c>
      <c r="AO3" s="189" t="s">
        <v>354</v>
      </c>
      <c r="AP3" s="189" t="s">
        <v>362</v>
      </c>
      <c r="AQ3" s="189" t="s">
        <v>365</v>
      </c>
      <c r="AR3" s="189" t="s">
        <v>366</v>
      </c>
      <c r="AS3" s="189">
        <v>2014</v>
      </c>
      <c r="AU3" s="189" t="s">
        <v>370</v>
      </c>
      <c r="AV3" s="189" t="s">
        <v>372</v>
      </c>
      <c r="AW3" s="189" t="s">
        <v>388</v>
      </c>
      <c r="AX3" s="189" t="s">
        <v>389</v>
      </c>
      <c r="AY3" s="189">
        <v>2015</v>
      </c>
      <c r="BA3" s="189" t="s">
        <v>392</v>
      </c>
      <c r="BB3" s="189" t="s">
        <v>395</v>
      </c>
      <c r="BC3" s="189" t="s">
        <v>400</v>
      </c>
      <c r="BD3" s="189" t="s">
        <v>410</v>
      </c>
      <c r="BE3" s="189">
        <v>2016</v>
      </c>
      <c r="BG3" s="189" t="s">
        <v>413</v>
      </c>
      <c r="BH3" s="189" t="s">
        <v>416</v>
      </c>
      <c r="BI3" s="189" t="s">
        <v>586</v>
      </c>
      <c r="BJ3" s="189" t="s">
        <v>596</v>
      </c>
      <c r="BK3" s="189">
        <v>2017</v>
      </c>
      <c r="BM3" s="189" t="s">
        <v>599</v>
      </c>
      <c r="BN3" s="189" t="s">
        <v>602</v>
      </c>
      <c r="BO3" s="189" t="s">
        <v>610</v>
      </c>
      <c r="BP3" s="189" t="s">
        <v>616</v>
      </c>
      <c r="BQ3" s="189">
        <v>2018</v>
      </c>
      <c r="BS3" s="189" t="s">
        <v>631</v>
      </c>
      <c r="BT3" s="189" t="s">
        <v>633</v>
      </c>
      <c r="BU3" s="189" t="s">
        <v>635</v>
      </c>
      <c r="BV3" s="189" t="s">
        <v>639</v>
      </c>
      <c r="BW3" s="189">
        <v>2019</v>
      </c>
      <c r="BY3" s="189" t="s">
        <v>644</v>
      </c>
      <c r="BZ3" s="189" t="s">
        <v>650</v>
      </c>
      <c r="CA3" s="189" t="s">
        <v>656</v>
      </c>
      <c r="CB3" s="189" t="s">
        <v>658</v>
      </c>
      <c r="CC3" s="189">
        <v>2020</v>
      </c>
      <c r="CE3" s="189" t="s">
        <v>665</v>
      </c>
      <c r="CF3" s="189" t="s">
        <v>670</v>
      </c>
      <c r="CG3" s="189" t="s">
        <v>674</v>
      </c>
      <c r="CH3" s="189" t="s">
        <v>681</v>
      </c>
      <c r="CI3" s="189">
        <v>2021</v>
      </c>
      <c r="CK3" s="189" t="s">
        <v>683</v>
      </c>
    </row>
    <row r="4" spans="1:89">
      <c r="I4" s="191"/>
      <c r="J4" s="192"/>
      <c r="K4" s="191"/>
      <c r="L4" s="191"/>
      <c r="M4" s="191"/>
      <c r="N4" s="191"/>
      <c r="O4" s="191"/>
      <c r="P4" s="192"/>
      <c r="Q4" s="191"/>
      <c r="R4" s="191"/>
      <c r="S4" s="191"/>
      <c r="T4" s="191"/>
      <c r="U4" s="191"/>
      <c r="V4" s="192"/>
      <c r="W4" s="191"/>
      <c r="X4" s="191"/>
      <c r="Y4" s="191"/>
      <c r="Z4" s="191"/>
      <c r="AA4" s="191"/>
      <c r="AB4" s="192"/>
      <c r="AC4" s="191"/>
      <c r="CC4" s="103"/>
    </row>
    <row r="5" spans="1:89">
      <c r="A5" s="83" t="s">
        <v>196</v>
      </c>
      <c r="C5" s="193">
        <f>SUM(C6:C8)</f>
        <v>24869</v>
      </c>
      <c r="D5" s="193"/>
      <c r="E5" s="193">
        <f>SUM(E6:E8)</f>
        <v>21842</v>
      </c>
      <c r="F5" s="193">
        <f>SUM(F6:F8)</f>
        <v>23451</v>
      </c>
      <c r="G5" s="193">
        <f>SUM(G6:G8)</f>
        <v>25347</v>
      </c>
      <c r="H5" s="193">
        <f>SUM(H6:H8)</f>
        <v>26398</v>
      </c>
      <c r="I5" s="193">
        <f>SUM(I6:I8)</f>
        <v>97038</v>
      </c>
      <c r="J5" s="193"/>
      <c r="K5" s="193">
        <f>SUM(K6:K9)</f>
        <v>30438</v>
      </c>
      <c r="L5" s="193">
        <f>SUM(L6:L9)</f>
        <v>30776</v>
      </c>
      <c r="M5" s="193">
        <f>SUM(M6:M9)</f>
        <v>30579</v>
      </c>
      <c r="N5" s="193">
        <f>O5-SUM(K5:M5)</f>
        <v>33910</v>
      </c>
      <c r="O5" s="193">
        <f>SUM(O6:O9)</f>
        <v>125703</v>
      </c>
      <c r="P5" s="193"/>
      <c r="Q5" s="193">
        <f>SUM(Q6:Q9)</f>
        <v>39865</v>
      </c>
      <c r="R5" s="193">
        <f>SUM(R6:R9)</f>
        <v>47778</v>
      </c>
      <c r="S5" s="193">
        <f>SUM(S6:S9)</f>
        <v>58462</v>
      </c>
      <c r="T5" s="193">
        <f>SUM(T6:T9)</f>
        <v>77332</v>
      </c>
      <c r="U5" s="193">
        <f>SUM(U6:U9)</f>
        <v>223437</v>
      </c>
      <c r="V5" s="193"/>
      <c r="W5" s="193">
        <f>SUM(W6:W9)</f>
        <v>84859.799999999988</v>
      </c>
      <c r="X5" s="193">
        <f>SUM(X6:X9)</f>
        <v>90203</v>
      </c>
      <c r="Y5" s="193">
        <f>SUM(Y6:Y9)</f>
        <v>98950.6</v>
      </c>
      <c r="Z5" s="193">
        <f>SUM(Z6:Z9)</f>
        <v>98562.3</v>
      </c>
      <c r="AA5" s="193">
        <f>SUM(AA6:AA9)</f>
        <v>372575</v>
      </c>
      <c r="AB5" s="193"/>
      <c r="AC5" s="193">
        <f>SUM(AC6:AC9)</f>
        <v>108587</v>
      </c>
      <c r="AD5" s="193">
        <f>SUM(AD6:AD9)</f>
        <v>172572</v>
      </c>
      <c r="AE5" s="193">
        <f>SUM(AE6:AE9)</f>
        <v>181077.10852306124</v>
      </c>
      <c r="AF5" s="193">
        <f>SUM(AF6:AF9)</f>
        <v>215709.47182181932</v>
      </c>
      <c r="AG5" s="193">
        <f>SUM(AG6:AG9)</f>
        <v>677945.43840113515</v>
      </c>
      <c r="AI5" s="193">
        <f>SUM(AI6:AI9)</f>
        <v>241256.3506121948</v>
      </c>
      <c r="AJ5" s="193">
        <f>SUM(AJ6:AJ9)</f>
        <v>257130.74482806394</v>
      </c>
      <c r="AK5" s="193">
        <f>SUM(AK6:AK9)</f>
        <v>254631.4524864321</v>
      </c>
      <c r="AL5" s="193">
        <f>SUM(AL6:AL9)</f>
        <v>240480.48407346767</v>
      </c>
      <c r="AM5" s="193">
        <f>SUM(AM6:AM9)</f>
        <v>993499.03200015833</v>
      </c>
      <c r="AO5" s="193">
        <f>SUM(AO6:AO9)</f>
        <v>250622.23041183976</v>
      </c>
      <c r="AP5" s="193">
        <f>SUM(AP6:AP9)</f>
        <v>240464.68143649295</v>
      </c>
      <c r="AQ5" s="193">
        <f>SUM(AQ6:AQ9)</f>
        <v>205655.16650500736</v>
      </c>
      <c r="AR5" s="193">
        <f>SUM(AR6:AR9)</f>
        <v>205494.12705903503</v>
      </c>
      <c r="AS5" s="193">
        <f>SUM(AO5:AR5)</f>
        <v>902236.20541237504</v>
      </c>
      <c r="AT5" s="193">
        <f t="shared" ref="AT5" si="0">SUM(AP5:AS5)</f>
        <v>1553850.1804129104</v>
      </c>
      <c r="AU5" s="193">
        <f>SUM(AU6:AU9)</f>
        <v>197978.4128965759</v>
      </c>
      <c r="AV5" s="193">
        <f>SUM(AV6:AV9)</f>
        <v>193782.72319741928</v>
      </c>
      <c r="AW5" s="193">
        <f>SUM(AW6:AW9)</f>
        <v>201602.24223337552</v>
      </c>
      <c r="AX5" s="193">
        <f>SUM(AX6:AX9)</f>
        <v>181398.32653134744</v>
      </c>
      <c r="AY5" s="193">
        <f>SUM(AU5:AX5)</f>
        <v>774761.70485871821</v>
      </c>
      <c r="AZ5" s="193"/>
      <c r="BA5" s="193">
        <f>SUM(BA6:BA9)</f>
        <v>136361.13052218559</v>
      </c>
      <c r="BB5" s="193">
        <f>SUM(BB6:BB9)</f>
        <v>130481.85305346064</v>
      </c>
      <c r="BC5" s="193">
        <f>SUM(BC6:BC9)</f>
        <v>121450.91075601378</v>
      </c>
      <c r="BD5" s="193">
        <f>SUM(BD6:BD9)</f>
        <v>116960.63145105251</v>
      </c>
      <c r="BE5" s="193">
        <f>SUM(BA5:BD5)</f>
        <v>505254.5257827125</v>
      </c>
      <c r="BF5" s="193"/>
      <c r="BG5" s="193">
        <f>SUM(BG6:BG9)</f>
        <v>125663.41201000004</v>
      </c>
      <c r="BH5" s="193">
        <f>SUM(BH6:BH9)</f>
        <v>116553.30530499996</v>
      </c>
      <c r="BI5" s="193">
        <f>SUM(BI6:BI9)</f>
        <v>124509.62410499994</v>
      </c>
      <c r="BJ5" s="193">
        <f>SUM(BJ6:BJ9)</f>
        <v>125088.63351500021</v>
      </c>
      <c r="BK5" s="193">
        <f>SUM(BK6:BK9)</f>
        <v>491814.97493500012</v>
      </c>
      <c r="BL5" s="193"/>
      <c r="BM5" s="193">
        <f t="shared" ref="BM5:BP5" si="1">SUM(BM6:BM9)</f>
        <v>130202.41490999999</v>
      </c>
      <c r="BN5" s="193">
        <f t="shared" si="1"/>
        <v>123330.12925999999</v>
      </c>
      <c r="BO5" s="193">
        <f t="shared" si="1"/>
        <v>134631.47180000006</v>
      </c>
      <c r="BP5" s="193">
        <f t="shared" si="1"/>
        <v>118437.92490499993</v>
      </c>
      <c r="BQ5" s="193">
        <f>SUM(BQ6:BQ9)</f>
        <v>506601.94087500003</v>
      </c>
      <c r="BR5" s="193"/>
      <c r="BS5" s="193">
        <f t="shared" ref="BS5:BT5" si="2">SUM(BS6:BS9)</f>
        <v>121870.79642500002</v>
      </c>
      <c r="BT5" s="193">
        <f t="shared" si="2"/>
        <v>123389.50363999998</v>
      </c>
      <c r="BU5" s="193">
        <f t="shared" ref="BU5:BW5" si="3">SUM(BU6:BU9)</f>
        <v>120629.19534500009</v>
      </c>
      <c r="BV5" s="193">
        <f t="shared" si="3"/>
        <v>108819.62020499998</v>
      </c>
      <c r="BW5" s="193">
        <f t="shared" si="3"/>
        <v>474709.11561500013</v>
      </c>
      <c r="BX5" s="193"/>
      <c r="BY5" s="193">
        <f t="shared" ref="BY5:BZ5" si="4">SUM(BY6:BY9)</f>
        <v>93798.800125000009</v>
      </c>
      <c r="BZ5" s="193">
        <f t="shared" si="4"/>
        <v>93205.329729999998</v>
      </c>
      <c r="CA5" s="193">
        <f t="shared" ref="CA5:CB5" si="5">SUM(CA6:CA9)</f>
        <v>97315.375690000044</v>
      </c>
      <c r="CB5" s="193">
        <f t="shared" si="5"/>
        <v>103403.15332999996</v>
      </c>
      <c r="CC5" s="193">
        <f>SUM(CC6:CC9)</f>
        <v>387722.65887499996</v>
      </c>
      <c r="CD5" s="193"/>
      <c r="CE5" s="193">
        <f t="shared" ref="CE5" si="6">SUM(CE6:CE9)</f>
        <v>106879.40371</v>
      </c>
      <c r="CF5" s="193">
        <f>SUM(CF6:CF9)</f>
        <v>98068.039209999988</v>
      </c>
      <c r="CG5" s="193">
        <f>SUM(CG6:CG9)</f>
        <v>105543.83349999999</v>
      </c>
      <c r="CH5" s="193">
        <f>SUM(CH6:CH9)</f>
        <v>104650.72358000001</v>
      </c>
      <c r="CI5" s="193">
        <f>SUM(CI6:CI9)</f>
        <v>415142</v>
      </c>
      <c r="CJ5" s="193"/>
      <c r="CK5" s="193">
        <f t="shared" ref="CK5" si="7">SUM(CK6:CK9)</f>
        <v>108499</v>
      </c>
    </row>
    <row r="6" spans="1:89">
      <c r="A6" s="20" t="s">
        <v>24</v>
      </c>
      <c r="C6" s="86">
        <v>24808</v>
      </c>
      <c r="D6" s="86"/>
      <c r="E6" s="86">
        <v>21777</v>
      </c>
      <c r="F6" s="86">
        <v>23203</v>
      </c>
      <c r="G6" s="86">
        <v>25025</v>
      </c>
      <c r="H6" s="86">
        <v>26075</v>
      </c>
      <c r="I6" s="86">
        <v>96080</v>
      </c>
      <c r="J6" s="86"/>
      <c r="K6" s="86">
        <v>30010</v>
      </c>
      <c r="L6" s="86">
        <f>34962-4502</f>
        <v>30460</v>
      </c>
      <c r="M6" s="86">
        <v>30060</v>
      </c>
      <c r="N6" s="86">
        <v>33095</v>
      </c>
      <c r="O6" s="86">
        <v>123625</v>
      </c>
      <c r="P6" s="86"/>
      <c r="Q6" s="86">
        <v>39016</v>
      </c>
      <c r="R6" s="86">
        <v>46915</v>
      </c>
      <c r="S6" s="86">
        <v>57568</v>
      </c>
      <c r="T6" s="86">
        <v>66751</v>
      </c>
      <c r="U6" s="86">
        <v>210250</v>
      </c>
      <c r="V6" s="86"/>
      <c r="W6" s="86">
        <f>83800.4-W9</f>
        <v>81958.899999999994</v>
      </c>
      <c r="X6" s="86">
        <v>85543</v>
      </c>
      <c r="Y6" s="86">
        <v>96844</v>
      </c>
      <c r="Z6" s="86">
        <v>98519.3</v>
      </c>
      <c r="AA6" s="86">
        <v>362864</v>
      </c>
      <c r="AB6" s="86"/>
      <c r="AC6" s="86">
        <v>102447</v>
      </c>
      <c r="AD6" s="86">
        <v>172602</v>
      </c>
      <c r="AE6" s="86">
        <v>179818.97885749914</v>
      </c>
      <c r="AF6" s="86">
        <v>212980.48300701822</v>
      </c>
      <c r="AG6" s="86">
        <v>667847.97335464775</v>
      </c>
      <c r="AI6" s="86">
        <v>217820.39776163269</v>
      </c>
      <c r="AJ6" s="86">
        <v>253379.22442109612</v>
      </c>
      <c r="AK6" s="86">
        <v>241201.83617987094</v>
      </c>
      <c r="AL6" s="86">
        <v>240611.9747483629</v>
      </c>
      <c r="AM6" s="86">
        <v>953013.43311096262</v>
      </c>
      <c r="AO6" s="86">
        <v>243396.71624096885</v>
      </c>
      <c r="AP6" s="86">
        <v>233937.77945562199</v>
      </c>
      <c r="AQ6" s="86">
        <v>198775.80346913644</v>
      </c>
      <c r="AR6" s="86">
        <v>201551.46831816412</v>
      </c>
      <c r="AS6" s="86">
        <f>SUM(AO6:AR6)</f>
        <v>877661.76748389145</v>
      </c>
      <c r="AU6" s="86">
        <v>191558.73611</v>
      </c>
      <c r="AV6" s="86">
        <v>186878.52799000009</v>
      </c>
      <c r="AW6" s="86">
        <v>192332.91956499981</v>
      </c>
      <c r="AX6" s="86">
        <v>174119.16634</v>
      </c>
      <c r="AY6" s="86">
        <f>SUM(AU6:AX6)</f>
        <v>744889.3500049999</v>
      </c>
      <c r="BA6" s="86">
        <v>131218.2188</v>
      </c>
      <c r="BB6" s="86">
        <v>126067.31993999999</v>
      </c>
      <c r="BC6" s="86">
        <v>116972.58493000004</v>
      </c>
      <c r="BD6" s="86">
        <v>112468.61863499982</v>
      </c>
      <c r="BE6" s="86">
        <f>SUM(BA6:BD6)</f>
        <v>486726.74230499985</v>
      </c>
      <c r="BG6" s="86">
        <v>121268.95109000005</v>
      </c>
      <c r="BH6" s="86">
        <v>111746.14710499995</v>
      </c>
      <c r="BI6" s="86">
        <v>119799.06054499994</v>
      </c>
      <c r="BJ6" s="86">
        <v>120374.22078500022</v>
      </c>
      <c r="BK6" s="86">
        <f>SUM(BG6:BJ6)</f>
        <v>473188.37952500011</v>
      </c>
      <c r="BM6" s="86">
        <v>125720.56206</v>
      </c>
      <c r="BN6" s="86">
        <v>118750.18524999999</v>
      </c>
      <c r="BO6" s="86">
        <v>129932.89642000006</v>
      </c>
      <c r="BP6" s="86">
        <v>113754.52890499994</v>
      </c>
      <c r="BQ6" s="86">
        <f>SUM(BM6:BP6)</f>
        <v>488158.17263500002</v>
      </c>
      <c r="BS6" s="86">
        <v>117305.81184500002</v>
      </c>
      <c r="BT6" s="86">
        <v>118704.64093999998</v>
      </c>
      <c r="BU6" s="86">
        <v>115974.52212500009</v>
      </c>
      <c r="BV6" s="86">
        <v>103881.65078499999</v>
      </c>
      <c r="BW6" s="86">
        <f>SUM(BS6:BV6)</f>
        <v>455866.62569500011</v>
      </c>
      <c r="BY6" s="86">
        <v>88554.658555000002</v>
      </c>
      <c r="BZ6" s="86">
        <v>89156.128169999996</v>
      </c>
      <c r="CA6" s="86">
        <v>93568.342300000048</v>
      </c>
      <c r="CB6" s="86">
        <v>99451.505219999963</v>
      </c>
      <c r="CC6" s="86">
        <f>SUM(BY6:CB6)</f>
        <v>370730.63424499996</v>
      </c>
      <c r="CE6" s="86">
        <v>103016.04449</v>
      </c>
      <c r="CF6" s="86">
        <v>94172.986059999996</v>
      </c>
      <c r="CG6" s="86">
        <v>101487.30777999999</v>
      </c>
      <c r="CH6" s="86">
        <v>100471.66167</v>
      </c>
      <c r="CI6" s="86">
        <v>399148</v>
      </c>
      <c r="CK6" s="86">
        <v>104375</v>
      </c>
    </row>
    <row r="7" spans="1:89">
      <c r="A7" s="20" t="s">
        <v>37</v>
      </c>
      <c r="C7" s="86">
        <v>0</v>
      </c>
      <c r="D7" s="86"/>
      <c r="E7" s="86">
        <v>65</v>
      </c>
      <c r="F7" s="86">
        <v>0</v>
      </c>
      <c r="G7" s="86">
        <v>0</v>
      </c>
      <c r="H7" s="86">
        <v>-65</v>
      </c>
      <c r="I7" s="86">
        <v>0</v>
      </c>
      <c r="J7" s="86"/>
      <c r="K7" s="86">
        <v>0</v>
      </c>
      <c r="L7" s="86">
        <v>0</v>
      </c>
      <c r="M7" s="86">
        <v>0</v>
      </c>
      <c r="N7" s="86">
        <v>0</v>
      </c>
      <c r="O7" s="194">
        <v>0</v>
      </c>
      <c r="P7" s="86"/>
      <c r="Q7" s="86">
        <v>0</v>
      </c>
      <c r="R7" s="86">
        <v>0</v>
      </c>
      <c r="S7" s="86">
        <v>0</v>
      </c>
      <c r="T7" s="86">
        <v>0</v>
      </c>
      <c r="U7" s="194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86">
        <v>0</v>
      </c>
      <c r="AB7" s="86"/>
      <c r="AC7" s="86">
        <v>0</v>
      </c>
      <c r="AD7" s="86">
        <v>0</v>
      </c>
      <c r="AE7" s="86">
        <v>0</v>
      </c>
      <c r="AF7" s="86">
        <v>0</v>
      </c>
      <c r="AG7" s="86">
        <v>0</v>
      </c>
      <c r="AI7" s="86">
        <v>0</v>
      </c>
      <c r="AJ7" s="86">
        <v>0</v>
      </c>
      <c r="AK7" s="86">
        <v>0</v>
      </c>
      <c r="AL7" s="86">
        <v>0</v>
      </c>
      <c r="AM7" s="86">
        <v>0</v>
      </c>
      <c r="AO7" s="86">
        <v>0</v>
      </c>
      <c r="AP7" s="86">
        <v>0</v>
      </c>
      <c r="AQ7" s="86">
        <v>0</v>
      </c>
      <c r="AR7" s="86">
        <v>0</v>
      </c>
      <c r="AS7" s="86">
        <f>SUM(AO7:AR7)</f>
        <v>0</v>
      </c>
      <c r="AU7" s="86">
        <v>0</v>
      </c>
      <c r="AV7" s="86">
        <v>0</v>
      </c>
      <c r="AW7" s="86">
        <v>0</v>
      </c>
      <c r="AX7" s="86">
        <v>0</v>
      </c>
      <c r="AY7" s="86">
        <f>SUM(AU7:AX7)</f>
        <v>0</v>
      </c>
      <c r="BA7" s="86">
        <v>0</v>
      </c>
      <c r="BB7" s="86">
        <v>0</v>
      </c>
      <c r="BC7" s="86">
        <v>0</v>
      </c>
      <c r="BD7" s="86">
        <v>0</v>
      </c>
      <c r="BE7" s="86">
        <f>SUM(BA7:BD7)</f>
        <v>0</v>
      </c>
      <c r="BG7" s="86">
        <v>0</v>
      </c>
      <c r="BH7" s="86">
        <v>0</v>
      </c>
      <c r="BI7" s="86">
        <v>0</v>
      </c>
      <c r="BJ7" s="86">
        <v>0</v>
      </c>
      <c r="BK7" s="86">
        <f>SUM(BG7:BJ7)</f>
        <v>0</v>
      </c>
      <c r="BM7" s="86">
        <v>0</v>
      </c>
      <c r="BN7" s="86">
        <v>0</v>
      </c>
      <c r="BO7" s="86">
        <v>0</v>
      </c>
      <c r="BP7" s="86">
        <v>0</v>
      </c>
      <c r="BQ7" s="86">
        <f>SUM(BM7:BP7)</f>
        <v>0</v>
      </c>
      <c r="BS7" s="86">
        <v>0</v>
      </c>
      <c r="BT7" s="86">
        <v>0</v>
      </c>
      <c r="BU7" s="86">
        <v>0</v>
      </c>
      <c r="BV7" s="86">
        <v>0</v>
      </c>
      <c r="BW7" s="86">
        <f t="shared" ref="BW7:BW13" si="8">SUM(BS7:BV7)</f>
        <v>0</v>
      </c>
      <c r="BY7" s="86">
        <v>0</v>
      </c>
      <c r="BZ7" s="86">
        <v>0</v>
      </c>
      <c r="CA7" s="86">
        <v>0</v>
      </c>
      <c r="CB7" s="86">
        <v>0</v>
      </c>
      <c r="CC7" s="86">
        <v>0</v>
      </c>
      <c r="CE7" s="86">
        <v>0</v>
      </c>
      <c r="CF7" s="86">
        <v>0</v>
      </c>
      <c r="CG7" s="86">
        <v>0</v>
      </c>
      <c r="CH7" s="86">
        <v>0</v>
      </c>
      <c r="CI7" s="86">
        <v>0</v>
      </c>
      <c r="CK7" s="86">
        <v>0</v>
      </c>
    </row>
    <row r="8" spans="1:89">
      <c r="A8" s="20" t="s">
        <v>25</v>
      </c>
      <c r="C8" s="86">
        <v>61</v>
      </c>
      <c r="D8" s="86"/>
      <c r="E8" s="86">
        <v>0</v>
      </c>
      <c r="F8" s="86">
        <v>248</v>
      </c>
      <c r="G8" s="86">
        <v>322</v>
      </c>
      <c r="H8" s="86">
        <v>388</v>
      </c>
      <c r="I8" s="86">
        <v>958</v>
      </c>
      <c r="J8" s="86"/>
      <c r="K8" s="86">
        <v>428</v>
      </c>
      <c r="L8" s="86">
        <f>529-213</f>
        <v>316</v>
      </c>
      <c r="M8" s="86">
        <v>519</v>
      </c>
      <c r="N8" s="86">
        <v>815</v>
      </c>
      <c r="O8" s="86">
        <v>2078</v>
      </c>
      <c r="P8" s="86"/>
      <c r="Q8" s="86">
        <v>849</v>
      </c>
      <c r="R8" s="86">
        <v>863</v>
      </c>
      <c r="S8" s="86">
        <v>894</v>
      </c>
      <c r="T8" s="86">
        <v>1002</v>
      </c>
      <c r="U8" s="86">
        <v>3608</v>
      </c>
      <c r="V8" s="86"/>
      <c r="W8" s="86">
        <v>1059.4000000000001</v>
      </c>
      <c r="X8" s="86">
        <v>1768</v>
      </c>
      <c r="Y8" s="86">
        <v>1903.6</v>
      </c>
      <c r="Z8" s="86">
        <v>1736.1</v>
      </c>
      <c r="AA8" s="86">
        <v>6467</v>
      </c>
      <c r="AB8" s="86"/>
      <c r="AC8" s="86">
        <v>1831</v>
      </c>
      <c r="AD8" s="86">
        <v>1754</v>
      </c>
      <c r="AE8" s="86">
        <v>1887.7124399999998</v>
      </c>
      <c r="AF8" s="86">
        <v>2371.3268392397486</v>
      </c>
      <c r="AG8" s="86">
        <v>7844.7426692397485</v>
      </c>
      <c r="AI8" s="86">
        <v>1968.20803</v>
      </c>
      <c r="AJ8" s="86">
        <v>2184.5919200000008</v>
      </c>
      <c r="AK8" s="86">
        <v>2241.433219999999</v>
      </c>
      <c r="AL8" s="86">
        <v>3080.9986900000004</v>
      </c>
      <c r="AM8" s="86">
        <v>9475.2318599999999</v>
      </c>
      <c r="AO8" s="86">
        <v>2242.46065</v>
      </c>
      <c r="AP8" s="86">
        <v>3595.5395000000008</v>
      </c>
      <c r="AQ8" s="86">
        <v>4550.8638999999994</v>
      </c>
      <c r="AR8" s="86">
        <v>4662.1345499999989</v>
      </c>
      <c r="AS8" s="86">
        <f>SUM(AO8:AR8)</f>
        <v>15050.998599999999</v>
      </c>
      <c r="AU8" s="86">
        <v>4574.3622515758962</v>
      </c>
      <c r="AV8" s="86">
        <v>4496.6615424191878</v>
      </c>
      <c r="AW8" s="86">
        <v>4599.1833833757082</v>
      </c>
      <c r="AX8" s="86">
        <v>5314.0312813474502</v>
      </c>
      <c r="AY8" s="86">
        <f>SUM(AU8:AX8)</f>
        <v>18984.238458718242</v>
      </c>
      <c r="BA8" s="86">
        <v>5142.9117221855777</v>
      </c>
      <c r="BB8" s="86">
        <v>4414.5331134606495</v>
      </c>
      <c r="BC8" s="86">
        <v>4478.3258260137354</v>
      </c>
      <c r="BD8" s="86">
        <v>4492.0128160527001</v>
      </c>
      <c r="BE8" s="86">
        <f>SUM(BA8:BD8)</f>
        <v>18527.783477712663</v>
      </c>
      <c r="BG8" s="86">
        <v>4394.4609199999995</v>
      </c>
      <c r="BH8" s="86">
        <v>4807.1582000000017</v>
      </c>
      <c r="BI8" s="86">
        <v>4710.5635599999987</v>
      </c>
      <c r="BJ8" s="86">
        <v>4714.4127300000018</v>
      </c>
      <c r="BK8" s="86">
        <f>SUM(BG8:BJ8)</f>
        <v>18626.595410000002</v>
      </c>
      <c r="BM8" s="86">
        <v>4481.8528500000002</v>
      </c>
      <c r="BN8" s="86">
        <v>4579.9440099999965</v>
      </c>
      <c r="BO8" s="86">
        <v>4698.575380000002</v>
      </c>
      <c r="BP8" s="86">
        <v>4683.3959999999988</v>
      </c>
      <c r="BQ8" s="86">
        <f>SUM(BM8:BP8)</f>
        <v>18443.768239999998</v>
      </c>
      <c r="BS8" s="86">
        <v>4564.9845800000003</v>
      </c>
      <c r="BT8" s="86">
        <v>4684.8627000000015</v>
      </c>
      <c r="BU8" s="86">
        <v>4654.6732200000006</v>
      </c>
      <c r="BV8" s="86">
        <v>4937.969419999994</v>
      </c>
      <c r="BW8" s="86">
        <f t="shared" si="8"/>
        <v>18842.489919999996</v>
      </c>
      <c r="BY8" s="86">
        <v>5244.1415700000007</v>
      </c>
      <c r="BZ8" s="86">
        <v>4049.2015599999986</v>
      </c>
      <c r="CA8" s="86">
        <v>3747.0333900000005</v>
      </c>
      <c r="CB8" s="86">
        <v>3951.6481100000001</v>
      </c>
      <c r="CC8" s="86">
        <f>SUM(BY8:CB8)</f>
        <v>16992.02463</v>
      </c>
      <c r="CE8" s="86">
        <v>3863.3592199999998</v>
      </c>
      <c r="CF8" s="86">
        <v>3895.0531499999993</v>
      </c>
      <c r="CG8" s="86">
        <v>4056.5257200000005</v>
      </c>
      <c r="CH8" s="86">
        <v>4179.0619100000004</v>
      </c>
      <c r="CI8" s="86">
        <v>15994</v>
      </c>
      <c r="CK8" s="86">
        <v>4124</v>
      </c>
    </row>
    <row r="9" spans="1:89">
      <c r="A9" s="20" t="s">
        <v>161</v>
      </c>
      <c r="C9" s="194" t="s">
        <v>156</v>
      </c>
      <c r="D9" s="86"/>
      <c r="E9" s="194" t="s">
        <v>156</v>
      </c>
      <c r="F9" s="194" t="s">
        <v>156</v>
      </c>
      <c r="G9" s="194" t="s">
        <v>156</v>
      </c>
      <c r="H9" s="194" t="s">
        <v>156</v>
      </c>
      <c r="I9" s="194" t="s">
        <v>156</v>
      </c>
      <c r="J9" s="86"/>
      <c r="K9" s="194">
        <v>0</v>
      </c>
      <c r="L9" s="194">
        <v>0</v>
      </c>
      <c r="M9" s="194">
        <v>0</v>
      </c>
      <c r="N9" s="194">
        <v>0</v>
      </c>
      <c r="O9" s="86">
        <v>0</v>
      </c>
      <c r="P9" s="86"/>
      <c r="Q9" s="194">
        <v>0</v>
      </c>
      <c r="R9" s="194">
        <v>0</v>
      </c>
      <c r="S9" s="194">
        <v>0</v>
      </c>
      <c r="T9" s="86">
        <v>9579</v>
      </c>
      <c r="U9" s="86">
        <v>9579</v>
      </c>
      <c r="V9" s="86"/>
      <c r="W9" s="194">
        <v>1841.5</v>
      </c>
      <c r="X9" s="194">
        <v>2892</v>
      </c>
      <c r="Y9" s="194">
        <v>203</v>
      </c>
      <c r="Z9" s="194">
        <v>-1693.1</v>
      </c>
      <c r="AA9" s="194">
        <v>3244</v>
      </c>
      <c r="AB9" s="86"/>
      <c r="AC9" s="194">
        <v>4309</v>
      </c>
      <c r="AD9" s="194">
        <v>-1784</v>
      </c>
      <c r="AE9" s="194">
        <v>-629.58277443790166</v>
      </c>
      <c r="AF9" s="86">
        <v>357.66197556135057</v>
      </c>
      <c r="AG9" s="86">
        <v>2252.7223772476427</v>
      </c>
      <c r="AI9" s="86">
        <v>21467.744820562097</v>
      </c>
      <c r="AJ9" s="86">
        <v>1566.9284869678195</v>
      </c>
      <c r="AK9" s="86">
        <v>11188.183086561145</v>
      </c>
      <c r="AL9" s="86">
        <v>-3212.489364895242</v>
      </c>
      <c r="AM9" s="86">
        <v>31010.367029195819</v>
      </c>
      <c r="AO9" s="86">
        <v>4983.0535208709298</v>
      </c>
      <c r="AP9" s="86">
        <v>2931.3624808709292</v>
      </c>
      <c r="AQ9" s="86">
        <v>2328.4991358709294</v>
      </c>
      <c r="AR9" s="86">
        <v>-719.47580912907324</v>
      </c>
      <c r="AS9" s="86">
        <f>SUM(AO9:AR9)</f>
        <v>9523.4393284837151</v>
      </c>
      <c r="AU9" s="86">
        <v>1845.3145349999984</v>
      </c>
      <c r="AV9" s="86">
        <v>2407.5336650000036</v>
      </c>
      <c r="AW9" s="86">
        <v>4670.1392849999993</v>
      </c>
      <c r="AX9" s="86">
        <v>1965.1289099999995</v>
      </c>
      <c r="AY9" s="86">
        <f>SUM(AU9:AX9)</f>
        <v>10888.116395000001</v>
      </c>
      <c r="BA9" s="86">
        <v>0</v>
      </c>
      <c r="BB9" s="86">
        <v>0</v>
      </c>
      <c r="BC9" s="86">
        <v>0</v>
      </c>
      <c r="BD9" s="86">
        <v>0</v>
      </c>
      <c r="BE9" s="86">
        <f>SUM(BA9:BD9)</f>
        <v>0</v>
      </c>
      <c r="BG9" s="86">
        <v>0</v>
      </c>
      <c r="BH9" s="86">
        <v>0</v>
      </c>
      <c r="BI9" s="86">
        <v>0</v>
      </c>
      <c r="BJ9" s="86">
        <v>0</v>
      </c>
      <c r="BK9" s="86">
        <f>SUM(BG9:BJ9)</f>
        <v>0</v>
      </c>
      <c r="BM9" s="86">
        <v>0</v>
      </c>
      <c r="BN9" s="86">
        <v>0</v>
      </c>
      <c r="BO9" s="86">
        <v>0</v>
      </c>
      <c r="BP9" s="86"/>
      <c r="BQ9" s="86">
        <f>SUM(BM9:BP9)</f>
        <v>0</v>
      </c>
      <c r="BS9" s="86">
        <v>0</v>
      </c>
      <c r="BT9" s="86">
        <v>0</v>
      </c>
      <c r="BU9" s="86">
        <v>0</v>
      </c>
      <c r="BV9" s="86">
        <v>0</v>
      </c>
      <c r="BW9" s="86">
        <f t="shared" si="8"/>
        <v>0</v>
      </c>
      <c r="BY9" s="86">
        <v>0</v>
      </c>
      <c r="BZ9" s="86">
        <v>0</v>
      </c>
      <c r="CA9" s="86">
        <v>0</v>
      </c>
      <c r="CB9" s="86">
        <v>0</v>
      </c>
      <c r="CC9" s="86">
        <v>0</v>
      </c>
      <c r="CE9" s="86">
        <v>0</v>
      </c>
      <c r="CF9" s="86">
        <v>0</v>
      </c>
      <c r="CG9" s="86">
        <v>0</v>
      </c>
      <c r="CH9" s="86">
        <v>0</v>
      </c>
      <c r="CI9" s="86">
        <v>0</v>
      </c>
      <c r="CK9" s="86">
        <v>0</v>
      </c>
    </row>
    <row r="10" spans="1:89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F10" s="86"/>
      <c r="AG10" s="86"/>
      <c r="AO10" s="86"/>
      <c r="AP10" s="86"/>
      <c r="AQ10" s="86"/>
      <c r="AR10" s="86"/>
      <c r="AS10" s="86"/>
      <c r="AU10" s="86"/>
      <c r="AV10" s="86"/>
      <c r="AW10" s="86"/>
      <c r="AX10" s="86"/>
      <c r="AY10" s="86"/>
      <c r="BA10" s="86"/>
      <c r="BB10" s="86"/>
      <c r="BC10" s="86"/>
      <c r="BD10" s="86"/>
      <c r="BE10" s="86"/>
      <c r="BG10" s="86"/>
      <c r="BH10" s="86"/>
      <c r="BI10" s="86"/>
      <c r="BJ10" s="86"/>
      <c r="BK10" s="86"/>
      <c r="BM10" s="86"/>
      <c r="BN10" s="86"/>
      <c r="BO10" s="86"/>
      <c r="BP10" s="86"/>
      <c r="BQ10" s="86"/>
      <c r="BS10" s="86"/>
      <c r="BT10" s="86"/>
      <c r="BU10" s="86"/>
      <c r="BV10" s="86"/>
      <c r="BW10" s="86">
        <f t="shared" si="8"/>
        <v>0</v>
      </c>
      <c r="BY10" s="86"/>
      <c r="BZ10" s="86"/>
      <c r="CA10" s="86"/>
      <c r="CB10" s="86"/>
      <c r="CC10" s="86"/>
      <c r="CE10" s="86"/>
      <c r="CF10" s="86"/>
      <c r="CG10" s="86"/>
      <c r="CH10" s="86"/>
      <c r="CI10" s="86"/>
      <c r="CK10" s="86"/>
    </row>
    <row r="11" spans="1:89">
      <c r="A11" s="20" t="s">
        <v>26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F11" s="86"/>
      <c r="AG11" s="86"/>
    </row>
    <row r="12" spans="1:89">
      <c r="A12" s="20" t="s">
        <v>27</v>
      </c>
      <c r="C12" s="86">
        <v>-2001</v>
      </c>
      <c r="D12" s="86"/>
      <c r="E12" s="86">
        <v>-1830</v>
      </c>
      <c r="F12" s="86">
        <v>-1973</v>
      </c>
      <c r="G12" s="86">
        <v>-708</v>
      </c>
      <c r="H12" s="86">
        <v>-3815</v>
      </c>
      <c r="I12" s="86">
        <v>-8326</v>
      </c>
      <c r="J12" s="86"/>
      <c r="K12" s="86">
        <v>-2529</v>
      </c>
      <c r="L12" s="86">
        <v>-2941</v>
      </c>
      <c r="M12" s="86">
        <v>-2499</v>
      </c>
      <c r="N12" s="86">
        <v>-2622</v>
      </c>
      <c r="O12" s="86">
        <v>-10591</v>
      </c>
      <c r="P12" s="86"/>
      <c r="Q12" s="86">
        <v>-4072</v>
      </c>
      <c r="R12" s="86">
        <v>-4147</v>
      </c>
      <c r="S12" s="86">
        <v>-4575</v>
      </c>
      <c r="T12" s="86">
        <v>-5068</v>
      </c>
      <c r="U12" s="86">
        <v>-17862</v>
      </c>
      <c r="V12" s="86"/>
      <c r="W12" s="86">
        <v>-6844</v>
      </c>
      <c r="X12" s="86">
        <v>-6380</v>
      </c>
      <c r="Y12" s="86">
        <v>-6917</v>
      </c>
      <c r="Z12" s="86">
        <v>-8024.7</v>
      </c>
      <c r="AA12" s="86">
        <v>-28165.4</v>
      </c>
      <c r="AB12" s="86"/>
      <c r="AC12" s="86">
        <v>-7192</v>
      </c>
      <c r="AD12" s="86">
        <f>-11443</f>
        <v>-11443</v>
      </c>
      <c r="AE12" s="86">
        <v>-12876.494449999998</v>
      </c>
      <c r="AF12" s="86">
        <v>-14874.382659999992</v>
      </c>
      <c r="AG12" s="86">
        <v>-46385.878459999993</v>
      </c>
      <c r="AI12" s="86">
        <v>-15092.603745000002</v>
      </c>
      <c r="AJ12" s="86">
        <v>-18661.5918480365</v>
      </c>
      <c r="AK12" s="86">
        <v>-17231.540065154608</v>
      </c>
      <c r="AL12" s="86">
        <v>-17357.889464666696</v>
      </c>
      <c r="AM12" s="86">
        <v>-68343.625122857804</v>
      </c>
      <c r="AO12" s="86">
        <v>-17594.667367227106</v>
      </c>
      <c r="AP12" s="86">
        <v>-16959.530357195035</v>
      </c>
      <c r="AQ12" s="86">
        <v>-14057.800317057619</v>
      </c>
      <c r="AR12" s="86">
        <v>-15021.360401972794</v>
      </c>
      <c r="AS12" s="86">
        <f>SUM(AO12:AR12)</f>
        <v>-63633.358443452555</v>
      </c>
      <c r="AU12" s="86">
        <v>-14173.525290029989</v>
      </c>
      <c r="AV12" s="86">
        <v>-13604.963146102131</v>
      </c>
      <c r="AW12" s="86">
        <v>-14081.040329885767</v>
      </c>
      <c r="AX12" s="86">
        <v>-13002.435724774776</v>
      </c>
      <c r="AY12" s="86">
        <f>SUM(AU12:AX12)</f>
        <v>-54861.964490792663</v>
      </c>
      <c r="BA12" s="86">
        <v>-8916.0718471437631</v>
      </c>
      <c r="BB12" s="86">
        <v>-8729.7553561963778</v>
      </c>
      <c r="BC12" s="86">
        <v>-9046.9816596255496</v>
      </c>
      <c r="BD12" s="86">
        <v>-9276.7121163039956</v>
      </c>
      <c r="BE12" s="86">
        <f>SUM(BA12:BD12)</f>
        <v>-35969.520979269684</v>
      </c>
      <c r="BG12" s="86">
        <v>-9820.1562350000004</v>
      </c>
      <c r="BH12" s="86">
        <v>-7514.4411350000009</v>
      </c>
      <c r="BI12" s="86">
        <v>-10151.293569999991</v>
      </c>
      <c r="BJ12" s="86">
        <v>-10370.676599999999</v>
      </c>
      <c r="BK12" s="86">
        <f>SUM(BG12:BJ12)</f>
        <v>-37856.567539999989</v>
      </c>
      <c r="BM12" s="86">
        <v>-10429.188020000001</v>
      </c>
      <c r="BN12" s="86">
        <v>-9106.213125000002</v>
      </c>
      <c r="BO12" s="86">
        <v>-10824.94138</v>
      </c>
      <c r="BP12" s="86">
        <v>-8919.8729349999958</v>
      </c>
      <c r="BQ12" s="86">
        <f>SUM(BM12:BP12)</f>
        <v>-39280.215459999999</v>
      </c>
      <c r="BS12" s="86">
        <v>-8982.0165400000024</v>
      </c>
      <c r="BT12" s="86">
        <v>-9409.8419299999932</v>
      </c>
      <c r="BU12" s="86">
        <v>-8843.5471450000005</v>
      </c>
      <c r="BV12" s="86">
        <v>-7514.884904999999</v>
      </c>
      <c r="BW12" s="86">
        <f t="shared" si="8"/>
        <v>-34750.290519999995</v>
      </c>
      <c r="BY12" s="86">
        <v>-5486.1175250000006</v>
      </c>
      <c r="BZ12" s="86">
        <v>-5639.3184699999993</v>
      </c>
      <c r="CA12" s="86">
        <v>-6537.8757049999986</v>
      </c>
      <c r="CB12" s="86">
        <v>-7367.1933099999951</v>
      </c>
      <c r="CC12" s="86">
        <f t="shared" ref="CC12:CC13" si="9">SUM(BY12:CB12)</f>
        <v>-25030.505009999993</v>
      </c>
      <c r="CE12" s="86">
        <v>-7736.0789300000015</v>
      </c>
      <c r="CF12" s="86">
        <v>-7060.074779999999</v>
      </c>
      <c r="CG12" s="86">
        <v>-7526.9242200000026</v>
      </c>
      <c r="CH12" s="86">
        <v>-7985.9220699999969</v>
      </c>
      <c r="CI12" s="86">
        <v>-30309</v>
      </c>
      <c r="CK12" s="86">
        <v>-8258</v>
      </c>
    </row>
    <row r="13" spans="1:89">
      <c r="A13" s="20" t="s">
        <v>28</v>
      </c>
      <c r="C13" s="86">
        <v>-996</v>
      </c>
      <c r="D13" s="86"/>
      <c r="E13" s="86">
        <v>-827</v>
      </c>
      <c r="F13" s="86">
        <v>-963</v>
      </c>
      <c r="G13" s="86">
        <v>-2170</v>
      </c>
      <c r="H13" s="86">
        <v>1955</v>
      </c>
      <c r="I13" s="86">
        <v>-2005</v>
      </c>
      <c r="J13" s="86"/>
      <c r="K13" s="86">
        <v>-628</v>
      </c>
      <c r="L13" s="86">
        <v>-348</v>
      </c>
      <c r="M13" s="86">
        <v>-464</v>
      </c>
      <c r="N13" s="86">
        <v>-924</v>
      </c>
      <c r="O13" s="86">
        <v>-2364</v>
      </c>
      <c r="P13" s="86"/>
      <c r="Q13" s="86">
        <v>-526</v>
      </c>
      <c r="R13" s="86">
        <v>-201</v>
      </c>
      <c r="S13" s="86">
        <v>-198</v>
      </c>
      <c r="T13" s="86">
        <v>-186</v>
      </c>
      <c r="U13" s="86">
        <v>-1111</v>
      </c>
      <c r="V13" s="86"/>
      <c r="W13" s="86">
        <v>-239</v>
      </c>
      <c r="X13" s="86">
        <v>-247</v>
      </c>
      <c r="Y13" s="86">
        <v>-231</v>
      </c>
      <c r="Z13" s="86">
        <v>-228.8</v>
      </c>
      <c r="AA13" s="86">
        <v>-945.4</v>
      </c>
      <c r="AB13" s="86"/>
      <c r="AC13" s="86">
        <v>-203</v>
      </c>
      <c r="AD13" s="86">
        <f>-193</f>
        <v>-193</v>
      </c>
      <c r="AE13" s="86">
        <v>-169.48793000000001</v>
      </c>
      <c r="AF13" s="86">
        <v>-169.11527000000001</v>
      </c>
      <c r="AG13" s="86">
        <v>-734.79678000000001</v>
      </c>
      <c r="AI13" s="86">
        <v>-236.34965000000003</v>
      </c>
      <c r="AJ13" s="86">
        <v>-255.1649899999999</v>
      </c>
      <c r="AK13" s="86">
        <v>-824.98464000000013</v>
      </c>
      <c r="AL13" s="86">
        <v>-169.16849999999999</v>
      </c>
      <c r="AM13" s="86">
        <v>-1485.66778</v>
      </c>
      <c r="AO13" s="86">
        <v>-169.16849999999999</v>
      </c>
      <c r="AP13" s="86">
        <v>-143.85043000000007</v>
      </c>
      <c r="AQ13" s="86">
        <v>-404.06947000000002</v>
      </c>
      <c r="AR13" s="86">
        <v>-1098.2023799448043</v>
      </c>
      <c r="AS13" s="86">
        <f>SUM(AO13:AR13)</f>
        <v>-1815.2907799448044</v>
      </c>
      <c r="AU13" s="86">
        <v>-1472.57384</v>
      </c>
      <c r="AV13" s="86">
        <v>-2747.0925299999999</v>
      </c>
      <c r="AW13" s="86">
        <v>-475.81609000000026</v>
      </c>
      <c r="AX13" s="86">
        <v>-323.95485999999892</v>
      </c>
      <c r="AY13" s="86">
        <f>SUM(AU13:AX13)</f>
        <v>-5019.4373199999991</v>
      </c>
      <c r="BA13" s="86">
        <v>-482.96917999999999</v>
      </c>
      <c r="BB13" s="86">
        <v>-851.62388999999985</v>
      </c>
      <c r="BC13" s="86">
        <v>-1234.7570400000004</v>
      </c>
      <c r="BD13" s="86">
        <v>-1037.1241000000005</v>
      </c>
      <c r="BE13" s="86">
        <f>SUM(BA13:BD13)</f>
        <v>-3606.4742100000008</v>
      </c>
      <c r="BG13" s="86">
        <v>-1812.75153</v>
      </c>
      <c r="BH13" s="86">
        <v>-4361.3494499999997</v>
      </c>
      <c r="BI13" s="86">
        <v>-8122.1275599999999</v>
      </c>
      <c r="BJ13" s="86">
        <v>-9212.6374699999978</v>
      </c>
      <c r="BK13" s="86">
        <f>SUM(BG13:BJ13)</f>
        <v>-23508.866009999998</v>
      </c>
      <c r="BM13" s="86">
        <v>-12325.445085000003</v>
      </c>
      <c r="BN13" s="86">
        <v>-9628.6568750000042</v>
      </c>
      <c r="BO13" s="86">
        <v>-10350.497984999998</v>
      </c>
      <c r="BP13" s="86">
        <v>-13699.670979999992</v>
      </c>
      <c r="BQ13" s="86">
        <f>SUM(BM13:BP13)</f>
        <v>-46004.270924999997</v>
      </c>
      <c r="BS13" s="86">
        <v>-14578.957485000003</v>
      </c>
      <c r="BT13" s="86">
        <v>-15838.540964999989</v>
      </c>
      <c r="BU13" s="86">
        <v>-16482.164315000002</v>
      </c>
      <c r="BV13" s="86">
        <v>-13807.298914999999</v>
      </c>
      <c r="BW13" s="86">
        <f t="shared" si="8"/>
        <v>-60706.961679999993</v>
      </c>
      <c r="BY13" s="86">
        <v>-12302.316379999998</v>
      </c>
      <c r="BZ13" s="86">
        <v>-12092.382019999999</v>
      </c>
      <c r="CA13" s="86">
        <v>-12159.346399999991</v>
      </c>
      <c r="CB13" s="86">
        <v>-12549.896960000042</v>
      </c>
      <c r="CC13" s="86">
        <f t="shared" si="9"/>
        <v>-49103.941760000031</v>
      </c>
      <c r="CE13" s="86">
        <v>-16794.974469999997</v>
      </c>
      <c r="CF13" s="86">
        <v>-12391.043840000002</v>
      </c>
      <c r="CG13" s="86">
        <v>-14520.423300000002</v>
      </c>
      <c r="CH13" s="86">
        <v>-14796.558389999998</v>
      </c>
      <c r="CI13" s="86">
        <v>-58503</v>
      </c>
      <c r="CK13" s="86">
        <v>-17151</v>
      </c>
    </row>
    <row r="14" spans="1:89"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O14" s="86"/>
      <c r="AP14" s="86"/>
      <c r="AQ14" s="86"/>
      <c r="AR14" s="86"/>
      <c r="AS14" s="86"/>
      <c r="AU14" s="86"/>
      <c r="AV14" s="86"/>
      <c r="AW14" s="86"/>
      <c r="AX14" s="86"/>
      <c r="AY14" s="86"/>
      <c r="BA14" s="86"/>
      <c r="BB14" s="86"/>
      <c r="BC14" s="86"/>
      <c r="BD14" s="86"/>
      <c r="BE14" s="86"/>
      <c r="BG14" s="86"/>
      <c r="BH14" s="86"/>
      <c r="BI14" s="86"/>
      <c r="BJ14" s="86"/>
      <c r="BK14" s="86"/>
      <c r="BM14" s="86"/>
      <c r="BN14" s="86"/>
      <c r="BO14" s="86"/>
      <c r="BP14" s="86"/>
      <c r="BQ14" s="86"/>
      <c r="BS14" s="86"/>
      <c r="BT14" s="86"/>
      <c r="BU14" s="86"/>
      <c r="BY14" s="86"/>
      <c r="BZ14" s="86"/>
      <c r="CA14" s="86"/>
      <c r="CB14" s="86"/>
      <c r="CC14" s="86"/>
      <c r="CE14" s="86"/>
      <c r="CF14" s="86"/>
      <c r="CG14" s="86"/>
      <c r="CH14" s="86"/>
      <c r="CI14" s="86"/>
      <c r="CK14" s="86"/>
    </row>
    <row r="15" spans="1:89">
      <c r="A15" s="83" t="s">
        <v>29</v>
      </c>
      <c r="C15" s="179">
        <f>C5+SUM(C12:C13)</f>
        <v>21872</v>
      </c>
      <c r="D15" s="193"/>
      <c r="E15" s="179">
        <f>E5+SUM(E12:E13)</f>
        <v>19185</v>
      </c>
      <c r="F15" s="179">
        <f>F5+SUM(F12:F13)</f>
        <v>20515</v>
      </c>
      <c r="G15" s="179">
        <f>G5+SUM(G12:G13)</f>
        <v>22469</v>
      </c>
      <c r="H15" s="179">
        <f>H5+SUM(H12:H13)</f>
        <v>24538</v>
      </c>
      <c r="I15" s="179">
        <f>I5+SUM(I12:I13)</f>
        <v>86707</v>
      </c>
      <c r="J15" s="193"/>
      <c r="K15" s="179">
        <f>K5+SUM(K12:K13)</f>
        <v>27281</v>
      </c>
      <c r="L15" s="179">
        <f>L5+SUM(L12:L13)</f>
        <v>27487</v>
      </c>
      <c r="M15" s="179">
        <f>M5+SUM(M12:M13)</f>
        <v>27616</v>
      </c>
      <c r="N15" s="179">
        <f>N5+SUM(N12:N13)</f>
        <v>30364</v>
      </c>
      <c r="O15" s="179">
        <f t="shared" ref="O15:W15" si="10">O5+SUM(O12:O13)</f>
        <v>112748</v>
      </c>
      <c r="P15" s="177"/>
      <c r="Q15" s="179">
        <f t="shared" si="10"/>
        <v>35267</v>
      </c>
      <c r="R15" s="179">
        <f t="shared" si="10"/>
        <v>43430</v>
      </c>
      <c r="S15" s="179">
        <f t="shared" si="10"/>
        <v>53689</v>
      </c>
      <c r="T15" s="179">
        <f>T5+SUM(T12:T13)</f>
        <v>72078</v>
      </c>
      <c r="U15" s="179">
        <f t="shared" si="10"/>
        <v>204464</v>
      </c>
      <c r="V15" s="177"/>
      <c r="W15" s="179">
        <f t="shared" si="10"/>
        <v>77776.799999999988</v>
      </c>
      <c r="X15" s="179">
        <f>X5+SUM(X12:X13)</f>
        <v>83576</v>
      </c>
      <c r="Y15" s="179">
        <f>Y5+SUM(Y12:Y13)</f>
        <v>91802.6</v>
      </c>
      <c r="Z15" s="179">
        <f>Z5+SUM(Z12:Z13)</f>
        <v>90308.800000000003</v>
      </c>
      <c r="AA15" s="179">
        <f>AA5+SUM(AA12:AA13)</f>
        <v>343464.2</v>
      </c>
      <c r="AB15" s="177"/>
      <c r="AC15" s="179">
        <f>AC5+SUM(AC12:AC13)</f>
        <v>101192</v>
      </c>
      <c r="AD15" s="179">
        <f>AD5+SUM(AD12:AD13)</f>
        <v>160936</v>
      </c>
      <c r="AE15" s="179">
        <f>AE5+SUM(AE12:AE13)</f>
        <v>168031.12614306124</v>
      </c>
      <c r="AF15" s="179">
        <f>AF5+SUM(AF12:AF13)</f>
        <v>200665.97389181933</v>
      </c>
      <c r="AG15" s="179">
        <f>AG5+SUM(AG12:AG13)</f>
        <v>630824.76316113514</v>
      </c>
      <c r="AI15" s="179">
        <f>AI5+SUM(AI12:AI13)</f>
        <v>225927.39721719481</v>
      </c>
      <c r="AJ15" s="179">
        <f>AJ5+SUM(AJ12:AJ13)</f>
        <v>238213.98799002744</v>
      </c>
      <c r="AK15" s="179">
        <f>AK5+SUM(AK12:AK13)</f>
        <v>236574.92778127748</v>
      </c>
      <c r="AL15" s="179">
        <f>AL5+SUM(AL12:AL13)</f>
        <v>222953.42610880098</v>
      </c>
      <c r="AM15" s="179">
        <f>AM5+SUM(AM12:AM13)</f>
        <v>923669.73909730057</v>
      </c>
      <c r="AO15" s="179">
        <f>AO5+SUM(AO12:AO13)</f>
        <v>232858.39454461265</v>
      </c>
      <c r="AP15" s="179">
        <f>AP5+SUM(AP12:AP13)</f>
        <v>223361.30064929792</v>
      </c>
      <c r="AQ15" s="179">
        <f>AQ5+SUM(AQ12:AQ13)</f>
        <v>191193.29671794974</v>
      </c>
      <c r="AR15" s="179">
        <f>AR5+SUM(AR12:AR13)</f>
        <v>189374.56427711743</v>
      </c>
      <c r="AS15" s="179">
        <f>SUM(AO15:AR15)</f>
        <v>836787.55618897779</v>
      </c>
      <c r="AU15" s="179">
        <f>AU5+SUM(AU12:AU13)</f>
        <v>182332.31376654591</v>
      </c>
      <c r="AV15" s="179">
        <f>AV5+SUM(AV12:AV13)</f>
        <v>177430.66752131714</v>
      </c>
      <c r="AW15" s="179">
        <f>AW5+SUM(AW12:AW13)</f>
        <v>187045.38581348976</v>
      </c>
      <c r="AX15" s="179">
        <f>AX5+SUM(AX12:AX13)</f>
        <v>168071.93594657266</v>
      </c>
      <c r="AY15" s="179">
        <f>SUM(AU15:AX15)</f>
        <v>714880.30304792547</v>
      </c>
      <c r="BA15" s="179">
        <f>BA5+SUM(BA12:BA13)</f>
        <v>126962.08949504183</v>
      </c>
      <c r="BB15" s="179">
        <f>BB5+SUM(BB12:BB13)</f>
        <v>120900.47380726426</v>
      </c>
      <c r="BC15" s="179">
        <f>BC5+SUM(BC12:BC13)</f>
        <v>111169.17205638823</v>
      </c>
      <c r="BD15" s="179">
        <f>BD5+SUM(BD12:BD13)</f>
        <v>106646.79523474851</v>
      </c>
      <c r="BE15" s="179">
        <f>SUM(BA15:BD15)</f>
        <v>465678.53059344285</v>
      </c>
      <c r="BG15" s="179">
        <f>BG5+SUM(BG12:BG13)</f>
        <v>114030.50424500005</v>
      </c>
      <c r="BH15" s="179">
        <f>BH5+SUM(BH12:BH13)</f>
        <v>104677.51471999996</v>
      </c>
      <c r="BI15" s="179">
        <f>BI5+SUM(BI12:BI13)</f>
        <v>106236.20297499995</v>
      </c>
      <c r="BJ15" s="179">
        <f>BJ5+SUM(BJ12:BJ13)</f>
        <v>105505.31944500022</v>
      </c>
      <c r="BK15" s="179">
        <f>BK5+SUM(BK12:BK13)</f>
        <v>430449.54138500011</v>
      </c>
      <c r="BM15" s="179">
        <f>BM5+SUM(BM12:BM13)</f>
        <v>107447.78180499999</v>
      </c>
      <c r="BN15" s="179">
        <f>BN5+SUM(BN12:BN13)</f>
        <v>104595.25925999998</v>
      </c>
      <c r="BO15" s="179">
        <f>BO5+SUM(BO12:BO13)</f>
        <v>113456.03243500006</v>
      </c>
      <c r="BP15" s="179">
        <f>BP5+SUM(BP12:BP13)</f>
        <v>95818.380989999947</v>
      </c>
      <c r="BQ15" s="179">
        <f>BQ5+SUM(BQ12:BQ13)</f>
        <v>421317.45449000003</v>
      </c>
      <c r="BS15" s="179">
        <f>BS5+SUM(BS12:BS13)</f>
        <v>98309.822400000019</v>
      </c>
      <c r="BT15" s="179">
        <f>BT5+SUM(BT12:BT13)</f>
        <v>98141.120744999993</v>
      </c>
      <c r="BU15" s="179">
        <f>BU5+SUM(BU12:BU13)</f>
        <v>95303.483885000082</v>
      </c>
      <c r="BV15" s="179">
        <f>BV5+SUM(BV12:BV13)</f>
        <v>87497.436384999979</v>
      </c>
      <c r="BW15" s="179">
        <f>BW5+SUM(BW12:BW13)</f>
        <v>379251.86341500015</v>
      </c>
      <c r="BY15" s="179">
        <f>BY5+SUM(BY12:BY13)</f>
        <v>76010.366220000011</v>
      </c>
      <c r="BZ15" s="179">
        <f>BZ5+SUM(BZ12:BZ13)</f>
        <v>75473.629239999995</v>
      </c>
      <c r="CA15" s="179">
        <f>CA5+SUM(CA12:CA13)</f>
        <v>78618.153585000051</v>
      </c>
      <c r="CB15" s="179">
        <f>CB5+SUM(CB12:CB13)</f>
        <v>83486.063059999928</v>
      </c>
      <c r="CC15" s="179">
        <f>CC5+SUM(CC12:CC13)</f>
        <v>313588.21210499993</v>
      </c>
      <c r="CE15" s="179">
        <f>CE5+SUM(CE12:CE13)</f>
        <v>82348.350310000009</v>
      </c>
      <c r="CF15" s="179">
        <f>CF5+SUM(CF12:CF13)</f>
        <v>78616.920589999994</v>
      </c>
      <c r="CG15" s="179">
        <f>CG5+SUM(CG12:CG13)</f>
        <v>83496.485979999998</v>
      </c>
      <c r="CH15" s="179">
        <f>CH5+SUM(CH12:CH13)</f>
        <v>81868.243120000014</v>
      </c>
      <c r="CI15" s="179">
        <f>CI5+SUM(CI12:CI13)</f>
        <v>326330</v>
      </c>
      <c r="CK15" s="179">
        <f>CK5+SUM(CK12:CK13)</f>
        <v>83090</v>
      </c>
    </row>
    <row r="16" spans="1:89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</row>
    <row r="17" spans="1:89">
      <c r="A17" s="20" t="s">
        <v>197</v>
      </c>
      <c r="C17" s="86">
        <v>-3808</v>
      </c>
      <c r="D17" s="86"/>
      <c r="E17" s="86">
        <v>-3011</v>
      </c>
      <c r="F17" s="86">
        <v>-4512</v>
      </c>
      <c r="G17" s="86">
        <v>-3981</v>
      </c>
      <c r="H17" s="86">
        <v>-4115</v>
      </c>
      <c r="I17" s="86">
        <v>-15619</v>
      </c>
      <c r="J17" s="86"/>
      <c r="K17" s="86">
        <v>0</v>
      </c>
      <c r="L17" s="86">
        <v>0</v>
      </c>
      <c r="M17" s="86">
        <v>0</v>
      </c>
      <c r="N17" s="86">
        <v>0</v>
      </c>
      <c r="O17" s="194">
        <v>0</v>
      </c>
      <c r="P17" s="194"/>
      <c r="Q17" s="86">
        <v>0</v>
      </c>
      <c r="R17" s="86">
        <v>0</v>
      </c>
      <c r="S17" s="86">
        <v>0</v>
      </c>
      <c r="T17" s="86">
        <v>0</v>
      </c>
      <c r="U17" s="194">
        <v>0</v>
      </c>
      <c r="V17" s="194"/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194"/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I17" s="86">
        <v>0</v>
      </c>
      <c r="AJ17" s="86">
        <v>0</v>
      </c>
      <c r="AK17" s="86">
        <v>0</v>
      </c>
      <c r="AL17" s="86">
        <v>0</v>
      </c>
      <c r="AM17" s="86">
        <v>0</v>
      </c>
      <c r="AO17" s="86">
        <v>0</v>
      </c>
      <c r="AP17" s="86">
        <v>0</v>
      </c>
      <c r="AQ17" s="86">
        <v>0</v>
      </c>
      <c r="AR17" s="86">
        <v>0</v>
      </c>
      <c r="AS17" s="86">
        <f t="shared" ref="AS17:AS40" si="11">SUM(AO17:AR17)</f>
        <v>0</v>
      </c>
      <c r="AU17" s="86">
        <v>0</v>
      </c>
      <c r="AV17" s="86">
        <v>0</v>
      </c>
      <c r="AW17" s="86">
        <v>0</v>
      </c>
      <c r="AX17" s="86">
        <v>0</v>
      </c>
      <c r="AY17" s="86">
        <f t="shared" ref="AY17:AY34" si="12">SUM(AU17:AX17)</f>
        <v>0</v>
      </c>
      <c r="BA17" s="86">
        <v>0</v>
      </c>
      <c r="BB17" s="86">
        <v>0</v>
      </c>
      <c r="BC17" s="86">
        <v>0</v>
      </c>
      <c r="BD17" s="86">
        <v>0</v>
      </c>
      <c r="BE17" s="86">
        <f t="shared" ref="BE17:BE28" si="13">SUM(BA17:BD17)</f>
        <v>0</v>
      </c>
      <c r="BG17" s="86">
        <v>0</v>
      </c>
      <c r="BH17" s="86">
        <v>0</v>
      </c>
      <c r="BI17" s="86">
        <v>0</v>
      </c>
      <c r="BJ17" s="86">
        <v>0</v>
      </c>
      <c r="BK17" s="86">
        <f t="shared" ref="BK17" si="14">SUM(BG17:BJ17)</f>
        <v>0</v>
      </c>
      <c r="BM17" s="86">
        <v>0</v>
      </c>
      <c r="BN17" s="86">
        <v>0</v>
      </c>
      <c r="BO17" s="86">
        <v>0</v>
      </c>
      <c r="BP17" s="86">
        <v>0</v>
      </c>
      <c r="BQ17" s="86">
        <v>0</v>
      </c>
      <c r="BS17" s="86">
        <v>0</v>
      </c>
      <c r="BT17" s="86">
        <v>0</v>
      </c>
      <c r="BU17" s="86">
        <v>0</v>
      </c>
      <c r="BV17" s="86">
        <v>0</v>
      </c>
      <c r="BW17" s="86">
        <v>0</v>
      </c>
      <c r="BY17" s="86">
        <v>0</v>
      </c>
      <c r="BZ17" s="86">
        <v>0</v>
      </c>
      <c r="CA17" s="86">
        <v>0</v>
      </c>
      <c r="CB17" s="86">
        <v>0</v>
      </c>
      <c r="CC17" s="86">
        <v>0</v>
      </c>
      <c r="CE17" s="86">
        <v>0</v>
      </c>
      <c r="CF17" s="86">
        <v>0</v>
      </c>
      <c r="CG17" s="86">
        <v>0</v>
      </c>
      <c r="CH17" s="86">
        <v>0</v>
      </c>
      <c r="CI17" s="86">
        <v>0</v>
      </c>
      <c r="CK17" s="86">
        <v>0</v>
      </c>
    </row>
    <row r="18" spans="1:89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</row>
    <row r="19" spans="1:89">
      <c r="A19" s="83" t="s">
        <v>30</v>
      </c>
      <c r="C19" s="179">
        <f>C15+C17</f>
        <v>18064</v>
      </c>
      <c r="D19" s="193"/>
      <c r="E19" s="179">
        <f>E15+E17</f>
        <v>16174</v>
      </c>
      <c r="F19" s="179">
        <f>F15+F17</f>
        <v>16003</v>
      </c>
      <c r="G19" s="179">
        <f>G15+G17</f>
        <v>18488</v>
      </c>
      <c r="H19" s="179">
        <f>H15+H17</f>
        <v>20423</v>
      </c>
      <c r="I19" s="179">
        <f>I15+I17</f>
        <v>71088</v>
      </c>
      <c r="J19" s="193"/>
      <c r="K19" s="179">
        <f>K15+K17</f>
        <v>27281</v>
      </c>
      <c r="L19" s="179">
        <f>L15+L17</f>
        <v>27487</v>
      </c>
      <c r="M19" s="179">
        <f>M15+M17</f>
        <v>27616</v>
      </c>
      <c r="N19" s="179">
        <f>N15+N17</f>
        <v>30364</v>
      </c>
      <c r="O19" s="179">
        <f>O15+O17</f>
        <v>112748</v>
      </c>
      <c r="P19" s="177"/>
      <c r="Q19" s="179">
        <f>Q15+Q17</f>
        <v>35267</v>
      </c>
      <c r="R19" s="179">
        <f>R15+R17</f>
        <v>43430</v>
      </c>
      <c r="S19" s="179">
        <f>S15+S17</f>
        <v>53689</v>
      </c>
      <c r="T19" s="179">
        <f>T15+T17</f>
        <v>72078</v>
      </c>
      <c r="U19" s="179">
        <f>U15+U17</f>
        <v>204464</v>
      </c>
      <c r="V19" s="177"/>
      <c r="W19" s="179">
        <f>W15+W17</f>
        <v>77776.799999999988</v>
      </c>
      <c r="X19" s="179">
        <f>X15+X17</f>
        <v>83576</v>
      </c>
      <c r="Y19" s="179">
        <f>Y15+Y17</f>
        <v>91802.6</v>
      </c>
      <c r="Z19" s="179">
        <f>Z15+Z17</f>
        <v>90308.800000000003</v>
      </c>
      <c r="AA19" s="179">
        <f>AA15+AA17</f>
        <v>343464.2</v>
      </c>
      <c r="AB19" s="177"/>
      <c r="AC19" s="179">
        <f>AC15+AC17</f>
        <v>101192</v>
      </c>
      <c r="AD19" s="179">
        <f>AD15+AD17</f>
        <v>160936</v>
      </c>
      <c r="AE19" s="179">
        <f>AE15+AE17</f>
        <v>168031.12614306124</v>
      </c>
      <c r="AF19" s="179">
        <f>AF15+AF17</f>
        <v>200665.97389181933</v>
      </c>
      <c r="AG19" s="179">
        <f>AG15+AG17</f>
        <v>630824.76316113514</v>
      </c>
      <c r="AI19" s="179">
        <f>AI15+AI17</f>
        <v>225927.39721719481</v>
      </c>
      <c r="AJ19" s="179">
        <f>AJ15+AJ17</f>
        <v>238213.98799002744</v>
      </c>
      <c r="AK19" s="179">
        <f>AK15+AK17</f>
        <v>236574.92778127748</v>
      </c>
      <c r="AL19" s="179">
        <f>AL15+AL17</f>
        <v>222953.42610880098</v>
      </c>
      <c r="AM19" s="179">
        <f>AM15+AM17</f>
        <v>923669.73909730057</v>
      </c>
      <c r="AO19" s="179">
        <f>AO15+AO17</f>
        <v>232858.39454461265</v>
      </c>
      <c r="AP19" s="179">
        <f>AP15+AP17</f>
        <v>223361.30064929792</v>
      </c>
      <c r="AQ19" s="179">
        <f>AQ15+AQ17</f>
        <v>191193.29671794974</v>
      </c>
      <c r="AR19" s="179">
        <f>AR15+AR17</f>
        <v>189374.56427711743</v>
      </c>
      <c r="AS19" s="179">
        <f t="shared" si="11"/>
        <v>836787.55618897779</v>
      </c>
      <c r="AU19" s="179">
        <f>AU15+AU17</f>
        <v>182332.31376654591</v>
      </c>
      <c r="AV19" s="179">
        <f>AV15+AV17</f>
        <v>177430.66752131714</v>
      </c>
      <c r="AW19" s="179">
        <f>AW15+AW17</f>
        <v>187045.38581348976</v>
      </c>
      <c r="AX19" s="179">
        <f>AX15+AX17</f>
        <v>168071.93594657266</v>
      </c>
      <c r="AY19" s="179">
        <f t="shared" si="12"/>
        <v>714880.30304792547</v>
      </c>
      <c r="BA19" s="179">
        <f>BA15+BA17</f>
        <v>126962.08949504183</v>
      </c>
      <c r="BB19" s="179">
        <f>BB15+BB17</f>
        <v>120900.47380726426</v>
      </c>
      <c r="BC19" s="179">
        <f>BC15+BC17</f>
        <v>111169.17205638823</v>
      </c>
      <c r="BD19" s="179">
        <f>BD15+BD17</f>
        <v>106646.79523474851</v>
      </c>
      <c r="BE19" s="179">
        <f>SUM(BA19:BD19)</f>
        <v>465678.53059344285</v>
      </c>
      <c r="BG19" s="179">
        <f>BG15+BG17</f>
        <v>114030.50424500005</v>
      </c>
      <c r="BH19" s="179">
        <f>BH15+BH17</f>
        <v>104677.51471999996</v>
      </c>
      <c r="BI19" s="179">
        <f>BI15+BI17</f>
        <v>106236.20297499995</v>
      </c>
      <c r="BJ19" s="179">
        <f>BJ15+BJ17</f>
        <v>105505.31944500022</v>
      </c>
      <c r="BK19" s="179">
        <f>BK15+BK17</f>
        <v>430449.54138500011</v>
      </c>
      <c r="BM19" s="179">
        <f>BM15+BM17</f>
        <v>107447.78180499999</v>
      </c>
      <c r="BN19" s="179">
        <f>BN15+BN17</f>
        <v>104595.25925999998</v>
      </c>
      <c r="BO19" s="179">
        <f>BO15+BO17</f>
        <v>113456.03243500006</v>
      </c>
      <c r="BP19" s="179">
        <f>BP15+BP17</f>
        <v>95818.380989999947</v>
      </c>
      <c r="BQ19" s="179">
        <f>BQ15+BQ17</f>
        <v>421317.45449000003</v>
      </c>
      <c r="BS19" s="179">
        <f>BS15+BS17</f>
        <v>98309.822400000019</v>
      </c>
      <c r="BT19" s="179">
        <f>BT15+BT17</f>
        <v>98141.120744999993</v>
      </c>
      <c r="BU19" s="179">
        <f>BU15+BU17</f>
        <v>95303.483885000082</v>
      </c>
      <c r="BV19" s="179">
        <f>BV15+BV17</f>
        <v>87497.436384999979</v>
      </c>
      <c r="BW19" s="179">
        <f>BW15+BW17</f>
        <v>379251.86341500015</v>
      </c>
      <c r="BY19" s="179">
        <f>BY15+BY17</f>
        <v>76010.366220000011</v>
      </c>
      <c r="BZ19" s="179">
        <f>BZ15+BZ17</f>
        <v>75473.629239999995</v>
      </c>
      <c r="CA19" s="179">
        <f>CA15+CA17</f>
        <v>78618.153585000051</v>
      </c>
      <c r="CB19" s="179">
        <f>CB15+CB17</f>
        <v>83486.063059999928</v>
      </c>
      <c r="CC19" s="179">
        <f>CC15+CC17</f>
        <v>313588.21210499993</v>
      </c>
      <c r="CE19" s="179">
        <f>CE15+CE17</f>
        <v>82348.350310000009</v>
      </c>
      <c r="CF19" s="179">
        <f>CF15+CF17</f>
        <v>78616.920589999994</v>
      </c>
      <c r="CG19" s="179">
        <f>CG15+CG17</f>
        <v>83496.485979999998</v>
      </c>
      <c r="CH19" s="179">
        <f>CH15+CH17</f>
        <v>81868.243120000014</v>
      </c>
      <c r="CI19" s="179">
        <f>CI15+CI17</f>
        <v>326330</v>
      </c>
      <c r="CK19" s="179">
        <f>CK15+CK17</f>
        <v>83090</v>
      </c>
    </row>
    <row r="20" spans="1:89"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</row>
    <row r="21" spans="1:89">
      <c r="A21" s="83" t="s">
        <v>56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</row>
    <row r="22" spans="1:89">
      <c r="A22" s="20" t="s">
        <v>31</v>
      </c>
      <c r="C22" s="86">
        <v>-8617</v>
      </c>
      <c r="D22" s="86"/>
      <c r="E22" s="86">
        <v>-3954</v>
      </c>
      <c r="F22" s="86">
        <v>-4165</v>
      </c>
      <c r="G22" s="86">
        <v>-4284</v>
      </c>
      <c r="H22" s="86">
        <v>-3122</v>
      </c>
      <c r="I22" s="86">
        <v>-15525</v>
      </c>
      <c r="J22" s="86"/>
      <c r="K22" s="86">
        <v>-3029</v>
      </c>
      <c r="L22" s="86">
        <v>-6029</v>
      </c>
      <c r="M22" s="86">
        <v>-3670</v>
      </c>
      <c r="N22" s="86">
        <v>-8378</v>
      </c>
      <c r="O22" s="86">
        <v>-21106</v>
      </c>
      <c r="P22" s="86"/>
      <c r="Q22" s="86">
        <v>-6551</v>
      </c>
      <c r="R22" s="86">
        <v>-6812</v>
      </c>
      <c r="S22" s="86">
        <v>-8552</v>
      </c>
      <c r="T22" s="86">
        <v>-10183</v>
      </c>
      <c r="U22" s="86">
        <f>-23308-8790</f>
        <v>-32098</v>
      </c>
      <c r="V22" s="86"/>
      <c r="W22" s="86">
        <v>-8693</v>
      </c>
      <c r="X22" s="86">
        <v>-6968</v>
      </c>
      <c r="Y22" s="86">
        <f>-2277-2863-1893</f>
        <v>-7033</v>
      </c>
      <c r="Z22" s="86">
        <v>-17720.400000000001</v>
      </c>
      <c r="AA22" s="86">
        <v>-40414</v>
      </c>
      <c r="AB22" s="86"/>
      <c r="AC22" s="86">
        <v>-11666</v>
      </c>
      <c r="AD22" s="86">
        <f>-25184+1270+773</f>
        <v>-23141</v>
      </c>
      <c r="AE22" s="86">
        <v>-18909.142868432169</v>
      </c>
      <c r="AF22" s="86">
        <v>-32211.639347166558</v>
      </c>
      <c r="AG22" s="86">
        <v>-85928.516891164007</v>
      </c>
      <c r="AI22" s="86">
        <v>-13834.294998863439</v>
      </c>
      <c r="AJ22" s="86">
        <v>-15350.549475282933</v>
      </c>
      <c r="AK22" s="86">
        <v>-18406.009824422261</v>
      </c>
      <c r="AL22" s="86">
        <v>-33437.740897543117</v>
      </c>
      <c r="AM22" s="86">
        <v>-81028.595196111753</v>
      </c>
      <c r="AN22" s="103"/>
      <c r="AO22" s="86">
        <v>-24332.334906819218</v>
      </c>
      <c r="AP22" s="86">
        <v>-17145.533373051567</v>
      </c>
      <c r="AQ22" s="86">
        <v>-18563.040810380386</v>
      </c>
      <c r="AR22" s="86">
        <v>-23329.641139630789</v>
      </c>
      <c r="AS22" s="86">
        <f t="shared" si="11"/>
        <v>-83370.550229881963</v>
      </c>
      <c r="AU22" s="86">
        <f>-20560</f>
        <v>-20560</v>
      </c>
      <c r="AV22" s="86">
        <v>-17245.069235103176</v>
      </c>
      <c r="AW22" s="86">
        <v>-19817.417736296171</v>
      </c>
      <c r="AX22" s="86">
        <v>-42682.385960577783</v>
      </c>
      <c r="AY22" s="86">
        <f t="shared" si="12"/>
        <v>-100304.87293197712</v>
      </c>
      <c r="BA22" s="86">
        <v>-25053.866290608054</v>
      </c>
      <c r="BB22" s="103">
        <v>-21673.324630789328</v>
      </c>
      <c r="BC22" s="103">
        <v>-22854.603507725777</v>
      </c>
      <c r="BD22" s="103">
        <v>-87826.463275133647</v>
      </c>
      <c r="BE22" s="103">
        <f t="shared" si="13"/>
        <v>-157408.2577042568</v>
      </c>
      <c r="BG22" s="103">
        <v>-55681.105949999997</v>
      </c>
      <c r="BH22" s="103">
        <v>-25501.938300000009</v>
      </c>
      <c r="BI22" s="103">
        <v>-26371.988274999985</v>
      </c>
      <c r="BJ22" s="103">
        <v>-21864.06506500001</v>
      </c>
      <c r="BK22" s="103">
        <f t="shared" ref="BK22:BK28" si="15">SUM(BG22:BJ22)</f>
        <v>-129419.09758999999</v>
      </c>
      <c r="BM22" s="103">
        <v>-24352.315820000003</v>
      </c>
      <c r="BN22" s="103">
        <v>-24157.183769999992</v>
      </c>
      <c r="BO22" s="103">
        <v>-23213.599524999998</v>
      </c>
      <c r="BP22" s="103">
        <v>-9722.560224999992</v>
      </c>
      <c r="BQ22" s="103">
        <f t="shared" ref="BQ22:BQ28" si="16">SUM(BM22:BP22)</f>
        <v>-81445.659339999984</v>
      </c>
      <c r="BS22" s="103">
        <v>-24851.705490000008</v>
      </c>
      <c r="BT22" s="103">
        <v>-26084.373124999991</v>
      </c>
      <c r="BU22" s="103">
        <v>-33143.957655000006</v>
      </c>
      <c r="BV22" s="103">
        <v>-26737.551355000007</v>
      </c>
      <c r="BW22" s="103">
        <f>SUM(BS22:BV22)</f>
        <v>-110817.58762500001</v>
      </c>
      <c r="BY22" s="103">
        <v>-19716.39318000001</v>
      </c>
      <c r="BZ22" s="103">
        <v>-20566.60681999999</v>
      </c>
      <c r="CA22" s="103">
        <v>-19019.903210000026</v>
      </c>
      <c r="CB22" s="103">
        <v>-20254.619009999969</v>
      </c>
      <c r="CC22" s="103">
        <f t="shared" ref="CC22:CC30" si="17">SUM(BY22:CB22)</f>
        <v>-79557.522219999999</v>
      </c>
      <c r="CE22" s="103">
        <v>-18554.472859999994</v>
      </c>
      <c r="CF22" s="103">
        <v>-21112.790710000001</v>
      </c>
      <c r="CG22" s="103">
        <v>-24102.731830000008</v>
      </c>
      <c r="CH22" s="103">
        <v>-25810.0046</v>
      </c>
      <c r="CI22" s="103">
        <v>-89580</v>
      </c>
      <c r="CK22" s="103">
        <v>-26103</v>
      </c>
    </row>
    <row r="23" spans="1:89">
      <c r="A23" s="20" t="s">
        <v>32</v>
      </c>
      <c r="C23" s="86">
        <v>-2712</v>
      </c>
      <c r="D23" s="86"/>
      <c r="E23" s="86">
        <v>0</v>
      </c>
      <c r="F23" s="86">
        <v>0</v>
      </c>
      <c r="G23" s="86">
        <v>0</v>
      </c>
      <c r="H23" s="86">
        <v>-4922</v>
      </c>
      <c r="I23" s="86">
        <v>-4922</v>
      </c>
      <c r="J23" s="86"/>
      <c r="K23" s="86">
        <v>-717</v>
      </c>
      <c r="L23" s="86">
        <v>0</v>
      </c>
      <c r="M23" s="86">
        <v>-2166</v>
      </c>
      <c r="N23" s="86">
        <v>-30</v>
      </c>
      <c r="O23" s="86">
        <v>-2913</v>
      </c>
      <c r="P23" s="86"/>
      <c r="Q23" s="86">
        <v>-760</v>
      </c>
      <c r="R23" s="86">
        <v>-1025</v>
      </c>
      <c r="S23" s="86">
        <v>-929</v>
      </c>
      <c r="T23" s="86">
        <v>-898</v>
      </c>
      <c r="U23" s="86">
        <v>-3612</v>
      </c>
      <c r="V23" s="86"/>
      <c r="W23" s="86">
        <v>-1763</v>
      </c>
      <c r="X23" s="86">
        <v>-176</v>
      </c>
      <c r="Y23" s="86">
        <v>-995</v>
      </c>
      <c r="Z23" s="86">
        <v>-1109.4000000000001</v>
      </c>
      <c r="AA23" s="86">
        <v>-4042.6</v>
      </c>
      <c r="AB23" s="86"/>
      <c r="AC23" s="86">
        <v>-929</v>
      </c>
      <c r="AD23" s="86">
        <f>-1270</f>
        <v>-1270</v>
      </c>
      <c r="AE23" s="86">
        <v>-1353.8270100000009</v>
      </c>
      <c r="AF23" s="59">
        <v>-981.4710099999993</v>
      </c>
      <c r="AG23" s="86">
        <v>-4533.8867300000002</v>
      </c>
      <c r="AI23" s="86">
        <v>-1151.15751</v>
      </c>
      <c r="AJ23" s="86">
        <v>-2989.9870900000005</v>
      </c>
      <c r="AK23" s="86">
        <v>-1216.948089999999</v>
      </c>
      <c r="AL23" s="86">
        <v>-1484.80044</v>
      </c>
      <c r="AM23" s="86">
        <v>-6842.8931299999995</v>
      </c>
      <c r="AN23" s="103"/>
      <c r="AO23" s="86">
        <v>-1205.385</v>
      </c>
      <c r="AP23" s="86">
        <v>-1261.9149599999998</v>
      </c>
      <c r="AQ23" s="86">
        <v>-2601.8492700000011</v>
      </c>
      <c r="AR23" s="86">
        <v>-9170.3754100000006</v>
      </c>
      <c r="AS23" s="86">
        <f t="shared" si="11"/>
        <v>-14239.524640000001</v>
      </c>
      <c r="AU23" s="86">
        <v>-5444.3944854031297</v>
      </c>
      <c r="AV23" s="86">
        <v>-2401.4311445968706</v>
      </c>
      <c r="AW23" s="86">
        <v>-2671.5642799999996</v>
      </c>
      <c r="AX23" s="86">
        <v>-7644.840680000003</v>
      </c>
      <c r="AY23" s="86">
        <f t="shared" si="12"/>
        <v>-18162.230590000003</v>
      </c>
      <c r="BA23" s="86">
        <v>-2758.3358599999997</v>
      </c>
      <c r="BB23" s="86">
        <v>-2418.0514499999995</v>
      </c>
      <c r="BC23" s="86">
        <v>-3002.1932400000005</v>
      </c>
      <c r="BD23" s="86">
        <v>-3249.1907299999993</v>
      </c>
      <c r="BE23" s="86">
        <f t="shared" si="13"/>
        <v>-11427.771279999999</v>
      </c>
      <c r="BG23" s="86">
        <v>-1122.37426</v>
      </c>
      <c r="BH23" s="86">
        <v>-1739.1136799999999</v>
      </c>
      <c r="BI23" s="86">
        <v>-1171.4932600000002</v>
      </c>
      <c r="BJ23" s="86">
        <v>-1145.6797400000005</v>
      </c>
      <c r="BK23" s="86">
        <f t="shared" si="15"/>
        <v>-5178.6609400000007</v>
      </c>
      <c r="BM23" s="86">
        <v>-1131.1673599999999</v>
      </c>
      <c r="BN23" s="86">
        <v>-1126.5965799999999</v>
      </c>
      <c r="BO23" s="86">
        <v>-1211.7743399999999</v>
      </c>
      <c r="BP23" s="86">
        <v>-1181.1962700000004</v>
      </c>
      <c r="BQ23" s="86">
        <f t="shared" si="16"/>
        <v>-4650.7345500000001</v>
      </c>
      <c r="BS23" s="86">
        <v>-2211.1729200000004</v>
      </c>
      <c r="BT23" s="86">
        <v>-2278.5226600000001</v>
      </c>
      <c r="BU23" s="86">
        <v>-2307.7844600000008</v>
      </c>
      <c r="BV23" s="86">
        <v>-4303.2059499999968</v>
      </c>
      <c r="BW23" s="86">
        <f t="shared" ref="BW23:BW30" si="18">SUM(BS23:BV23)</f>
        <v>-11100.685989999998</v>
      </c>
      <c r="BY23" s="86">
        <v>-2845.8745899999999</v>
      </c>
      <c r="BZ23" s="86">
        <v>-2980.1254100000001</v>
      </c>
      <c r="CA23" s="86">
        <v>-3067.42317</v>
      </c>
      <c r="CB23" s="86">
        <v>-3106.549439999997</v>
      </c>
      <c r="CC23" s="86">
        <f t="shared" si="17"/>
        <v>-11999.972609999997</v>
      </c>
      <c r="CE23" s="86">
        <v>-2848.5640500000004</v>
      </c>
      <c r="CF23" s="86">
        <v>-2694.9894699999991</v>
      </c>
      <c r="CG23" s="86">
        <v>-1988.4767800000009</v>
      </c>
      <c r="CH23" s="86">
        <v>-2768.9696999999996</v>
      </c>
      <c r="CI23" s="86">
        <v>-10301</v>
      </c>
      <c r="CK23" s="86">
        <v>-3135</v>
      </c>
    </row>
    <row r="24" spans="1:89">
      <c r="A24" s="20" t="s">
        <v>33</v>
      </c>
      <c r="C24" s="86">
        <v>0</v>
      </c>
      <c r="D24" s="86"/>
      <c r="E24" s="86">
        <v>0</v>
      </c>
      <c r="F24" s="86">
        <v>0</v>
      </c>
      <c r="G24" s="86">
        <v>0</v>
      </c>
      <c r="H24" s="86">
        <v>-1614</v>
      </c>
      <c r="I24" s="86">
        <v>-1614</v>
      </c>
      <c r="J24" s="86"/>
      <c r="K24" s="86">
        <v>-300</v>
      </c>
      <c r="L24" s="86">
        <v>-301</v>
      </c>
      <c r="M24" s="86">
        <v>-184</v>
      </c>
      <c r="N24" s="86">
        <v>-199</v>
      </c>
      <c r="O24" s="86">
        <v>-984</v>
      </c>
      <c r="P24" s="86"/>
      <c r="Q24" s="86">
        <v>-199</v>
      </c>
      <c r="R24" s="86">
        <v>-199</v>
      </c>
      <c r="S24" s="86">
        <v>-199</v>
      </c>
      <c r="T24" s="86">
        <v>-70</v>
      </c>
      <c r="U24" s="86">
        <v>-667</v>
      </c>
      <c r="V24" s="86"/>
      <c r="W24" s="86">
        <v>-122</v>
      </c>
      <c r="X24" s="86">
        <v>-4259</v>
      </c>
      <c r="Y24" s="86">
        <v>-3703</v>
      </c>
      <c r="Z24" s="86">
        <v>3482.5</v>
      </c>
      <c r="AA24" s="86">
        <v>-4602</v>
      </c>
      <c r="AB24" s="86"/>
      <c r="AC24" s="86">
        <v>-1288</v>
      </c>
      <c r="AD24" s="86">
        <v>-773</v>
      </c>
      <c r="AE24" s="86">
        <v>-734.58212999999978</v>
      </c>
      <c r="AF24" s="86">
        <v>-716.01064000000042</v>
      </c>
      <c r="AG24" s="86">
        <v>-3511.4264800000001</v>
      </c>
      <c r="AI24" s="86">
        <v>-661.1401800000001</v>
      </c>
      <c r="AJ24" s="86">
        <v>-386.79288999999994</v>
      </c>
      <c r="AK24" s="86">
        <v>-386.79287999999997</v>
      </c>
      <c r="AL24" s="86">
        <v>-386.79289000000017</v>
      </c>
      <c r="AM24" s="86">
        <v>-1821.5188400000002</v>
      </c>
      <c r="AN24" s="103"/>
      <c r="AO24" s="86">
        <v>-353.98034000000001</v>
      </c>
      <c r="AP24" s="86">
        <v>-189.91757999999999</v>
      </c>
      <c r="AQ24" s="86">
        <v>-189.91758000000004</v>
      </c>
      <c r="AR24" s="86">
        <v>-189.91757999999993</v>
      </c>
      <c r="AS24" s="86">
        <f t="shared" si="11"/>
        <v>-923.73307999999997</v>
      </c>
      <c r="AU24" s="86">
        <v>-1443.62923</v>
      </c>
      <c r="AV24" s="86">
        <v>-1495.8546799999999</v>
      </c>
      <c r="AW24" s="86">
        <v>-747.92734000000019</v>
      </c>
      <c r="AX24" s="86">
        <v>-360.27635999999984</v>
      </c>
      <c r="AY24" s="86">
        <f t="shared" si="12"/>
        <v>-4047.6876099999999</v>
      </c>
      <c r="BA24" s="86">
        <v>-363.42219</v>
      </c>
      <c r="BB24" s="86">
        <v>-471.59511000000009</v>
      </c>
      <c r="BC24" s="86">
        <v>-471.59510999999986</v>
      </c>
      <c r="BD24" s="86">
        <v>-498.98892000000001</v>
      </c>
      <c r="BE24" s="86">
        <f t="shared" si="13"/>
        <v>-1805.60133</v>
      </c>
      <c r="BG24" s="86">
        <v>-2282.9918600000001</v>
      </c>
      <c r="BH24" s="86">
        <v>-2282.9918700000007</v>
      </c>
      <c r="BI24" s="86">
        <v>-2282.9918699999989</v>
      </c>
      <c r="BJ24" s="86">
        <v>782.94860999999946</v>
      </c>
      <c r="BK24" s="86">
        <f t="shared" si="15"/>
        <v>-6066.0269900000003</v>
      </c>
      <c r="BM24" s="86">
        <v>-1673.9160100000001</v>
      </c>
      <c r="BN24" s="86">
        <v>-1535.2282499999994</v>
      </c>
      <c r="BO24" s="86">
        <v>-1552.0988900000007</v>
      </c>
      <c r="BP24" s="86">
        <v>-1552.0988900000002</v>
      </c>
      <c r="BQ24" s="86">
        <f t="shared" si="16"/>
        <v>-6313.3420400000005</v>
      </c>
      <c r="BS24" s="86">
        <v>-1518.3576099999998</v>
      </c>
      <c r="BT24" s="86">
        <v>-1424.67228</v>
      </c>
      <c r="BU24" s="86">
        <v>-1440.3280199999999</v>
      </c>
      <c r="BV24" s="86">
        <v>-1440.3280199999999</v>
      </c>
      <c r="BW24" s="86">
        <f t="shared" si="18"/>
        <v>-5823.6859299999996</v>
      </c>
      <c r="BY24" s="86">
        <v>-638.03693999999996</v>
      </c>
      <c r="BZ24" s="86">
        <v>-551.96306000000004</v>
      </c>
      <c r="CA24" s="86">
        <v>-2298.7126600000001</v>
      </c>
      <c r="CB24" s="86">
        <v>-2318.4541999999992</v>
      </c>
      <c r="CC24" s="86">
        <f t="shared" si="17"/>
        <v>-5807.1668599999994</v>
      </c>
      <c r="CE24" s="86">
        <v>-2268.0530299999996</v>
      </c>
      <c r="CF24" s="86">
        <v>-2060.7014200000008</v>
      </c>
      <c r="CG24" s="86">
        <v>-2083.3464799999992</v>
      </c>
      <c r="CH24" s="86">
        <v>-2082.8990700000004</v>
      </c>
      <c r="CI24" s="86">
        <v>-8495</v>
      </c>
      <c r="CK24" s="86">
        <v>-1742</v>
      </c>
    </row>
    <row r="25" spans="1:89">
      <c r="A25" s="20" t="s">
        <v>34</v>
      </c>
      <c r="C25" s="86">
        <v>5909</v>
      </c>
      <c r="D25" s="86"/>
      <c r="E25" s="86">
        <v>6096</v>
      </c>
      <c r="F25" s="86">
        <v>5371</v>
      </c>
      <c r="G25" s="86">
        <v>5345</v>
      </c>
      <c r="H25" s="86">
        <v>6404</v>
      </c>
      <c r="I25" s="86">
        <v>23216</v>
      </c>
      <c r="J25" s="86"/>
      <c r="K25" s="86">
        <v>4590</v>
      </c>
      <c r="L25" s="86">
        <v>4146</v>
      </c>
      <c r="M25" s="86">
        <v>3341</v>
      </c>
      <c r="N25" s="86">
        <v>6142</v>
      </c>
      <c r="O25" s="86">
        <v>18219</v>
      </c>
      <c r="P25" s="86"/>
      <c r="Q25" s="86">
        <v>5772</v>
      </c>
      <c r="R25" s="86">
        <v>11910</v>
      </c>
      <c r="S25" s="86">
        <v>22625</v>
      </c>
      <c r="T25" s="86">
        <v>45574</v>
      </c>
      <c r="U25" s="86">
        <v>85881</v>
      </c>
      <c r="V25" s="86"/>
      <c r="W25" s="86">
        <v>62701</v>
      </c>
      <c r="X25" s="86">
        <v>47838</v>
      </c>
      <c r="Y25" s="86">
        <v>23029</v>
      </c>
      <c r="Z25" s="86">
        <v>87882.4</v>
      </c>
      <c r="AA25" s="86">
        <v>221450</v>
      </c>
      <c r="AB25" s="86"/>
      <c r="AC25" s="86">
        <v>86110</v>
      </c>
      <c r="AD25" s="86">
        <v>30447</v>
      </c>
      <c r="AE25" s="86">
        <v>35237.917842297829</v>
      </c>
      <c r="AF25" s="86">
        <v>50349.90771042346</v>
      </c>
      <c r="AG25" s="86">
        <v>202144.49305431169</v>
      </c>
      <c r="AI25" s="86">
        <v>43701.849579906208</v>
      </c>
      <c r="AJ25" s="86">
        <v>15435.944610017505</v>
      </c>
      <c r="AK25" s="86">
        <v>58983.074396576958</v>
      </c>
      <c r="AL25" s="86">
        <v>28619.474950024101</v>
      </c>
      <c r="AM25" s="86">
        <v>146740.34353652477</v>
      </c>
      <c r="AN25" s="103"/>
      <c r="AO25" s="86">
        <v>74956.390538587118</v>
      </c>
      <c r="AP25" s="86">
        <v>44215.4330824559</v>
      </c>
      <c r="AQ25" s="86">
        <v>31048.608677376513</v>
      </c>
      <c r="AR25" s="86">
        <v>23657.023781834461</v>
      </c>
      <c r="AS25" s="86">
        <f t="shared" si="11"/>
        <v>173877.45608025399</v>
      </c>
      <c r="AU25" s="86">
        <v>25298.037841416575</v>
      </c>
      <c r="AV25" s="86">
        <v>18608.101324677154</v>
      </c>
      <c r="AW25" s="86">
        <v>23578.225538059072</v>
      </c>
      <c r="AX25" s="86">
        <v>31768.838917177971</v>
      </c>
      <c r="AY25" s="86">
        <f t="shared" si="12"/>
        <v>99253.203621330773</v>
      </c>
      <c r="BA25" s="86">
        <v>166950.62069274526</v>
      </c>
      <c r="BB25" s="86">
        <v>100647.08383345761</v>
      </c>
      <c r="BC25" s="86">
        <v>23346.273813719105</v>
      </c>
      <c r="BD25" s="86">
        <v>63599.26210978067</v>
      </c>
      <c r="BE25" s="86">
        <f t="shared" si="13"/>
        <v>354543.24044970266</v>
      </c>
      <c r="BG25" s="86">
        <v>112831.97702999999</v>
      </c>
      <c r="BH25" s="86">
        <v>18460.644889999967</v>
      </c>
      <c r="BI25" s="86">
        <v>53835.109855000017</v>
      </c>
      <c r="BJ25" s="86">
        <v>-264.79955999998492</v>
      </c>
      <c r="BK25" s="86">
        <f t="shared" si="15"/>
        <v>184862.93221499998</v>
      </c>
      <c r="BM25" s="86">
        <v>26732.480024999997</v>
      </c>
      <c r="BN25" s="86">
        <v>23989.184830000006</v>
      </c>
      <c r="BO25" s="86">
        <v>22352.729115000002</v>
      </c>
      <c r="BP25" s="86">
        <v>28997.131704999978</v>
      </c>
      <c r="BQ25" s="86">
        <f t="shared" si="16"/>
        <v>102071.52567499998</v>
      </c>
      <c r="BS25" s="86">
        <v>36197.971485000002</v>
      </c>
      <c r="BT25" s="86">
        <v>17255.130414999996</v>
      </c>
      <c r="BU25" s="86">
        <v>14844.216484999994</v>
      </c>
      <c r="BV25" s="86">
        <v>20398.191890000009</v>
      </c>
      <c r="BW25" s="86">
        <f t="shared" si="18"/>
        <v>88695.510275000008</v>
      </c>
      <c r="BY25" s="86">
        <v>22605.891875000001</v>
      </c>
      <c r="BZ25" s="86">
        <v>16629.620175000004</v>
      </c>
      <c r="CA25" s="86">
        <v>16696.886364999998</v>
      </c>
      <c r="CB25" s="86">
        <v>16714.629110000009</v>
      </c>
      <c r="CC25" s="86">
        <f t="shared" si="17"/>
        <v>72647.027525000012</v>
      </c>
      <c r="CE25" s="86">
        <v>17992.245999999999</v>
      </c>
      <c r="CF25" s="86">
        <v>9803.8857799999969</v>
      </c>
      <c r="CG25" s="86">
        <v>16480.069690000004</v>
      </c>
      <c r="CH25" s="86">
        <v>24906.79853</v>
      </c>
      <c r="CI25" s="86">
        <v>69183</v>
      </c>
      <c r="CK25" s="86">
        <v>31266</v>
      </c>
    </row>
    <row r="26" spans="1:89">
      <c r="A26" s="20" t="s">
        <v>35</v>
      </c>
      <c r="C26" s="86">
        <v>-25520</v>
      </c>
      <c r="D26" s="86"/>
      <c r="E26" s="86">
        <v>-16102</v>
      </c>
      <c r="F26" s="86">
        <v>-16756</v>
      </c>
      <c r="G26" s="86">
        <v>-18581</v>
      </c>
      <c r="H26" s="86">
        <v>-21284</v>
      </c>
      <c r="I26" s="86">
        <v>-72723</v>
      </c>
      <c r="J26" s="86"/>
      <c r="K26" s="86">
        <v>-15895</v>
      </c>
      <c r="L26" s="86">
        <v>-14608</v>
      </c>
      <c r="M26" s="86">
        <v>-14326</v>
      </c>
      <c r="N26" s="86">
        <v>-15853</v>
      </c>
      <c r="O26" s="86">
        <v>-60682</v>
      </c>
      <c r="P26" s="86"/>
      <c r="Q26" s="86">
        <v>-20151</v>
      </c>
      <c r="R26" s="86">
        <v>-22752</v>
      </c>
      <c r="S26" s="86">
        <v>-45353</v>
      </c>
      <c r="T26" s="86">
        <v>-73297</v>
      </c>
      <c r="U26" s="86">
        <v>-161553</v>
      </c>
      <c r="V26" s="86"/>
      <c r="W26" s="86">
        <v>-103434</v>
      </c>
      <c r="X26" s="86">
        <v>-74894</v>
      </c>
      <c r="Y26" s="86">
        <v>-139266</v>
      </c>
      <c r="Z26" s="86">
        <v>-127658.6</v>
      </c>
      <c r="AA26" s="86">
        <v>-445253.4</v>
      </c>
      <c r="AB26" s="86"/>
      <c r="AC26" s="86">
        <v>-101990</v>
      </c>
      <c r="AD26" s="86">
        <v>-215399</v>
      </c>
      <c r="AE26" s="86">
        <v>-138745.27793563157</v>
      </c>
      <c r="AF26" s="86">
        <v>-110360.61833951873</v>
      </c>
      <c r="AG26" s="86">
        <v>-566494.7673750252</v>
      </c>
      <c r="AI26" s="86">
        <v>-178563.67011103642</v>
      </c>
      <c r="AJ26" s="86">
        <v>-191615.35458188699</v>
      </c>
      <c r="AK26" s="86">
        <v>-198509.04876830417</v>
      </c>
      <c r="AL26" s="86">
        <v>-192056.30565807607</v>
      </c>
      <c r="AM26" s="86">
        <v>-760744.37911930366</v>
      </c>
      <c r="AN26" s="103"/>
      <c r="AO26" s="86">
        <v>-195733.77975554389</v>
      </c>
      <c r="AP26" s="86">
        <v>-155832.13409638856</v>
      </c>
      <c r="AQ26" s="86">
        <v>-205866.04060568305</v>
      </c>
      <c r="AR26" s="86">
        <v>-194822.45273613546</v>
      </c>
      <c r="AS26" s="86">
        <f t="shared" si="11"/>
        <v>-752254.40719375096</v>
      </c>
      <c r="AU26" s="86">
        <v>-295207.89061098755</v>
      </c>
      <c r="AV26" s="86">
        <v>-115176.08440864651</v>
      </c>
      <c r="AW26" s="86">
        <v>-398587.92429228645</v>
      </c>
      <c r="AX26" s="86">
        <v>-129656.03258774208</v>
      </c>
      <c r="AY26" s="86">
        <f t="shared" si="12"/>
        <v>-938627.9318996626</v>
      </c>
      <c r="BA26" s="86">
        <v>-125190.45127152515</v>
      </c>
      <c r="BB26" s="86">
        <v>-167752.76228769121</v>
      </c>
      <c r="BC26" s="86">
        <v>-98182.736908466439</v>
      </c>
      <c r="BD26" s="86">
        <v>-103458.89825279801</v>
      </c>
      <c r="BE26" s="86">
        <f t="shared" si="13"/>
        <v>-494584.8487204808</v>
      </c>
      <c r="BG26" s="86">
        <v>-121136.98142</v>
      </c>
      <c r="BH26" s="86">
        <v>-107093.34208500004</v>
      </c>
      <c r="BI26" s="86">
        <v>-83330.874669999932</v>
      </c>
      <c r="BJ26" s="86">
        <v>-87481.379480000003</v>
      </c>
      <c r="BK26" s="86">
        <f t="shared" si="15"/>
        <v>-399042.57765499997</v>
      </c>
      <c r="BM26" s="86">
        <v>-96418.325730000026</v>
      </c>
      <c r="BN26" s="86">
        <v>-163723.55936000007</v>
      </c>
      <c r="BO26" s="86">
        <v>-124102.26017499986</v>
      </c>
      <c r="BP26" s="86">
        <v>-66576.894155000045</v>
      </c>
      <c r="BQ26" s="86">
        <f t="shared" si="16"/>
        <v>-450821.03941999999</v>
      </c>
      <c r="BS26" s="86">
        <v>-104396.28698</v>
      </c>
      <c r="BT26" s="86">
        <v>-93656.140369999965</v>
      </c>
      <c r="BU26" s="86">
        <v>-73849.041795000012</v>
      </c>
      <c r="BV26" s="86">
        <v>-91790.299494999999</v>
      </c>
      <c r="BW26" s="86">
        <f t="shared" si="18"/>
        <v>-363691.76863999997</v>
      </c>
      <c r="BY26" s="86">
        <v>-29909.237974999993</v>
      </c>
      <c r="BZ26" s="86">
        <v>-22252.233810000009</v>
      </c>
      <c r="CA26" s="86">
        <v>-26109.927499999991</v>
      </c>
      <c r="CB26" s="86">
        <v>-30862.828930000018</v>
      </c>
      <c r="CC26" s="86">
        <f t="shared" si="17"/>
        <v>-109134.22821500001</v>
      </c>
      <c r="CE26" s="86">
        <v>-35208.920769999997</v>
      </c>
      <c r="CF26" s="86">
        <v>-38273.889259999996</v>
      </c>
      <c r="CG26" s="86">
        <v>-54500.744370000029</v>
      </c>
      <c r="CH26" s="86">
        <v>-70943.445599999977</v>
      </c>
      <c r="CI26" s="86">
        <v>-198927</v>
      </c>
      <c r="CK26" s="86">
        <v>-86131</v>
      </c>
    </row>
    <row r="27" spans="1:89">
      <c r="A27" s="20" t="s">
        <v>38</v>
      </c>
      <c r="C27" s="86">
        <v>78</v>
      </c>
      <c r="D27" s="86"/>
      <c r="E27" s="86">
        <v>0</v>
      </c>
      <c r="F27" s="86">
        <v>0</v>
      </c>
      <c r="G27" s="86">
        <v>0</v>
      </c>
      <c r="H27" s="86">
        <v>575</v>
      </c>
      <c r="I27" s="86">
        <v>575</v>
      </c>
      <c r="J27" s="86"/>
      <c r="K27" s="86">
        <v>205</v>
      </c>
      <c r="L27" s="86">
        <v>217</v>
      </c>
      <c r="M27" s="86">
        <v>488</v>
      </c>
      <c r="N27" s="86">
        <v>-350</v>
      </c>
      <c r="O27" s="86">
        <v>560</v>
      </c>
      <c r="P27" s="86"/>
      <c r="Q27" s="86">
        <f>116-1</f>
        <v>115</v>
      </c>
      <c r="R27" s="86">
        <f>1886+1</f>
        <v>1887</v>
      </c>
      <c r="S27" s="86">
        <v>922</v>
      </c>
      <c r="T27" s="86">
        <v>-1019</v>
      </c>
      <c r="U27" s="86">
        <v>1905</v>
      </c>
      <c r="V27" s="86"/>
      <c r="W27" s="86">
        <v>-97</v>
      </c>
      <c r="X27" s="86">
        <v>-618</v>
      </c>
      <c r="Y27" s="86">
        <v>-1589</v>
      </c>
      <c r="Z27" s="86">
        <v>-1632</v>
      </c>
      <c r="AA27" s="86">
        <v>-3939</v>
      </c>
      <c r="AB27" s="86"/>
      <c r="AC27" s="86">
        <v>470</v>
      </c>
      <c r="AD27" s="86">
        <v>1646</v>
      </c>
      <c r="AE27" s="86">
        <v>-1217.719632817727</v>
      </c>
      <c r="AF27" s="86">
        <v>171.65561491902952</v>
      </c>
      <c r="AG27" s="86">
        <v>1070.1129963516187</v>
      </c>
      <c r="AI27" s="86">
        <v>-4947.7961200659984</v>
      </c>
      <c r="AJ27" s="86">
        <v>-1263.0008406022298</v>
      </c>
      <c r="AK27" s="86">
        <v>-17451.506015542844</v>
      </c>
      <c r="AL27" s="86">
        <v>219.91144567729498</v>
      </c>
      <c r="AM27" s="86">
        <v>-23442.391530533776</v>
      </c>
      <c r="AN27" s="103"/>
      <c r="AO27" s="86">
        <v>-3875.9590889730448</v>
      </c>
      <c r="AP27" s="86">
        <v>120753.16341663482</v>
      </c>
      <c r="AQ27" s="86">
        <v>56797.805399300094</v>
      </c>
      <c r="AR27" s="86">
        <v>-936.62510478781769</v>
      </c>
      <c r="AS27" s="86">
        <f t="shared" si="11"/>
        <v>172738.38462217405</v>
      </c>
      <c r="AU27" s="86">
        <v>-810.34589322934585</v>
      </c>
      <c r="AV27" s="86">
        <v>-1268.0853174584411</v>
      </c>
      <c r="AW27" s="86">
        <v>373.07343847315678</v>
      </c>
      <c r="AX27" s="86">
        <v>-107982.23479999983</v>
      </c>
      <c r="AY27" s="86">
        <f>SUM(AU27:AX27)</f>
        <v>-109687.59257221446</v>
      </c>
      <c r="BA27" s="86">
        <v>-967.64928753264905</v>
      </c>
      <c r="BB27" s="86">
        <v>16509.866361531516</v>
      </c>
      <c r="BC27" s="86">
        <v>-6466.9518513208841</v>
      </c>
      <c r="BD27" s="86">
        <v>-12357.954083344101</v>
      </c>
      <c r="BE27" s="86">
        <f>SUM(BA27:BD27)</f>
        <v>-3282.6888606661178</v>
      </c>
      <c r="BG27" s="86">
        <v>18241.117055465995</v>
      </c>
      <c r="BH27" s="86">
        <v>27.856729533999896</v>
      </c>
      <c r="BI27" s="86">
        <v>0</v>
      </c>
      <c r="BJ27" s="86">
        <v>425.52982046601392</v>
      </c>
      <c r="BK27" s="86">
        <f>SUM(BG27:BJ27)</f>
        <v>18694.503605466009</v>
      </c>
      <c r="BM27" s="86">
        <v>21.018909999999998</v>
      </c>
      <c r="BN27" s="86">
        <v>-27.884129999998805</v>
      </c>
      <c r="BO27" s="86">
        <v>21.526929999999702</v>
      </c>
      <c r="BP27" s="86">
        <v>-8927.5801500000052</v>
      </c>
      <c r="BQ27" s="86">
        <f>SUM(BM27:BP27)</f>
        <v>-8912.9184400000049</v>
      </c>
      <c r="BS27" s="86">
        <v>-3637.6453600000023</v>
      </c>
      <c r="BT27" s="86">
        <v>-9897.7301300000072</v>
      </c>
      <c r="BU27" s="86">
        <v>-10978.413089999915</v>
      </c>
      <c r="BV27" s="86">
        <v>-48855.87923000002</v>
      </c>
      <c r="BW27" s="86">
        <f t="shared" si="18"/>
        <v>-73369.667809999941</v>
      </c>
      <c r="BY27" s="86">
        <v>1113.128825</v>
      </c>
      <c r="BZ27" s="86">
        <v>907.87117499999999</v>
      </c>
      <c r="CA27" s="86">
        <v>-1113.6231649999995</v>
      </c>
      <c r="CB27" s="86">
        <v>120.91361000000597</v>
      </c>
      <c r="CC27" s="86">
        <f t="shared" si="17"/>
        <v>1028.2904450000065</v>
      </c>
      <c r="CE27" s="86">
        <v>-12446.651549999846</v>
      </c>
      <c r="CF27" s="86">
        <v>24.964399999971647</v>
      </c>
      <c r="CG27" s="86">
        <v>-8146.3034399999888</v>
      </c>
      <c r="CH27" s="86">
        <v>-2851.009410000137</v>
      </c>
      <c r="CI27" s="86">
        <v>-23419</v>
      </c>
      <c r="CK27" s="86">
        <v>1909</v>
      </c>
    </row>
    <row r="28" spans="1:89">
      <c r="A28" s="20" t="s">
        <v>59</v>
      </c>
      <c r="C28" s="86">
        <v>0</v>
      </c>
      <c r="D28" s="86"/>
      <c r="E28" s="86">
        <v>116</v>
      </c>
      <c r="F28" s="86">
        <v>83</v>
      </c>
      <c r="G28" s="86">
        <v>297</v>
      </c>
      <c r="H28" s="86">
        <v>-496</v>
      </c>
      <c r="I28" s="86">
        <v>0</v>
      </c>
      <c r="J28" s="86"/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/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/>
      <c r="W28" s="86">
        <v>0</v>
      </c>
      <c r="X28" s="86">
        <v>0</v>
      </c>
      <c r="Y28" s="86">
        <v>0</v>
      </c>
      <c r="Z28" s="86">
        <v>0</v>
      </c>
      <c r="AA28" s="86">
        <v>0</v>
      </c>
      <c r="AB28" s="86"/>
      <c r="AC28" s="86">
        <v>0</v>
      </c>
      <c r="AD28" s="86">
        <v>0</v>
      </c>
      <c r="AE28" s="86">
        <v>0</v>
      </c>
      <c r="AF28" s="86">
        <v>0</v>
      </c>
      <c r="AG28" s="86">
        <v>0</v>
      </c>
      <c r="AI28" s="86">
        <v>0</v>
      </c>
      <c r="AJ28" s="86">
        <v>0</v>
      </c>
      <c r="AK28" s="86">
        <v>0</v>
      </c>
      <c r="AL28" s="86">
        <v>0</v>
      </c>
      <c r="AM28" s="86">
        <v>0</v>
      </c>
      <c r="AN28" s="103"/>
      <c r="AO28" s="86">
        <v>0</v>
      </c>
      <c r="AP28" s="86">
        <v>0</v>
      </c>
      <c r="AQ28" s="86">
        <v>0</v>
      </c>
      <c r="AR28" s="86"/>
      <c r="AS28" s="86">
        <f t="shared" si="11"/>
        <v>0</v>
      </c>
      <c r="AU28" s="86">
        <v>0</v>
      </c>
      <c r="AV28" s="86">
        <v>0</v>
      </c>
      <c r="AW28" s="86">
        <v>0</v>
      </c>
      <c r="AX28" s="86">
        <v>0</v>
      </c>
      <c r="AY28" s="86">
        <f t="shared" si="12"/>
        <v>0</v>
      </c>
      <c r="BA28" s="86">
        <v>0</v>
      </c>
      <c r="BB28" s="86">
        <v>0</v>
      </c>
      <c r="BC28" s="86">
        <v>0</v>
      </c>
      <c r="BD28" s="86">
        <v>0</v>
      </c>
      <c r="BE28" s="86">
        <f t="shared" si="13"/>
        <v>0</v>
      </c>
      <c r="BG28" s="86">
        <v>0</v>
      </c>
      <c r="BH28" s="86">
        <v>0</v>
      </c>
      <c r="BI28" s="86">
        <v>0</v>
      </c>
      <c r="BJ28" s="86">
        <v>0</v>
      </c>
      <c r="BK28" s="86">
        <f t="shared" si="15"/>
        <v>0</v>
      </c>
      <c r="BM28" s="86">
        <v>0</v>
      </c>
      <c r="BN28" s="86">
        <v>0</v>
      </c>
      <c r="BO28" s="86">
        <v>0</v>
      </c>
      <c r="BP28" s="86">
        <v>0</v>
      </c>
      <c r="BQ28" s="86">
        <f t="shared" si="16"/>
        <v>0</v>
      </c>
      <c r="BS28" s="86">
        <v>0</v>
      </c>
      <c r="BT28" s="86">
        <v>0</v>
      </c>
      <c r="BU28" s="86">
        <v>0</v>
      </c>
      <c r="BV28" s="86">
        <v>0</v>
      </c>
      <c r="BW28" s="86">
        <f t="shared" si="18"/>
        <v>0</v>
      </c>
      <c r="BY28" s="86">
        <v>0</v>
      </c>
      <c r="BZ28" s="86">
        <v>0</v>
      </c>
      <c r="CA28" s="86">
        <v>0</v>
      </c>
      <c r="CB28" s="86">
        <v>0</v>
      </c>
      <c r="CC28" s="86">
        <f t="shared" si="17"/>
        <v>0</v>
      </c>
      <c r="CE28" s="86">
        <v>0</v>
      </c>
      <c r="CF28" s="86">
        <v>0</v>
      </c>
      <c r="CG28" s="86">
        <v>0</v>
      </c>
      <c r="CH28" s="86">
        <v>0</v>
      </c>
      <c r="CI28" s="86">
        <v>0</v>
      </c>
      <c r="CK28" s="86">
        <v>0</v>
      </c>
    </row>
    <row r="29" spans="1:89">
      <c r="A29" s="20" t="s">
        <v>162</v>
      </c>
      <c r="C29" s="194" t="s">
        <v>156</v>
      </c>
      <c r="D29" s="86"/>
      <c r="E29" s="194" t="s">
        <v>156</v>
      </c>
      <c r="F29" s="194" t="s">
        <v>156</v>
      </c>
      <c r="G29" s="194" t="s">
        <v>156</v>
      </c>
      <c r="H29" s="194" t="s">
        <v>156</v>
      </c>
      <c r="I29" s="194" t="s">
        <v>156</v>
      </c>
      <c r="J29" s="86"/>
      <c r="K29" s="194">
        <v>0</v>
      </c>
      <c r="L29" s="194">
        <v>4502</v>
      </c>
      <c r="M29" s="194">
        <v>0</v>
      </c>
      <c r="N29" s="86">
        <v>-1965</v>
      </c>
      <c r="O29" s="86">
        <v>2537</v>
      </c>
      <c r="P29" s="86"/>
      <c r="Q29" s="194">
        <v>-4777</v>
      </c>
      <c r="R29" s="194">
        <v>1459</v>
      </c>
      <c r="S29" s="194">
        <v>-11110</v>
      </c>
      <c r="T29" s="86">
        <v>27070</v>
      </c>
      <c r="U29" s="86">
        <v>12642</v>
      </c>
      <c r="V29" s="86"/>
      <c r="W29" s="194">
        <v>-1520</v>
      </c>
      <c r="X29" s="194">
        <v>179.1</v>
      </c>
      <c r="Y29" s="194">
        <v>480</v>
      </c>
      <c r="Z29" s="194">
        <v>-397.5</v>
      </c>
      <c r="AA29" s="194">
        <v>-1254</v>
      </c>
      <c r="AB29" s="86"/>
      <c r="AC29" s="194">
        <v>0</v>
      </c>
      <c r="AD29" s="86">
        <v>-8525</v>
      </c>
      <c r="AE29" s="86">
        <v>2156.406450424045</v>
      </c>
      <c r="AF29" s="86">
        <v>297.88255999994271</v>
      </c>
      <c r="AG29" s="86">
        <v>-6070.6905400000514</v>
      </c>
      <c r="AI29" s="86">
        <v>0</v>
      </c>
      <c r="AJ29" s="86">
        <v>2249.9999700000003</v>
      </c>
      <c r="AK29" s="86">
        <v>-547.57143999999994</v>
      </c>
      <c r="AL29" s="86">
        <v>-205365.96379000004</v>
      </c>
      <c r="AM29" s="86">
        <v>-203663.53526000003</v>
      </c>
      <c r="AN29" s="103"/>
      <c r="AO29" s="86">
        <v>0</v>
      </c>
      <c r="AP29" s="86">
        <v>376.56257999999048</v>
      </c>
      <c r="AQ29" s="86">
        <v>0</v>
      </c>
      <c r="AR29" s="86">
        <v>1000</v>
      </c>
      <c r="AS29" s="86">
        <f t="shared" si="11"/>
        <v>1376.5625799999905</v>
      </c>
      <c r="AU29" s="86">
        <v>0</v>
      </c>
      <c r="AV29" s="86">
        <v>-1000</v>
      </c>
      <c r="AW29" s="86">
        <v>711</v>
      </c>
      <c r="AX29" s="86">
        <v>22998.800579999999</v>
      </c>
      <c r="AY29" s="86">
        <f t="shared" si="12"/>
        <v>22709.800579999999</v>
      </c>
      <c r="BA29" s="86">
        <v>5347.8159900000001</v>
      </c>
      <c r="BB29" s="86">
        <v>0</v>
      </c>
      <c r="BC29" s="86">
        <v>0</v>
      </c>
      <c r="BD29" s="86">
        <v>0</v>
      </c>
      <c r="BE29" s="86">
        <f>SUM(BA29:BD29)</f>
        <v>5347.8159900000001</v>
      </c>
      <c r="BG29" s="86">
        <v>65422.506280000001</v>
      </c>
      <c r="BH29" s="86">
        <v>0</v>
      </c>
      <c r="BI29" s="86">
        <v>-2900</v>
      </c>
      <c r="BJ29" s="86">
        <v>0</v>
      </c>
      <c r="BK29" s="86">
        <f>SUM(BG29:BJ29)</f>
        <v>62522.506280000001</v>
      </c>
      <c r="BM29" s="86">
        <v>1556.7655</v>
      </c>
      <c r="BN29" s="86">
        <v>-3.0750900000000456</v>
      </c>
      <c r="BO29" s="86">
        <v>0</v>
      </c>
      <c r="BP29" s="86">
        <v>0</v>
      </c>
      <c r="BQ29" s="86">
        <f>SUM(BM29:BP29)</f>
        <v>1553.6904099999999</v>
      </c>
      <c r="BS29" s="86">
        <v>0</v>
      </c>
      <c r="BT29" s="86">
        <v>2827.3880199999999</v>
      </c>
      <c r="BU29" s="86">
        <v>23070.366370000003</v>
      </c>
      <c r="BV29" s="86">
        <v>0</v>
      </c>
      <c r="BW29" s="86">
        <f t="shared" si="18"/>
        <v>25897.754390000002</v>
      </c>
      <c r="BY29" s="86">
        <v>0</v>
      </c>
      <c r="BZ29" s="86">
        <v>0</v>
      </c>
      <c r="CA29" s="86">
        <v>0</v>
      </c>
      <c r="CB29" s="86">
        <v>0</v>
      </c>
      <c r="CC29" s="86">
        <f t="shared" si="17"/>
        <v>0</v>
      </c>
      <c r="CE29" s="86">
        <v>0</v>
      </c>
      <c r="CF29" s="86">
        <v>0</v>
      </c>
      <c r="CG29" s="86">
        <v>0</v>
      </c>
      <c r="CH29" s="86">
        <v>0</v>
      </c>
      <c r="CI29" s="86">
        <v>0</v>
      </c>
      <c r="CK29" s="86">
        <v>0</v>
      </c>
    </row>
    <row r="30" spans="1:89">
      <c r="A30" s="20" t="s">
        <v>163</v>
      </c>
      <c r="C30" s="194" t="s">
        <v>156</v>
      </c>
      <c r="D30" s="86"/>
      <c r="E30" s="194" t="s">
        <v>156</v>
      </c>
      <c r="F30" s="194" t="s">
        <v>156</v>
      </c>
      <c r="G30" s="194" t="s">
        <v>156</v>
      </c>
      <c r="H30" s="194" t="s">
        <v>156</v>
      </c>
      <c r="I30" s="194" t="s">
        <v>156</v>
      </c>
      <c r="J30" s="86"/>
      <c r="K30" s="194">
        <v>0</v>
      </c>
      <c r="L30" s="194">
        <v>0</v>
      </c>
      <c r="M30" s="194">
        <v>0</v>
      </c>
      <c r="N30" s="86">
        <v>202386</v>
      </c>
      <c r="O30" s="86">
        <v>202386</v>
      </c>
      <c r="P30" s="86"/>
      <c r="Q30" s="194">
        <v>0</v>
      </c>
      <c r="R30" s="194">
        <v>0</v>
      </c>
      <c r="S30" s="194">
        <v>0</v>
      </c>
      <c r="T30" s="86">
        <v>1025537</v>
      </c>
      <c r="U30" s="86">
        <v>1025537</v>
      </c>
      <c r="V30" s="86"/>
      <c r="W30" s="194">
        <v>0</v>
      </c>
      <c r="X30" s="194">
        <v>167941.4</v>
      </c>
      <c r="Y30" s="194">
        <v>180268</v>
      </c>
      <c r="Z30" s="194">
        <v>95653.2</v>
      </c>
      <c r="AA30" s="194">
        <v>443862</v>
      </c>
      <c r="AB30" s="86"/>
      <c r="AC30" s="194">
        <v>729906</v>
      </c>
      <c r="AD30" s="86">
        <v>554489</v>
      </c>
      <c r="AE30" s="86">
        <v>382650.10433883267</v>
      </c>
      <c r="AF30" s="86">
        <v>79230.581562311854</v>
      </c>
      <c r="AG30" s="86">
        <v>1746275.3052822896</v>
      </c>
      <c r="AI30" s="86">
        <v>48876.42881314877</v>
      </c>
      <c r="AJ30" s="86">
        <v>39944.05257975313</v>
      </c>
      <c r="AK30" s="86">
        <v>44448.582431969218</v>
      </c>
      <c r="AL30" s="86">
        <v>-28872.401749549259</v>
      </c>
      <c r="AM30" s="86">
        <v>104396.66207532186</v>
      </c>
      <c r="AN30" s="103"/>
      <c r="AO30" s="86">
        <v>36239.644926146888</v>
      </c>
      <c r="AP30" s="86">
        <v>56302.64146523318</v>
      </c>
      <c r="AQ30" s="86">
        <v>92.178022343941848</v>
      </c>
      <c r="AR30" s="86">
        <v>-148147.99308073195</v>
      </c>
      <c r="AS30" s="86">
        <f t="shared" si="11"/>
        <v>-55513.528667007937</v>
      </c>
      <c r="AU30" s="86">
        <v>196360.50405000002</v>
      </c>
      <c r="AV30" s="86">
        <v>34206.817929999961</v>
      </c>
      <c r="AW30" s="86">
        <v>-465845.05476500001</v>
      </c>
      <c r="AX30" s="86">
        <v>-338919.02241999994</v>
      </c>
      <c r="AY30" s="86">
        <f>SUM(AU30:AX30)</f>
        <v>-574196.75520499994</v>
      </c>
      <c r="BA30" s="86">
        <v>-23449.950155000006</v>
      </c>
      <c r="BB30" s="86">
        <v>-55936.986364999968</v>
      </c>
      <c r="BC30" s="86">
        <v>35893.469869999906</v>
      </c>
      <c r="BD30" s="86">
        <v>-114139.0111</v>
      </c>
      <c r="BE30" s="86">
        <f>SUM(BA30:BD30)</f>
        <v>-157632.47775000008</v>
      </c>
      <c r="BG30" s="86">
        <v>0</v>
      </c>
      <c r="BH30" s="86">
        <v>0</v>
      </c>
      <c r="BI30" s="86">
        <v>0</v>
      </c>
      <c r="BJ30" s="86">
        <v>115737.475295</v>
      </c>
      <c r="BK30" s="86">
        <f>SUM(BG30:BJ30)</f>
        <v>115737.475295</v>
      </c>
      <c r="BM30" s="86">
        <v>0</v>
      </c>
      <c r="BN30" s="86">
        <v>0</v>
      </c>
      <c r="BO30" s="86">
        <v>0</v>
      </c>
      <c r="BP30" s="86">
        <v>198507.29210500003</v>
      </c>
      <c r="BQ30" s="86">
        <f>SUM(BM30:BP30)</f>
        <v>198507.29210500003</v>
      </c>
      <c r="BS30" s="86">
        <v>0</v>
      </c>
      <c r="BT30" s="86">
        <v>0</v>
      </c>
      <c r="BU30" s="86">
        <v>0</v>
      </c>
      <c r="BV30" s="86">
        <v>570995.66319499991</v>
      </c>
      <c r="BW30" s="86">
        <f t="shared" si="18"/>
        <v>570995.66319499991</v>
      </c>
      <c r="BY30" s="86">
        <v>0</v>
      </c>
      <c r="BZ30" s="86">
        <v>0</v>
      </c>
      <c r="CA30" s="86">
        <v>0</v>
      </c>
      <c r="CB30" s="86">
        <v>139883.25164999996</v>
      </c>
      <c r="CC30" s="86">
        <f t="shared" si="17"/>
        <v>139883.25164999996</v>
      </c>
      <c r="CE30" s="86">
        <v>-3281.96657</v>
      </c>
      <c r="CF30" s="86">
        <v>51290.553250000004</v>
      </c>
      <c r="CG30" s="86">
        <v>4284.1160600000003</v>
      </c>
      <c r="CH30" s="86">
        <v>-66496.702740000008</v>
      </c>
      <c r="CI30" s="86">
        <v>-14204</v>
      </c>
      <c r="CK30" s="86">
        <v>0</v>
      </c>
    </row>
    <row r="31" spans="1:89">
      <c r="A31" s="83" t="s">
        <v>198</v>
      </c>
      <c r="C31" s="179">
        <f>C19+SUM(C22:C28)</f>
        <v>-12798</v>
      </c>
      <c r="D31" s="193"/>
      <c r="E31" s="179">
        <f>E19+SUM(E22:E28)</f>
        <v>2330</v>
      </c>
      <c r="F31" s="179">
        <f>F19+SUM(F22:F28)</f>
        <v>536</v>
      </c>
      <c r="G31" s="179">
        <f>G19+SUM(G22:G28)</f>
        <v>1265</v>
      </c>
      <c r="H31" s="179">
        <f>H19+SUM(H22:H28)</f>
        <v>-4036</v>
      </c>
      <c r="I31" s="179">
        <f>I19+SUM(I22:I28)</f>
        <v>95</v>
      </c>
      <c r="J31" s="193"/>
      <c r="K31" s="179">
        <f>K19+SUM(K22:K30)</f>
        <v>12135</v>
      </c>
      <c r="L31" s="179">
        <f>L19+SUM(L22:L30)</f>
        <v>15414</v>
      </c>
      <c r="M31" s="179">
        <f>M19+SUM(M22:M30)</f>
        <v>11099</v>
      </c>
      <c r="N31" s="179">
        <f>N19+SUM(N22:N30)</f>
        <v>212117</v>
      </c>
      <c r="O31" s="179">
        <f>O19+SUM(O22:O30)</f>
        <v>250765</v>
      </c>
      <c r="P31" s="177"/>
      <c r="Q31" s="179">
        <f>Q19+SUM(Q22:Q30)</f>
        <v>8716</v>
      </c>
      <c r="R31" s="179">
        <f>R19+SUM(R22:R30)</f>
        <v>27898</v>
      </c>
      <c r="S31" s="179">
        <f>S19+SUM(S22:S30)</f>
        <v>11093</v>
      </c>
      <c r="T31" s="179">
        <f>T19+SUM(T22:T30)</f>
        <v>1084792</v>
      </c>
      <c r="U31" s="179">
        <f>U19+SUM(U22:U30)</f>
        <v>1132499</v>
      </c>
      <c r="V31" s="177"/>
      <c r="W31" s="179">
        <f>W19+SUM(W22:W30)</f>
        <v>24848.799999999988</v>
      </c>
      <c r="X31" s="179">
        <f>X19+SUM(X22:X30)</f>
        <v>212619.5</v>
      </c>
      <c r="Y31" s="179">
        <f>Y19+SUM(Y22:Y30)</f>
        <v>142993.60000000001</v>
      </c>
      <c r="Z31" s="195">
        <f>Z19+SUM(Z22:Z30)</f>
        <v>128808.99999999999</v>
      </c>
      <c r="AA31" s="179">
        <f>AA19+SUM(AA22:AA30)</f>
        <v>509271.2</v>
      </c>
      <c r="AB31" s="177"/>
      <c r="AC31" s="179">
        <f>AC19+SUM(AC22:AC30)</f>
        <v>801805</v>
      </c>
      <c r="AD31" s="179">
        <f>AD19+SUM(AD22:AD30)</f>
        <v>498410</v>
      </c>
      <c r="AE31" s="179">
        <f>AE19+SUM(AE22:AE30)</f>
        <v>427115.00519773434</v>
      </c>
      <c r="AF31" s="179">
        <f>AF19+SUM(AF22:AF30)</f>
        <v>186446.26200278834</v>
      </c>
      <c r="AG31" s="179">
        <f>AG19+SUM(AG22:AG30)</f>
        <v>1913775.3864778988</v>
      </c>
      <c r="AH31" s="20">
        <f t="shared" ref="AH31:AR31" si="19">AH19+SUM(AH22:AH30)</f>
        <v>0</v>
      </c>
      <c r="AI31" s="179">
        <f t="shared" si="19"/>
        <v>119347.61669028395</v>
      </c>
      <c r="AJ31" s="179">
        <f t="shared" si="19"/>
        <v>84238.300272025925</v>
      </c>
      <c r="AK31" s="179">
        <f t="shared" si="19"/>
        <v>103488.70759155441</v>
      </c>
      <c r="AL31" s="179">
        <f t="shared" si="19"/>
        <v>-209811.19292066607</v>
      </c>
      <c r="AM31" s="179">
        <f t="shared" si="19"/>
        <v>97263.431633198052</v>
      </c>
      <c r="AN31" s="103"/>
      <c r="AO31" s="179">
        <f t="shared" si="19"/>
        <v>118552.99091801053</v>
      </c>
      <c r="AP31" s="179">
        <f t="shared" si="19"/>
        <v>270579.60118418169</v>
      </c>
      <c r="AQ31" s="179">
        <f t="shared" si="19"/>
        <v>51911.040550906851</v>
      </c>
      <c r="AR31" s="179">
        <f t="shared" si="19"/>
        <v>-162565.41699233413</v>
      </c>
      <c r="AS31" s="179">
        <f t="shared" si="11"/>
        <v>278478.21566076495</v>
      </c>
      <c r="AU31" s="179">
        <f t="shared" ref="AU31:AX31" si="20">AU19+SUM(AU22:AU30)</f>
        <v>80524.595438342454</v>
      </c>
      <c r="AV31" s="179">
        <f t="shared" si="20"/>
        <v>91659.06199018925</v>
      </c>
      <c r="AW31" s="179">
        <f t="shared" si="20"/>
        <v>-675962.20362356061</v>
      </c>
      <c r="AX31" s="179">
        <f t="shared" si="20"/>
        <v>-404405.21736456896</v>
      </c>
      <c r="AY31" s="179">
        <f>SUM(AU31:AX31)</f>
        <v>-908183.76355959789</v>
      </c>
      <c r="BA31" s="179">
        <f>BA19+SUM(BA22:BA30)</f>
        <v>121476.85112312125</v>
      </c>
      <c r="BB31" s="179">
        <f>BB19+SUM(BB22:BB30)</f>
        <v>-10195.295841227111</v>
      </c>
      <c r="BC31" s="179">
        <f>BC19+SUM(BC22:BC30)</f>
        <v>39430.835122594144</v>
      </c>
      <c r="BD31" s="179">
        <f>BD19+SUM(BD22:BD30)</f>
        <v>-151284.4490167466</v>
      </c>
      <c r="BE31" s="179">
        <f>SUM(BA31:BD31)</f>
        <v>-572.05861225831904</v>
      </c>
      <c r="BG31" s="179">
        <f>BG19+SUM(BG22:BG30)</f>
        <v>130302.65112046603</v>
      </c>
      <c r="BH31" s="179">
        <f>BH19+SUM(BH22:BH30)</f>
        <v>-13451.369595466123</v>
      </c>
      <c r="BI31" s="179">
        <f>BI19+SUM(BI22:BI30)</f>
        <v>44013.964755000052</v>
      </c>
      <c r="BJ31" s="179">
        <f>BJ19+SUM(BJ22:BJ30)</f>
        <v>111695.34932546623</v>
      </c>
      <c r="BK31" s="179">
        <f>BK19+SUM(BK22:BK30)</f>
        <v>272560.59560546605</v>
      </c>
      <c r="BM31" s="179">
        <f>BM19+SUM(BM22:BM30)</f>
        <v>12182.321319999945</v>
      </c>
      <c r="BN31" s="179">
        <f>BN19+SUM(BN22:BN30)</f>
        <v>-61989.083090000073</v>
      </c>
      <c r="BO31" s="179">
        <f>BO19+SUM(BO22:BO30)</f>
        <v>-14249.444449999806</v>
      </c>
      <c r="BP31" s="179">
        <f>BP19+SUM(BP22:BP30)</f>
        <v>235362.47510999991</v>
      </c>
      <c r="BQ31" s="179">
        <f>BQ19+SUM(BQ22:BQ30)</f>
        <v>171306.26889000009</v>
      </c>
      <c r="BS31" s="179">
        <f>BS19+SUM(BS22:BS30)</f>
        <v>-2107.3744750000042</v>
      </c>
      <c r="BT31" s="179">
        <f>BT19+SUM(BT22:BT30)</f>
        <v>-15117.799384999977</v>
      </c>
      <c r="BU31" s="179">
        <f>BU19+SUM(BU22:BU30)</f>
        <v>11498.541720000139</v>
      </c>
      <c r="BV31" s="179">
        <f>BV19+SUM(BV22:BV30)</f>
        <v>505764.02741999994</v>
      </c>
      <c r="BW31" s="179">
        <f>BW19+SUM(BW22:BW30)</f>
        <v>500037.39528000011</v>
      </c>
      <c r="BY31" s="179">
        <f>BY19+SUM(BY22:BY30)</f>
        <v>46619.844235000011</v>
      </c>
      <c r="BZ31" s="179">
        <f>BZ19+SUM(BZ22:BZ30)</f>
        <v>46660.191489999997</v>
      </c>
      <c r="CA31" s="179">
        <f>CA19+SUM(CA22:CA30)</f>
        <v>43705.450245000029</v>
      </c>
      <c r="CB31" s="179">
        <f>CB19+SUM(CB22:CB30)</f>
        <v>183662.40584999992</v>
      </c>
      <c r="CC31" s="179">
        <f>CC19+SUM(CC22:CC30)</f>
        <v>320647.8918199999</v>
      </c>
      <c r="CE31" s="179">
        <f>CE19+SUM(CE22:CE30)</f>
        <v>25731.967480000174</v>
      </c>
      <c r="CF31" s="179">
        <f>CF19+SUM(CF22:CF30)</f>
        <v>75593.953159999975</v>
      </c>
      <c r="CG31" s="179">
        <f>CG19+SUM(CG22:CG30)</f>
        <v>13439.068829999975</v>
      </c>
      <c r="CH31" s="179">
        <f>CH19+SUM(CH22:CH30)</f>
        <v>-64177.989470000102</v>
      </c>
      <c r="CI31" s="179">
        <f>CI19+SUM(CI22:CI30)</f>
        <v>50587</v>
      </c>
      <c r="CK31" s="179">
        <f>CK19+SUM(CK22:CK30)</f>
        <v>-846</v>
      </c>
    </row>
    <row r="32" spans="1:89"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</row>
    <row r="33" spans="1:89">
      <c r="A33" s="20" t="s">
        <v>36</v>
      </c>
      <c r="C33" s="86">
        <v>-356</v>
      </c>
      <c r="D33" s="86"/>
      <c r="E33" s="86">
        <v>-993</v>
      </c>
      <c r="F33" s="86">
        <v>-874</v>
      </c>
      <c r="G33" s="86">
        <v>-650</v>
      </c>
      <c r="H33" s="86">
        <v>843</v>
      </c>
      <c r="I33" s="86">
        <v>-1674</v>
      </c>
      <c r="J33" s="86"/>
      <c r="K33" s="86">
        <v>-662</v>
      </c>
      <c r="L33" s="86">
        <v>-1572</v>
      </c>
      <c r="M33" s="86">
        <v>-1017</v>
      </c>
      <c r="N33" s="86">
        <v>-1051</v>
      </c>
      <c r="O33" s="86">
        <v>-4302</v>
      </c>
      <c r="P33" s="86"/>
      <c r="Q33" s="86">
        <v>-3240</v>
      </c>
      <c r="R33" s="86">
        <v>-221</v>
      </c>
      <c r="S33" s="86">
        <v>-4582</v>
      </c>
      <c r="T33" s="86">
        <v>-6748</v>
      </c>
      <c r="U33" s="86">
        <v>-14791</v>
      </c>
      <c r="V33" s="86"/>
      <c r="W33" s="86">
        <v>-7270</v>
      </c>
      <c r="X33" s="86">
        <v>-4292</v>
      </c>
      <c r="Y33" s="86">
        <v>-5441.4</v>
      </c>
      <c r="Z33" s="86">
        <v>-5585.1</v>
      </c>
      <c r="AA33" s="86">
        <v>-22589</v>
      </c>
      <c r="AB33" s="86"/>
      <c r="AC33" s="86">
        <v>-4985</v>
      </c>
      <c r="AD33" s="86">
        <f>-12104</f>
        <v>-12104</v>
      </c>
      <c r="AE33" s="86">
        <v>-17292.773072927623</v>
      </c>
      <c r="AF33" s="86">
        <v>11694.124008364572</v>
      </c>
      <c r="AG33" s="86">
        <v>-22687.266147947001</v>
      </c>
      <c r="AI33" s="86">
        <v>-3612.1366600000001</v>
      </c>
      <c r="AJ33" s="86">
        <v>-18083.087484204836</v>
      </c>
      <c r="AK33" s="86">
        <v>-29125.408524716335</v>
      </c>
      <c r="AL33" s="86">
        <v>711.71846980146802</v>
      </c>
      <c r="AM33" s="86">
        <v>-50108.914199119703</v>
      </c>
      <c r="AO33" s="86">
        <v>-11937.916101141884</v>
      </c>
      <c r="AP33" s="86">
        <v>-153290.79799339542</v>
      </c>
      <c r="AQ33" s="86">
        <v>-89376.45732750764</v>
      </c>
      <c r="AR33" s="86">
        <v>-33763.044666939037</v>
      </c>
      <c r="AS33" s="86">
        <f t="shared" si="11"/>
        <v>-288368.21608898399</v>
      </c>
      <c r="AU33" s="86">
        <v>-14792.976204376269</v>
      </c>
      <c r="AV33" s="86">
        <v>-19065.841218331181</v>
      </c>
      <c r="AW33" s="86">
        <v>-13756.283474094882</v>
      </c>
      <c r="AX33" s="86">
        <v>-16514.406424576991</v>
      </c>
      <c r="AY33" s="86">
        <f t="shared" si="12"/>
        <v>-64129.507321379322</v>
      </c>
      <c r="BA33" s="86">
        <v>-26269.956911709822</v>
      </c>
      <c r="BB33" s="86">
        <v>412.14335256300546</v>
      </c>
      <c r="BC33" s="86">
        <v>-4322.1437855801796</v>
      </c>
      <c r="BD33" s="86">
        <v>-19058.205626199007</v>
      </c>
      <c r="BE33" s="86">
        <f>SUM(BA33:BD33)</f>
        <v>-49238.162970926001</v>
      </c>
      <c r="BG33" s="86">
        <v>-11076.265465</v>
      </c>
      <c r="BH33" s="86">
        <v>3262.1639050000013</v>
      </c>
      <c r="BI33" s="86">
        <v>-3580.041005000001</v>
      </c>
      <c r="BJ33" s="86">
        <v>-10916.75585</v>
      </c>
      <c r="BK33" s="86">
        <f>SUM(BG33:BJ33)</f>
        <v>-22310.898415</v>
      </c>
      <c r="BM33" s="86">
        <v>-2374.9542650000003</v>
      </c>
      <c r="BN33" s="86">
        <v>-1796.4488499999998</v>
      </c>
      <c r="BO33" s="86">
        <v>-2120.7291700000005</v>
      </c>
      <c r="BP33" s="86">
        <v>-2073.7966849999984</v>
      </c>
      <c r="BQ33" s="86">
        <f>SUM(BM33:BP33)</f>
        <v>-8365.928969999999</v>
      </c>
      <c r="BS33" s="86">
        <v>-2534.9742900000001</v>
      </c>
      <c r="BT33" s="86">
        <v>-873.39946000000009</v>
      </c>
      <c r="BU33" s="86">
        <v>-895.67923000000019</v>
      </c>
      <c r="BV33" s="86">
        <v>-36799.158070000012</v>
      </c>
      <c r="BW33" s="86">
        <f t="shared" ref="BW33:BW34" si="21">SUM(BS33:BV33)</f>
        <v>-41103.211050000013</v>
      </c>
      <c r="BY33" s="86">
        <v>-1114.2966899999999</v>
      </c>
      <c r="BZ33" s="86">
        <v>-792.7033100000001</v>
      </c>
      <c r="CA33" s="86">
        <v>-605.77923500000043</v>
      </c>
      <c r="CB33" s="86">
        <v>-418.91377999999986</v>
      </c>
      <c r="CC33" s="86">
        <f t="shared" ref="CC33:CC34" si="22">SUM(BY33:CB33)</f>
        <v>-2931.6930150000003</v>
      </c>
      <c r="CE33" s="86">
        <v>-430.88347999999996</v>
      </c>
      <c r="CF33" s="86">
        <v>-457.00693999999999</v>
      </c>
      <c r="CG33" s="86">
        <v>-8160.0217599999996</v>
      </c>
      <c r="CH33" s="86">
        <v>7141.9121799999994</v>
      </c>
      <c r="CI33" s="86">
        <v>-1906</v>
      </c>
      <c r="CK33" s="86">
        <v>-514</v>
      </c>
    </row>
    <row r="34" spans="1:89">
      <c r="A34" s="20" t="s">
        <v>39</v>
      </c>
      <c r="C34" s="86">
        <v>0</v>
      </c>
      <c r="D34" s="86"/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/>
      <c r="K34" s="86">
        <v>-1721</v>
      </c>
      <c r="L34" s="86">
        <v>-607</v>
      </c>
      <c r="M34" s="86">
        <v>-1174</v>
      </c>
      <c r="N34" s="86">
        <v>-76258</v>
      </c>
      <c r="O34" s="86">
        <v>-79760</v>
      </c>
      <c r="P34" s="86"/>
      <c r="Q34" s="86">
        <v>-1608</v>
      </c>
      <c r="R34" s="86">
        <v>-473</v>
      </c>
      <c r="S34" s="86">
        <v>-2246</v>
      </c>
      <c r="T34" s="86">
        <v>-300013</v>
      </c>
      <c r="U34" s="86">
        <v>-304340</v>
      </c>
      <c r="V34" s="86"/>
      <c r="W34" s="86">
        <v>4777</v>
      </c>
      <c r="X34" s="86">
        <v>-49519</v>
      </c>
      <c r="Y34" s="86">
        <v>-53807.4</v>
      </c>
      <c r="Z34" s="86">
        <v>-52723.5</v>
      </c>
      <c r="AA34" s="86">
        <v>-151273</v>
      </c>
      <c r="AB34" s="86"/>
      <c r="AC34" s="86">
        <v>-344107</v>
      </c>
      <c r="AD34" s="86">
        <f>-153916</f>
        <v>-153916</v>
      </c>
      <c r="AE34" s="86">
        <v>-150588.44889019366</v>
      </c>
      <c r="AF34" s="86">
        <v>-15048.528518952429</v>
      </c>
      <c r="AG34" s="86">
        <v>-663659.57810767426</v>
      </c>
      <c r="AI34" s="86">
        <v>-30836.589098168712</v>
      </c>
      <c r="AJ34" s="86">
        <v>-16910.521464854857</v>
      </c>
      <c r="AK34" s="86">
        <v>18277.693352268601</v>
      </c>
      <c r="AL34" s="86">
        <v>52627.374464681547</v>
      </c>
      <c r="AM34" s="86">
        <v>23157.957253926576</v>
      </c>
      <c r="AO34" s="86">
        <v>-47941.243616359199</v>
      </c>
      <c r="AP34" s="86">
        <v>66161.834696441321</v>
      </c>
      <c r="AQ34" s="86">
        <v>146032.10078529135</v>
      </c>
      <c r="AR34" s="86">
        <v>112979.51222609193</v>
      </c>
      <c r="AS34" s="86">
        <f t="shared" si="11"/>
        <v>277232.20409146539</v>
      </c>
      <c r="AU34" s="86">
        <v>-34194.058584999999</v>
      </c>
      <c r="AV34" s="86">
        <v>-36615.677214999996</v>
      </c>
      <c r="AW34" s="86">
        <v>213105.30180999998</v>
      </c>
      <c r="AX34" s="86">
        <v>60245.152665000031</v>
      </c>
      <c r="AY34" s="86">
        <f t="shared" si="12"/>
        <v>202540.71867500001</v>
      </c>
      <c r="BA34" s="86">
        <v>12440.851304999993</v>
      </c>
      <c r="BB34" s="86">
        <v>-16502.656599999995</v>
      </c>
      <c r="BC34" s="86">
        <v>-19576.87904</v>
      </c>
      <c r="BD34" s="86">
        <v>104027.74839000002</v>
      </c>
      <c r="BE34" s="86">
        <f>SUM(BA34:BD34)</f>
        <v>80389.064055000024</v>
      </c>
      <c r="BG34" s="86">
        <v>63542.301059999998</v>
      </c>
      <c r="BH34" s="86">
        <v>1399.5584100000124</v>
      </c>
      <c r="BI34" s="86">
        <v>-27459.537295000016</v>
      </c>
      <c r="BJ34" s="86">
        <v>-10714.968004999962</v>
      </c>
      <c r="BK34" s="86">
        <f>SUM(BG34:BJ34)</f>
        <v>26767.354170000031</v>
      </c>
      <c r="BM34" s="86">
        <v>-21391.037605000005</v>
      </c>
      <c r="BN34" s="86">
        <v>2044.4775800000134</v>
      </c>
      <c r="BO34" s="86">
        <v>-20732.693060000027</v>
      </c>
      <c r="BP34" s="86">
        <v>-109155.78263999995</v>
      </c>
      <c r="BQ34" s="86">
        <f>SUM(BM34:BP34)</f>
        <v>-149235.03572499997</v>
      </c>
      <c r="BS34" s="86">
        <v>-163245.58654500003</v>
      </c>
      <c r="BT34" s="86">
        <v>73065.788765000019</v>
      </c>
      <c r="BU34" s="86">
        <v>14996.310800000021</v>
      </c>
      <c r="BV34" s="86">
        <v>-72398.881130000023</v>
      </c>
      <c r="BW34" s="86">
        <f t="shared" si="21"/>
        <v>-147582.36811000001</v>
      </c>
      <c r="BY34" s="86">
        <v>-31127.547540000003</v>
      </c>
      <c r="BZ34" s="86">
        <v>-25922.452459999997</v>
      </c>
      <c r="CA34" s="86">
        <v>-26839.500229999991</v>
      </c>
      <c r="CB34" s="86">
        <v>-27557.998530000026</v>
      </c>
      <c r="CC34" s="86">
        <f t="shared" si="22"/>
        <v>-111447.49876000002</v>
      </c>
      <c r="CE34" s="86">
        <v>-11875.23466</v>
      </c>
      <c r="CF34" s="86">
        <v>-47371.165429999986</v>
      </c>
      <c r="CG34" s="86">
        <v>32983.496109999993</v>
      </c>
      <c r="CH34" s="86">
        <v>9597.9039799999955</v>
      </c>
      <c r="CI34" s="86">
        <v>-16665</v>
      </c>
      <c r="CK34" s="86">
        <v>-29352</v>
      </c>
    </row>
    <row r="35" spans="1:89"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J35" s="66"/>
    </row>
    <row r="36" spans="1:89">
      <c r="A36" s="83" t="s">
        <v>348</v>
      </c>
      <c r="C36" s="179">
        <f>C31+SUM(C33:C34)</f>
        <v>-13154</v>
      </c>
      <c r="D36" s="193"/>
      <c r="E36" s="179">
        <f>E31+SUM(E33:E34)</f>
        <v>1337</v>
      </c>
      <c r="F36" s="179">
        <f>F31+SUM(F33:F34)</f>
        <v>-338</v>
      </c>
      <c r="G36" s="179">
        <f>G31+SUM(G33:G34)</f>
        <v>615</v>
      </c>
      <c r="H36" s="179">
        <f>H31+SUM(H33:H34)</f>
        <v>-3193</v>
      </c>
      <c r="I36" s="179">
        <f>I31+SUM(I33:I34)</f>
        <v>-1579</v>
      </c>
      <c r="J36" s="193"/>
      <c r="K36" s="179">
        <f>K31+SUM(K33:K34)</f>
        <v>9752</v>
      </c>
      <c r="L36" s="179">
        <f>L31+SUM(L33:L34)</f>
        <v>13235</v>
      </c>
      <c r="M36" s="179">
        <f>M31+SUM(M33:M34)</f>
        <v>8908</v>
      </c>
      <c r="N36" s="179">
        <f>N31+SUM(N33:N34)</f>
        <v>134808</v>
      </c>
      <c r="O36" s="179">
        <f>O31+SUM(O33:O34)</f>
        <v>166703</v>
      </c>
      <c r="P36" s="177"/>
      <c r="Q36" s="179">
        <f>Q31+SUM(Q33:Q34)</f>
        <v>3868</v>
      </c>
      <c r="R36" s="179">
        <f>R31+SUM(R33:R34)</f>
        <v>27204</v>
      </c>
      <c r="S36" s="179">
        <f>S31+SUM(S33:S34)</f>
        <v>4265</v>
      </c>
      <c r="T36" s="179">
        <f>T31+SUM(T33:T34)</f>
        <v>778031</v>
      </c>
      <c r="U36" s="179">
        <f>U31+SUM(U33:U34)</f>
        <v>813368</v>
      </c>
      <c r="V36" s="177"/>
      <c r="W36" s="179">
        <f>W31+SUM(W33:W34)</f>
        <v>22355.799999999988</v>
      </c>
      <c r="X36" s="179">
        <f>X31+SUM(X33:X34)</f>
        <v>158808.5</v>
      </c>
      <c r="Y36" s="179">
        <f>Y31+SUM(Y33:Y34)</f>
        <v>83744.800000000003</v>
      </c>
      <c r="Z36" s="179">
        <f>Z31+SUM(Z33:Z34)</f>
        <v>70500.399999999994</v>
      </c>
      <c r="AA36" s="179">
        <f>AA31+SUM(AA33:AA34)</f>
        <v>335409.2</v>
      </c>
      <c r="AB36" s="177"/>
      <c r="AC36" s="179">
        <f>AC31+SUM(AC33:AC34)</f>
        <v>452713</v>
      </c>
      <c r="AD36" s="179">
        <f>AD31+SUM(AD33:AD34)</f>
        <v>332390</v>
      </c>
      <c r="AE36" s="179">
        <f>AE31+SUM(AE33:AE34)</f>
        <v>259233.78323461307</v>
      </c>
      <c r="AF36" s="179">
        <f>AF31+SUM(AF33:AF34)</f>
        <v>183091.85749220048</v>
      </c>
      <c r="AG36" s="179">
        <f>AG31+SUM(AG33:AG34)</f>
        <v>1227428.5422222775</v>
      </c>
      <c r="AI36" s="179">
        <f>AI31+SUM(AI33:AI34)</f>
        <v>84898.890932115231</v>
      </c>
      <c r="AJ36" s="179">
        <f>AJ31+SUM(AJ33:AJ34)</f>
        <v>49244.691322966231</v>
      </c>
      <c r="AK36" s="179">
        <f>AK31+SUM(AK33:AK34)</f>
        <v>92640.992419106682</v>
      </c>
      <c r="AL36" s="179">
        <f>AL31+SUM(AL33:AL34)</f>
        <v>-156472.09998618305</v>
      </c>
      <c r="AM36" s="179">
        <f>AM31+SUM(AM33:AM34)</f>
        <v>70312.474688004921</v>
      </c>
      <c r="AO36" s="179">
        <f>AO31+SUM(AO33:AO34)</f>
        <v>58673.831200509449</v>
      </c>
      <c r="AP36" s="179">
        <f>AP31+SUM(AP33:AP34)</f>
        <v>183450.63788722758</v>
      </c>
      <c r="AQ36" s="179">
        <f>AQ31+SUM(AQ33:AQ34)</f>
        <v>108566.68400869056</v>
      </c>
      <c r="AR36" s="179">
        <f>AR31+SUM(AR33:AR34)</f>
        <v>-83348.949433181231</v>
      </c>
      <c r="AS36" s="179">
        <f t="shared" si="11"/>
        <v>267342.20366324636</v>
      </c>
      <c r="AU36" s="179">
        <f>AU31+SUM(AU33:AU34)</f>
        <v>31537.560648966188</v>
      </c>
      <c r="AV36" s="179">
        <f>AV31+SUM(AV33:AV34)</f>
        <v>35977.543556858072</v>
      </c>
      <c r="AW36" s="179">
        <f>AW31+SUM(AW33:AW34)</f>
        <v>-476613.18528765551</v>
      </c>
      <c r="AX36" s="179">
        <f>AX31+SUM(AX33:AX34)</f>
        <v>-360674.4711241459</v>
      </c>
      <c r="AY36" s="179">
        <f>SUM(AU36:AX36)</f>
        <v>-769772.55220597715</v>
      </c>
      <c r="BA36" s="179">
        <f>BA31+SUM(BA33:BA34)</f>
        <v>107647.74551641142</v>
      </c>
      <c r="BB36" s="179">
        <f>BB31+SUM(BB33:BB34)</f>
        <v>-26285.8090886641</v>
      </c>
      <c r="BC36" s="179">
        <f>BC31+SUM(BC33:BC34)</f>
        <v>15531.812297013967</v>
      </c>
      <c r="BD36" s="179">
        <f>BD31+SUM(BD33:BD34)</f>
        <v>-66314.906252945584</v>
      </c>
      <c r="BE36" s="179">
        <f>SUM(BA36:BD36)</f>
        <v>30578.842471815704</v>
      </c>
      <c r="BG36" s="179">
        <f>BG31+SUM(BG33:BG34)</f>
        <v>182768.68671546603</v>
      </c>
      <c r="BH36" s="179">
        <f>BH31+SUM(BH33:BH34)</f>
        <v>-8789.6472804661098</v>
      </c>
      <c r="BI36" s="179">
        <f>BI31+SUM(BI33:BI34)</f>
        <v>12974.386455000036</v>
      </c>
      <c r="BJ36" s="179">
        <f>BJ31+SUM(BJ33:BJ34)</f>
        <v>90063.625470466272</v>
      </c>
      <c r="BK36" s="179">
        <f>BK31+SUM(BK33:BK34)</f>
        <v>277017.05136046605</v>
      </c>
      <c r="BM36" s="179">
        <f t="shared" ref="BM36:BP36" si="23">BM31+SUM(BM33:BM34)</f>
        <v>-11583.670550000061</v>
      </c>
      <c r="BN36" s="179">
        <f t="shared" si="23"/>
        <v>-61741.05436000006</v>
      </c>
      <c r="BO36" s="179">
        <f t="shared" si="23"/>
        <v>-37102.866679999832</v>
      </c>
      <c r="BP36" s="179">
        <f t="shared" si="23"/>
        <v>124132.89578499997</v>
      </c>
      <c r="BQ36" s="179">
        <f>BQ31+SUM(BQ33:BQ34)</f>
        <v>13705.304195000121</v>
      </c>
      <c r="BS36" s="179">
        <f t="shared" ref="BS36:BT36" si="24">BS31+SUM(BS33:BS34)</f>
        <v>-167887.93531000003</v>
      </c>
      <c r="BT36" s="179">
        <f t="shared" si="24"/>
        <v>57074.589920000042</v>
      </c>
      <c r="BU36" s="179">
        <f t="shared" ref="BU36:BW36" si="25">BU31+SUM(BU33:BU34)</f>
        <v>25599.173290000159</v>
      </c>
      <c r="BV36" s="179">
        <f t="shared" si="25"/>
        <v>396565.98821999994</v>
      </c>
      <c r="BW36" s="179">
        <f t="shared" si="25"/>
        <v>311351.81612000009</v>
      </c>
      <c r="BY36" s="179">
        <f t="shared" ref="BY36:BZ36" si="26">BY31+SUM(BY33:BY34)</f>
        <v>14378.000005000009</v>
      </c>
      <c r="BZ36" s="179">
        <f t="shared" si="26"/>
        <v>19945.03572</v>
      </c>
      <c r="CA36" s="179">
        <f t="shared" ref="CA36:CB36" si="27">CA31+SUM(CA33:CA34)</f>
        <v>16260.170780000037</v>
      </c>
      <c r="CB36" s="179">
        <f t="shared" si="27"/>
        <v>155685.49353999991</v>
      </c>
      <c r="CC36" s="179">
        <f t="shared" ref="CC36" si="28">CC31+SUM(CC33:CC34)</f>
        <v>206268.70004499989</v>
      </c>
      <c r="CE36" s="179">
        <f t="shared" ref="CE36:CF36" si="29">CE31+SUM(CE33:CE34)</f>
        <v>13425.849340000173</v>
      </c>
      <c r="CF36" s="179">
        <f t="shared" si="29"/>
        <v>27765.78078999999</v>
      </c>
      <c r="CG36" s="179">
        <f t="shared" ref="CG36:CI36" si="30">CG31+SUM(CG33:CG34)</f>
        <v>38262.543179999964</v>
      </c>
      <c r="CH36" s="179">
        <f t="shared" si="30"/>
        <v>-47438.173310000107</v>
      </c>
      <c r="CI36" s="179">
        <f t="shared" si="30"/>
        <v>32016</v>
      </c>
      <c r="CK36" s="179">
        <f t="shared" ref="CK36" si="31">CK31+SUM(CK33:CK34)</f>
        <v>-30712</v>
      </c>
    </row>
    <row r="37" spans="1:89" ht="6" customHeight="1">
      <c r="A37" s="83"/>
      <c r="C37" s="177"/>
      <c r="D37" s="193"/>
      <c r="E37" s="177"/>
      <c r="F37" s="177"/>
      <c r="G37" s="177"/>
      <c r="H37" s="177"/>
      <c r="I37" s="177"/>
      <c r="J37" s="193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I37" s="177"/>
      <c r="AJ37" s="177"/>
    </row>
    <row r="38" spans="1:89">
      <c r="A38" s="20" t="s">
        <v>343</v>
      </c>
      <c r="C38" s="86">
        <v>0</v>
      </c>
      <c r="D38" s="196"/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196"/>
      <c r="K38" s="86">
        <v>0</v>
      </c>
      <c r="L38" s="86">
        <v>0</v>
      </c>
      <c r="M38" s="86">
        <v>0</v>
      </c>
      <c r="N38" s="86">
        <v>0</v>
      </c>
      <c r="O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W38" s="86">
        <v>0</v>
      </c>
      <c r="X38" s="86">
        <v>0</v>
      </c>
      <c r="Y38" s="86">
        <v>0</v>
      </c>
      <c r="Z38" s="86">
        <v>0</v>
      </c>
      <c r="AA38" s="86">
        <v>0</v>
      </c>
      <c r="AC38" s="86">
        <v>0</v>
      </c>
      <c r="AD38" s="86">
        <v>0</v>
      </c>
      <c r="AE38" s="86">
        <v>0</v>
      </c>
      <c r="AF38" s="86">
        <v>0</v>
      </c>
      <c r="AG38" s="86">
        <v>0</v>
      </c>
      <c r="AI38" s="86">
        <v>5993.8313665121523</v>
      </c>
      <c r="AJ38" s="86">
        <v>602.55347938285377</v>
      </c>
      <c r="AK38" s="86">
        <v>-3085.7335983070029</v>
      </c>
      <c r="AL38" s="86">
        <v>7339.8999252068479</v>
      </c>
      <c r="AM38" s="86">
        <v>10850.551172794851</v>
      </c>
      <c r="AO38" s="86">
        <v>792.81454999999971</v>
      </c>
      <c r="AP38" s="86">
        <v>-558.68406999999956</v>
      </c>
      <c r="AQ38" s="86">
        <v>-634.1859550000006</v>
      </c>
      <c r="AR38" s="86">
        <v>-2532.9122299999995</v>
      </c>
      <c r="AS38" s="86">
        <f t="shared" si="11"/>
        <v>-2932.967705</v>
      </c>
      <c r="AU38" s="86">
        <v>-1377.0500849999999</v>
      </c>
      <c r="AV38" s="86">
        <v>-1076.214234999999</v>
      </c>
      <c r="AW38" s="86">
        <v>-960.54623500000071</v>
      </c>
      <c r="AX38" s="86">
        <v>3548.0327200000006</v>
      </c>
      <c r="AY38" s="86">
        <f>SUM(AU38:AX38)</f>
        <v>134.22216500000104</v>
      </c>
      <c r="BA38" s="86">
        <v>-1022.134285</v>
      </c>
      <c r="BB38" s="86">
        <v>-710.71892000000082</v>
      </c>
      <c r="BC38" s="86">
        <v>0</v>
      </c>
      <c r="BD38" s="86">
        <v>0</v>
      </c>
      <c r="BE38" s="86">
        <f>SUM(BA38:BD38)</f>
        <v>-1732.8532050000008</v>
      </c>
      <c r="BG38" s="86">
        <v>0</v>
      </c>
      <c r="BH38" s="86">
        <v>0</v>
      </c>
      <c r="BI38" s="86">
        <v>0</v>
      </c>
      <c r="BJ38" s="86">
        <v>0</v>
      </c>
      <c r="BK38" s="86">
        <f>SUM(BG38:BJ38)</f>
        <v>0</v>
      </c>
      <c r="BM38" s="86">
        <v>0</v>
      </c>
      <c r="BN38" s="86">
        <v>0</v>
      </c>
      <c r="BO38" s="86">
        <v>0</v>
      </c>
      <c r="BP38" s="86">
        <v>0</v>
      </c>
      <c r="BQ38" s="86">
        <v>0</v>
      </c>
      <c r="BS38" s="86">
        <v>0</v>
      </c>
      <c r="BT38" s="86">
        <v>0</v>
      </c>
      <c r="BU38" s="86">
        <v>0</v>
      </c>
      <c r="BV38" s="86">
        <v>0</v>
      </c>
      <c r="BW38" s="86">
        <v>0</v>
      </c>
      <c r="BY38" s="86">
        <v>0</v>
      </c>
      <c r="BZ38" s="86">
        <v>0</v>
      </c>
      <c r="CA38" s="86">
        <v>0</v>
      </c>
      <c r="CB38" s="86">
        <v>0</v>
      </c>
      <c r="CC38" s="86">
        <v>0</v>
      </c>
      <c r="CE38" s="86">
        <v>0</v>
      </c>
      <c r="CF38" s="86">
        <v>0</v>
      </c>
      <c r="CG38" s="86">
        <v>0</v>
      </c>
      <c r="CH38" s="86">
        <v>0</v>
      </c>
      <c r="CI38" s="86">
        <v>0</v>
      </c>
      <c r="CK38" s="86">
        <v>0</v>
      </c>
    </row>
    <row r="39" spans="1:89" ht="5.25" customHeight="1">
      <c r="D39" s="196"/>
      <c r="E39" s="49"/>
      <c r="J39" s="196"/>
      <c r="K39" s="49"/>
      <c r="Q39" s="49"/>
      <c r="W39" s="49"/>
      <c r="AC39" s="49"/>
      <c r="AS39" s="20">
        <f t="shared" si="11"/>
        <v>0</v>
      </c>
    </row>
    <row r="40" spans="1:89">
      <c r="A40" s="83" t="s">
        <v>55</v>
      </c>
      <c r="C40" s="179">
        <f>C36+C38</f>
        <v>-13154</v>
      </c>
      <c r="D40" s="103"/>
      <c r="E40" s="179">
        <f>E36+E38</f>
        <v>1337</v>
      </c>
      <c r="F40" s="179">
        <f>F36+F38</f>
        <v>-338</v>
      </c>
      <c r="G40" s="179">
        <f>G36+G38</f>
        <v>615</v>
      </c>
      <c r="H40" s="179">
        <f>H36+H38</f>
        <v>-3193</v>
      </c>
      <c r="I40" s="179">
        <f>I36+I38</f>
        <v>-1579</v>
      </c>
      <c r="J40" s="103"/>
      <c r="K40" s="179">
        <f>K36+K38</f>
        <v>9752</v>
      </c>
      <c r="L40" s="179">
        <f>L36+L38</f>
        <v>13235</v>
      </c>
      <c r="M40" s="179">
        <f>M36+M38</f>
        <v>8908</v>
      </c>
      <c r="N40" s="179">
        <f>N36+N38</f>
        <v>134808</v>
      </c>
      <c r="O40" s="179">
        <f>O36+O38</f>
        <v>166703</v>
      </c>
      <c r="P40" s="103"/>
      <c r="Q40" s="179">
        <f>Q36+Q38</f>
        <v>3868</v>
      </c>
      <c r="R40" s="179">
        <f>R36+R38</f>
        <v>27204</v>
      </c>
      <c r="S40" s="179">
        <f>S36+S38</f>
        <v>4265</v>
      </c>
      <c r="T40" s="179">
        <f>T36+T38</f>
        <v>778031</v>
      </c>
      <c r="U40" s="179">
        <f>U36+U38</f>
        <v>813368</v>
      </c>
      <c r="V40" s="103"/>
      <c r="W40" s="179">
        <f>W36+W38</f>
        <v>22355.799999999988</v>
      </c>
      <c r="X40" s="179">
        <f>X36+X38</f>
        <v>158808.5</v>
      </c>
      <c r="Y40" s="179">
        <f>Y36+Y38</f>
        <v>83744.800000000003</v>
      </c>
      <c r="Z40" s="179">
        <f>Z36+Z38</f>
        <v>70500.399999999994</v>
      </c>
      <c r="AA40" s="179">
        <f>AA36+AA38</f>
        <v>335409.2</v>
      </c>
      <c r="AB40" s="103"/>
      <c r="AC40" s="179">
        <f>AC36+AC38</f>
        <v>452713</v>
      </c>
      <c r="AD40" s="179">
        <f>AD36+AD38</f>
        <v>332390</v>
      </c>
      <c r="AE40" s="179">
        <f>AE36+AE38</f>
        <v>259233.78323461307</v>
      </c>
      <c r="AF40" s="179">
        <f>AF36+AF38</f>
        <v>183091.85749220048</v>
      </c>
      <c r="AG40" s="179">
        <f>AG36+AG38</f>
        <v>1227428.5422222775</v>
      </c>
      <c r="AI40" s="179">
        <f>AI36+AI38</f>
        <v>90892.722298627385</v>
      </c>
      <c r="AJ40" s="179">
        <f>AJ36+AJ38</f>
        <v>49847.244802349087</v>
      </c>
      <c r="AK40" s="179">
        <f>AK36+AK38</f>
        <v>89555.258820799674</v>
      </c>
      <c r="AL40" s="179">
        <f>AL36+AL38</f>
        <v>-149132.2000609762</v>
      </c>
      <c r="AM40" s="179">
        <f>AM36+AM38</f>
        <v>81163.025860799768</v>
      </c>
      <c r="AO40" s="179">
        <f>AO36+AO38</f>
        <v>59466.645750509451</v>
      </c>
      <c r="AP40" s="179">
        <f>AP36+AP38</f>
        <v>182891.95381722759</v>
      </c>
      <c r="AQ40" s="179">
        <f>AQ36+AQ38</f>
        <v>107932.49805369056</v>
      </c>
      <c r="AR40" s="179">
        <f>AR36+AR38</f>
        <v>-85881.861663181233</v>
      </c>
      <c r="AS40" s="179">
        <f t="shared" si="11"/>
        <v>264409.2359582464</v>
      </c>
      <c r="AU40" s="179">
        <f>AU36+AU38</f>
        <v>30160.510563966189</v>
      </c>
      <c r="AV40" s="179">
        <f>AV36+AV38</f>
        <v>34901.329321858073</v>
      </c>
      <c r="AW40" s="179">
        <f>AW36+AW38</f>
        <v>-477573.73152265552</v>
      </c>
      <c r="AX40" s="179">
        <f>AX36+AX38</f>
        <v>-357126.43840414588</v>
      </c>
      <c r="AY40" s="179">
        <f>SUM(AU40:AX40)</f>
        <v>-769638.3300409771</v>
      </c>
      <c r="BA40" s="179">
        <f>BA36+BA38</f>
        <v>106625.61123141143</v>
      </c>
      <c r="BB40" s="179">
        <f>BB36+BB38</f>
        <v>-26996.5280086641</v>
      </c>
      <c r="BC40" s="179">
        <f>BC36+BC38</f>
        <v>15531.812297013967</v>
      </c>
      <c r="BD40" s="179">
        <f>BD36+BD38</f>
        <v>-66314.906252945584</v>
      </c>
      <c r="BE40" s="179">
        <f>SUM(BA40:BD40)</f>
        <v>28845.989266815712</v>
      </c>
      <c r="BG40" s="179">
        <f>BG36+BG38</f>
        <v>182768.68671546603</v>
      </c>
      <c r="BH40" s="179">
        <f>BH36+BH38</f>
        <v>-8789.6472804661098</v>
      </c>
      <c r="BI40" s="179">
        <f>BI36+BI38</f>
        <v>12974.386455000036</v>
      </c>
      <c r="BJ40" s="179">
        <f>BJ36+BJ38</f>
        <v>90063.625470466272</v>
      </c>
      <c r="BK40" s="179">
        <f>BK36+BK38</f>
        <v>277017.05136046605</v>
      </c>
      <c r="BM40" s="179">
        <f>BM36+BM38</f>
        <v>-11583.670550000061</v>
      </c>
      <c r="BN40" s="179">
        <f>BN36+BN38</f>
        <v>-61741.05436000006</v>
      </c>
      <c r="BO40" s="179">
        <f>BO36+BO38</f>
        <v>-37102.866679999832</v>
      </c>
      <c r="BP40" s="179">
        <f>BP36+BP38</f>
        <v>124132.89578499997</v>
      </c>
      <c r="BQ40" s="179">
        <f>BQ36+BQ38</f>
        <v>13705.304195000121</v>
      </c>
      <c r="BS40" s="179">
        <f>BS36+BS38</f>
        <v>-167887.93531000003</v>
      </c>
      <c r="BT40" s="179">
        <f>BT36+BT38</f>
        <v>57074.589920000042</v>
      </c>
      <c r="BU40" s="179">
        <f>BU36+BU38</f>
        <v>25599.173290000159</v>
      </c>
      <c r="BV40" s="179">
        <f>BV36+BV38</f>
        <v>396565.98821999994</v>
      </c>
      <c r="BW40" s="179">
        <f>BW36+BW38</f>
        <v>311351.81612000009</v>
      </c>
      <c r="BY40" s="179">
        <f>BY36+BY38</f>
        <v>14378.000005000009</v>
      </c>
      <c r="BZ40" s="179">
        <f>BZ36+BZ38</f>
        <v>19945.03572</v>
      </c>
      <c r="CA40" s="179">
        <f>CA36+CA38</f>
        <v>16260.170780000037</v>
      </c>
      <c r="CB40" s="179">
        <f>CB36+CB38</f>
        <v>155685.49353999991</v>
      </c>
      <c r="CC40" s="179">
        <f>CC36+CC38</f>
        <v>206268.70004499989</v>
      </c>
      <c r="CE40" s="179">
        <f>CE36+CE38</f>
        <v>13425.849340000173</v>
      </c>
      <c r="CF40" s="179">
        <f>CF36+CF38</f>
        <v>27765.78078999999</v>
      </c>
      <c r="CG40" s="179">
        <f>CG36+CG38</f>
        <v>38262.543179999964</v>
      </c>
      <c r="CH40" s="179">
        <f>CH36+CH38</f>
        <v>-47438.173310000107</v>
      </c>
      <c r="CI40" s="179">
        <f>CI36+CI38</f>
        <v>32016</v>
      </c>
      <c r="CK40" s="179">
        <f>CK36+CK38</f>
        <v>-30712</v>
      </c>
    </row>
    <row r="41" spans="1:89"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7"/>
    </row>
  </sheetData>
  <mergeCells count="12">
    <mergeCell ref="BM2:BP2"/>
    <mergeCell ref="BG2:BK2"/>
    <mergeCell ref="A1:A2"/>
    <mergeCell ref="E2:I2"/>
    <mergeCell ref="K2:O2"/>
    <mergeCell ref="Q2:U2"/>
    <mergeCell ref="W2:AA2"/>
    <mergeCell ref="AU2:AY2"/>
    <mergeCell ref="AO2:AS2"/>
    <mergeCell ref="AI2:AM2"/>
    <mergeCell ref="AC2:AG2"/>
    <mergeCell ref="BA2:BE2"/>
  </mergeCells>
  <phoneticPr fontId="60" type="noConversion"/>
  <pageMargins left="0.25" right="0.25" top="0.75" bottom="0.75" header="0.3" footer="0.3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AJ98"/>
  <sheetViews>
    <sheetView showGridLines="0" zoomScale="80" zoomScaleNormal="80" workbookViewId="0">
      <pane xSplit="3" ySplit="4" topLeftCell="AI73" activePane="bottomRight" state="frozen"/>
      <selection pane="topRight" activeCell="G1" sqref="G1"/>
      <selection pane="bottomLeft" activeCell="A5" sqref="A5"/>
      <selection pane="bottomRight" activeCell="AJ91" sqref="AJ91"/>
    </sheetView>
  </sheetViews>
  <sheetFormatPr defaultColWidth="8.7265625" defaultRowHeight="13"/>
  <cols>
    <col min="1" max="1" width="30" style="20" customWidth="1"/>
    <col min="2" max="2" width="23" style="20" bestFit="1" customWidth="1"/>
    <col min="3" max="3" width="30.54296875" style="20" bestFit="1" customWidth="1"/>
    <col min="4" max="4" width="22.81640625" style="20" bestFit="1" customWidth="1"/>
    <col min="5" max="5" width="19.26953125" style="20" bestFit="1" customWidth="1"/>
    <col min="6" max="6" width="10.54296875" style="20" bestFit="1" customWidth="1"/>
    <col min="7" max="7" width="14.26953125" style="20" customWidth="1"/>
    <col min="8" max="8" width="13.1796875" style="20" customWidth="1"/>
    <col min="9" max="9" width="18.7265625" style="20" customWidth="1"/>
    <col min="10" max="20" width="13.1796875" style="20" customWidth="1"/>
    <col min="21" max="36" width="13.1796875" style="20" bestFit="1" customWidth="1"/>
    <col min="37" max="16384" width="8.7265625" style="20"/>
  </cols>
  <sheetData>
    <row r="1" spans="1:36" ht="16.5" customHeight="1">
      <c r="A1" s="317"/>
    </row>
    <row r="2" spans="1:36" ht="23.25" customHeight="1">
      <c r="A2" s="317"/>
    </row>
    <row r="3" spans="1:36" ht="13" customHeight="1">
      <c r="A3" s="304"/>
    </row>
    <row r="4" spans="1:36">
      <c r="A4" s="73" t="s">
        <v>373</v>
      </c>
      <c r="B4" s="73" t="s">
        <v>294</v>
      </c>
      <c r="C4" s="74" t="s">
        <v>220</v>
      </c>
      <c r="D4" s="74" t="s">
        <v>221</v>
      </c>
      <c r="E4" s="74" t="s">
        <v>222</v>
      </c>
      <c r="F4" s="74" t="s">
        <v>223</v>
      </c>
      <c r="G4" s="74" t="s">
        <v>224</v>
      </c>
      <c r="H4" s="152" t="s">
        <v>386</v>
      </c>
      <c r="I4" s="152" t="s">
        <v>374</v>
      </c>
      <c r="J4" s="152" t="s">
        <v>387</v>
      </c>
      <c r="K4" s="152" t="s">
        <v>390</v>
      </c>
      <c r="L4" s="152" t="s">
        <v>394</v>
      </c>
      <c r="M4" s="152" t="s">
        <v>396</v>
      </c>
      <c r="N4" s="152" t="s">
        <v>401</v>
      </c>
      <c r="O4" s="152" t="s">
        <v>411</v>
      </c>
      <c r="P4" s="152" t="s">
        <v>414</v>
      </c>
      <c r="Q4" s="152" t="s">
        <v>421</v>
      </c>
      <c r="R4" s="152" t="s">
        <v>588</v>
      </c>
      <c r="S4" s="152" t="s">
        <v>597</v>
      </c>
      <c r="T4" s="152" t="s">
        <v>600</v>
      </c>
      <c r="U4" s="152" t="s">
        <v>607</v>
      </c>
      <c r="V4" s="152" t="s">
        <v>614</v>
      </c>
      <c r="W4" s="152" t="s">
        <v>623</v>
      </c>
      <c r="X4" s="152" t="s">
        <v>632</v>
      </c>
      <c r="Y4" s="152" t="s">
        <v>634</v>
      </c>
      <c r="Z4" s="152" t="s">
        <v>637</v>
      </c>
      <c r="AA4" s="152" t="s">
        <v>643</v>
      </c>
      <c r="AB4" s="152" t="s">
        <v>648</v>
      </c>
      <c r="AC4" s="152" t="s">
        <v>652</v>
      </c>
      <c r="AD4" s="152" t="s">
        <v>659</v>
      </c>
      <c r="AE4" s="152" t="s">
        <v>663</v>
      </c>
      <c r="AF4" s="152" t="s">
        <v>667</v>
      </c>
      <c r="AG4" s="152" t="s">
        <v>673</v>
      </c>
      <c r="AH4" s="152" t="s">
        <v>678</v>
      </c>
      <c r="AI4" s="152" t="s">
        <v>682</v>
      </c>
      <c r="AJ4" s="152" t="s">
        <v>684</v>
      </c>
    </row>
    <row r="5" spans="1:36">
      <c r="A5" s="153" t="s">
        <v>91</v>
      </c>
      <c r="B5" s="154" t="s">
        <v>299</v>
      </c>
      <c r="C5" s="155" t="s">
        <v>225</v>
      </c>
      <c r="D5" s="155" t="s">
        <v>226</v>
      </c>
      <c r="E5" s="156">
        <v>8.8400000000000006E-2</v>
      </c>
      <c r="F5" s="157">
        <v>120</v>
      </c>
      <c r="G5" s="158">
        <v>42841</v>
      </c>
      <c r="H5" s="159">
        <v>5454.9854154932909</v>
      </c>
      <c r="I5" s="159">
        <v>4980.9659697074576</v>
      </c>
      <c r="J5" s="159">
        <v>4425.0660282841718</v>
      </c>
      <c r="K5" s="159">
        <v>3910.0101451930623</v>
      </c>
      <c r="L5" s="159">
        <v>3302.68783448368</v>
      </c>
      <c r="M5" s="160">
        <v>2621.1633540686266</v>
      </c>
      <c r="N5" s="159">
        <v>1875.1048491581778</v>
      </c>
      <c r="O5" s="159">
        <v>1082.3186121566901</v>
      </c>
      <c r="P5" s="159">
        <v>265.01030186791604</v>
      </c>
      <c r="Q5" s="159">
        <v>0</v>
      </c>
      <c r="R5" s="159">
        <v>0</v>
      </c>
      <c r="S5" s="159">
        <v>0</v>
      </c>
      <c r="T5" s="159">
        <v>0</v>
      </c>
      <c r="U5" s="159">
        <v>0</v>
      </c>
      <c r="V5" s="159">
        <v>0</v>
      </c>
      <c r="W5" s="159">
        <v>0</v>
      </c>
      <c r="X5" s="159">
        <v>0</v>
      </c>
      <c r="Y5" s="159">
        <v>0</v>
      </c>
      <c r="Z5" s="159">
        <v>0</v>
      </c>
      <c r="AA5" s="159">
        <v>0</v>
      </c>
      <c r="AB5" s="159">
        <v>0</v>
      </c>
      <c r="AC5" s="159">
        <v>0</v>
      </c>
      <c r="AD5" s="159">
        <v>0</v>
      </c>
      <c r="AE5" s="159">
        <v>0</v>
      </c>
      <c r="AF5" s="159">
        <v>0</v>
      </c>
      <c r="AG5" s="159">
        <v>0</v>
      </c>
      <c r="AH5" s="159">
        <v>0</v>
      </c>
      <c r="AI5" s="159">
        <v>0</v>
      </c>
      <c r="AJ5" s="159">
        <v>0</v>
      </c>
    </row>
    <row r="6" spans="1:36">
      <c r="A6" s="161" t="s">
        <v>227</v>
      </c>
      <c r="B6" s="162" t="s">
        <v>299</v>
      </c>
      <c r="C6" s="163" t="s">
        <v>225</v>
      </c>
      <c r="D6" s="163" t="s">
        <v>228</v>
      </c>
      <c r="E6" s="164">
        <v>9.9000000000000005E-2</v>
      </c>
      <c r="F6" s="165">
        <v>120</v>
      </c>
      <c r="G6" s="166">
        <v>45459</v>
      </c>
      <c r="H6" s="167">
        <v>19810.951029512402</v>
      </c>
      <c r="I6" s="167">
        <v>19995.58311</v>
      </c>
      <c r="J6" s="167">
        <v>20205.2143</v>
      </c>
      <c r="K6" s="167">
        <v>20393.779454462514</v>
      </c>
      <c r="L6" s="167">
        <v>20547.4595016483</v>
      </c>
      <c r="M6" s="168">
        <v>20700.607203487045</v>
      </c>
      <c r="N6" s="167">
        <v>20852.793961108408</v>
      </c>
      <c r="O6" s="167">
        <v>20959.435382219603</v>
      </c>
      <c r="P6" s="167">
        <v>20991.989171833502</v>
      </c>
      <c r="Q6" s="167">
        <v>20994.29609188094</v>
      </c>
      <c r="R6" s="167">
        <v>21036.418421207676</v>
      </c>
      <c r="S6" s="167">
        <v>21029.805699961344</v>
      </c>
      <c r="T6" s="167">
        <v>20975.340701105444</v>
      </c>
      <c r="U6" s="167">
        <v>21043.517651076556</v>
      </c>
      <c r="V6" s="167">
        <v>21421.00551374003</v>
      </c>
      <c r="W6" s="167">
        <v>21794.935601277273</v>
      </c>
      <c r="X6" s="167">
        <v>22154.432292361573</v>
      </c>
      <c r="Y6" s="167">
        <v>22517.988199011157</v>
      </c>
      <c r="Z6" s="167">
        <v>22882.387902189679</v>
      </c>
      <c r="AA6" s="167">
        <v>0</v>
      </c>
      <c r="AB6" s="167">
        <v>0</v>
      </c>
      <c r="AC6" s="167">
        <v>0</v>
      </c>
      <c r="AD6" s="167">
        <v>0</v>
      </c>
      <c r="AE6" s="167">
        <v>0</v>
      </c>
      <c r="AF6" s="167">
        <v>0</v>
      </c>
      <c r="AG6" s="167">
        <v>0</v>
      </c>
      <c r="AH6" s="167">
        <v>0</v>
      </c>
      <c r="AI6" s="167">
        <v>0</v>
      </c>
      <c r="AJ6" s="167">
        <v>0</v>
      </c>
    </row>
    <row r="7" spans="1:36">
      <c r="A7" s="153" t="s">
        <v>119</v>
      </c>
      <c r="B7" s="154" t="s">
        <v>299</v>
      </c>
      <c r="C7" s="155" t="s">
        <v>225</v>
      </c>
      <c r="D7" s="155" t="s">
        <v>228</v>
      </c>
      <c r="E7" s="156">
        <v>9.9000000000000005E-2</v>
      </c>
      <c r="F7" s="157">
        <v>120</v>
      </c>
      <c r="G7" s="158">
        <v>45459</v>
      </c>
      <c r="H7" s="159">
        <v>7618.4979788193004</v>
      </c>
      <c r="I7" s="159">
        <v>7690.6086999999998</v>
      </c>
      <c r="J7" s="159">
        <v>7771.2362199999998</v>
      </c>
      <c r="K7" s="159">
        <v>7843.4679319785619</v>
      </c>
      <c r="L7" s="159">
        <v>7902.1175932758897</v>
      </c>
      <c r="M7" s="160">
        <v>7960.5220219570838</v>
      </c>
      <c r="N7" s="159">
        <v>8018.5249758294049</v>
      </c>
      <c r="O7" s="159">
        <v>8059.4388549166597</v>
      </c>
      <c r="P7" s="159">
        <v>8071.8559525990804</v>
      </c>
      <c r="Q7" s="159">
        <v>8074.7664145417384</v>
      </c>
      <c r="R7" s="159">
        <v>8090.9673169409007</v>
      </c>
      <c r="S7" s="159">
        <v>8088.4239692356887</v>
      </c>
      <c r="T7" s="159">
        <v>8067.4758995153506</v>
      </c>
      <c r="U7" s="159">
        <v>8093.6608457689254</v>
      </c>
      <c r="V7" s="159">
        <v>8238.8854546369057</v>
      </c>
      <c r="W7" s="159">
        <v>8382.667760770466</v>
      </c>
      <c r="X7" s="159">
        <v>8520.9357112488906</v>
      </c>
      <c r="Y7" s="159">
        <v>8660.764912000046</v>
      </c>
      <c r="Z7" s="159">
        <v>8800.9186501145323</v>
      </c>
      <c r="AA7" s="159">
        <v>0</v>
      </c>
      <c r="AB7" s="159">
        <v>0</v>
      </c>
      <c r="AC7" s="159">
        <v>0</v>
      </c>
      <c r="AD7" s="159">
        <v>0</v>
      </c>
      <c r="AE7" s="159">
        <v>0</v>
      </c>
      <c r="AF7" s="159">
        <v>0</v>
      </c>
      <c r="AG7" s="159">
        <v>0</v>
      </c>
      <c r="AH7" s="159">
        <v>0</v>
      </c>
      <c r="AI7" s="159">
        <v>0</v>
      </c>
      <c r="AJ7" s="159">
        <v>0</v>
      </c>
    </row>
    <row r="8" spans="1:36">
      <c r="A8" s="161" t="s">
        <v>213</v>
      </c>
      <c r="B8" s="162" t="s">
        <v>299</v>
      </c>
      <c r="C8" s="163" t="s">
        <v>225</v>
      </c>
      <c r="D8" s="163" t="s">
        <v>228</v>
      </c>
      <c r="E8" s="164">
        <v>9.9000000000000005E-2</v>
      </c>
      <c r="F8" s="165">
        <v>120</v>
      </c>
      <c r="G8" s="166">
        <v>45459</v>
      </c>
      <c r="H8" s="167">
        <v>30249.798386297698</v>
      </c>
      <c r="I8" s="167">
        <v>30531.717290000001</v>
      </c>
      <c r="J8" s="167">
        <v>30851.80818</v>
      </c>
      <c r="K8" s="167">
        <v>31139.879307478848</v>
      </c>
      <c r="L8" s="167">
        <v>31374.536918637499</v>
      </c>
      <c r="M8" s="168">
        <v>31608.381679398648</v>
      </c>
      <c r="N8" s="167">
        <v>31840.759152254574</v>
      </c>
      <c r="O8" s="167">
        <v>32003.592399554902</v>
      </c>
      <c r="P8" s="167">
        <v>32053.299532294797</v>
      </c>
      <c r="Q8" s="167">
        <v>32056.822021761662</v>
      </c>
      <c r="R8" s="167">
        <v>32121.13957864204</v>
      </c>
      <c r="S8" s="167">
        <v>32111.042461941859</v>
      </c>
      <c r="T8" s="167">
        <v>32028.06064807453</v>
      </c>
      <c r="U8" s="167">
        <v>32131.832809806769</v>
      </c>
      <c r="V8" s="167">
        <v>32708.556536938206</v>
      </c>
      <c r="W8" s="167">
        <v>33279.19022155118</v>
      </c>
      <c r="X8" s="167">
        <v>33828.113981490431</v>
      </c>
      <c r="Y8" s="167">
        <v>34383.235886638475</v>
      </c>
      <c r="Z8" s="167">
        <v>34939.64620418234</v>
      </c>
      <c r="AA8" s="167">
        <v>0</v>
      </c>
      <c r="AB8" s="167">
        <v>0</v>
      </c>
      <c r="AC8" s="167">
        <v>0</v>
      </c>
      <c r="AD8" s="167">
        <v>0</v>
      </c>
      <c r="AE8" s="167">
        <v>0</v>
      </c>
      <c r="AF8" s="167">
        <v>0</v>
      </c>
      <c r="AG8" s="167">
        <v>0</v>
      </c>
      <c r="AH8" s="167">
        <v>0</v>
      </c>
      <c r="AI8" s="167">
        <v>0</v>
      </c>
      <c r="AJ8" s="167">
        <v>0</v>
      </c>
    </row>
    <row r="9" spans="1:36">
      <c r="A9" s="153" t="s">
        <v>82</v>
      </c>
      <c r="B9" s="154" t="s">
        <v>299</v>
      </c>
      <c r="C9" s="155" t="s">
        <v>225</v>
      </c>
      <c r="D9" s="155" t="s">
        <v>228</v>
      </c>
      <c r="E9" s="156">
        <v>9.9000000000000005E-2</v>
      </c>
      <c r="F9" s="157">
        <v>120</v>
      </c>
      <c r="G9" s="158">
        <v>45459</v>
      </c>
      <c r="H9" s="159">
        <v>13334.293861791501</v>
      </c>
      <c r="I9" s="159">
        <v>13458.565359999999</v>
      </c>
      <c r="J9" s="159">
        <v>13599.663400000001</v>
      </c>
      <c r="K9" s="159">
        <v>13726.646908652809</v>
      </c>
      <c r="L9" s="159">
        <v>13830.0854011722</v>
      </c>
      <c r="M9" s="160">
        <v>13933.165584326185</v>
      </c>
      <c r="N9" s="159">
        <v>14035.598978107906</v>
      </c>
      <c r="O9" s="159">
        <v>14107.3768571617</v>
      </c>
      <c r="P9" s="159">
        <v>14129.288061544501</v>
      </c>
      <c r="Q9" s="159">
        <v>14130.84079618014</v>
      </c>
      <c r="R9" s="159">
        <v>14159.192363782786</v>
      </c>
      <c r="S9" s="159">
        <v>14154.74149374664</v>
      </c>
      <c r="T9" s="159">
        <v>14118.082360177294</v>
      </c>
      <c r="U9" s="159">
        <v>14163.90600459471</v>
      </c>
      <c r="V9" s="159">
        <v>14418.049058387718</v>
      </c>
      <c r="W9" s="159">
        <v>14669.668082101127</v>
      </c>
      <c r="X9" s="159">
        <v>14911.636978802158</v>
      </c>
      <c r="Y9" s="159">
        <v>15156.338067625788</v>
      </c>
      <c r="Z9" s="159">
        <v>15401.607096381238</v>
      </c>
      <c r="AA9" s="159">
        <v>0</v>
      </c>
      <c r="AB9" s="159">
        <v>0</v>
      </c>
      <c r="AC9" s="159">
        <v>0</v>
      </c>
      <c r="AD9" s="159">
        <v>0</v>
      </c>
      <c r="AE9" s="159">
        <v>0</v>
      </c>
      <c r="AF9" s="159">
        <v>0</v>
      </c>
      <c r="AG9" s="159">
        <v>0</v>
      </c>
      <c r="AH9" s="159">
        <v>0</v>
      </c>
      <c r="AI9" s="159">
        <v>0</v>
      </c>
      <c r="AJ9" s="159">
        <v>0</v>
      </c>
    </row>
    <row r="10" spans="1:36">
      <c r="A10" s="161" t="s">
        <v>78</v>
      </c>
      <c r="B10" s="162" t="s">
        <v>375</v>
      </c>
      <c r="C10" s="163" t="s">
        <v>225</v>
      </c>
      <c r="D10" s="163" t="s">
        <v>228</v>
      </c>
      <c r="E10" s="164">
        <v>9.9000000000000005E-2</v>
      </c>
      <c r="F10" s="165">
        <v>120</v>
      </c>
      <c r="G10" s="166">
        <v>42880</v>
      </c>
      <c r="H10" s="167">
        <v>33857.737586702038</v>
      </c>
      <c r="I10" s="167">
        <v>33371.451228074606</v>
      </c>
      <c r="J10" s="167">
        <v>32917.952268493638</v>
      </c>
      <c r="K10" s="167">
        <v>32412.304837098902</v>
      </c>
      <c r="L10" s="167">
        <v>31855.399263573501</v>
      </c>
      <c r="M10" s="168">
        <v>31292.292187242652</v>
      </c>
      <c r="N10" s="167">
        <v>30719.167187571555</v>
      </c>
      <c r="O10" s="167">
        <v>30087.6952690506</v>
      </c>
      <c r="P10" s="167">
        <v>29375.8823353433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167">
        <v>0</v>
      </c>
      <c r="W10" s="167">
        <v>0</v>
      </c>
      <c r="X10" s="167">
        <v>0</v>
      </c>
      <c r="Y10" s="167">
        <v>0</v>
      </c>
      <c r="Z10" s="167">
        <v>0</v>
      </c>
      <c r="AA10" s="167">
        <v>0</v>
      </c>
      <c r="AB10" s="167">
        <v>0</v>
      </c>
      <c r="AC10" s="167">
        <v>0</v>
      </c>
      <c r="AD10" s="167">
        <v>0</v>
      </c>
      <c r="AE10" s="167">
        <v>0</v>
      </c>
      <c r="AF10" s="167">
        <v>0</v>
      </c>
      <c r="AG10" s="167">
        <v>0</v>
      </c>
      <c r="AH10" s="167">
        <v>0</v>
      </c>
      <c r="AI10" s="167">
        <v>0</v>
      </c>
      <c r="AJ10" s="167">
        <v>0</v>
      </c>
    </row>
    <row r="11" spans="1:36">
      <c r="A11" s="153" t="s">
        <v>75</v>
      </c>
      <c r="B11" s="154" t="s">
        <v>375</v>
      </c>
      <c r="C11" s="155" t="s">
        <v>225</v>
      </c>
      <c r="D11" s="155" t="s">
        <v>228</v>
      </c>
      <c r="E11" s="156">
        <v>9.9000000000000005E-2</v>
      </c>
      <c r="F11" s="157">
        <v>120</v>
      </c>
      <c r="G11" s="158">
        <v>42880</v>
      </c>
      <c r="H11" s="159">
        <v>2975.5112985403425</v>
      </c>
      <c r="I11" s="159">
        <v>2784.9794436353186</v>
      </c>
      <c r="J11" s="159">
        <v>2599.6735373728775</v>
      </c>
      <c r="K11" s="159">
        <v>2411.9780179123572</v>
      </c>
      <c r="L11" s="159">
        <v>2207.2003845245999</v>
      </c>
      <c r="M11" s="160">
        <v>1995.4590431375043</v>
      </c>
      <c r="N11" s="159">
        <v>1776.1459477766123</v>
      </c>
      <c r="O11" s="159">
        <v>1546.3410413414147</v>
      </c>
      <c r="P11" s="159">
        <v>1305.1603772295198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</row>
    <row r="12" spans="1:36">
      <c r="A12" s="161" t="s">
        <v>94</v>
      </c>
      <c r="B12" s="162" t="s">
        <v>299</v>
      </c>
      <c r="C12" s="163" t="s">
        <v>225</v>
      </c>
      <c r="D12" s="163" t="s">
        <v>228</v>
      </c>
      <c r="E12" s="164">
        <v>9.9000000000000005E-2</v>
      </c>
      <c r="F12" s="165">
        <v>120</v>
      </c>
      <c r="G12" s="166">
        <v>45459</v>
      </c>
      <c r="H12" s="167">
        <v>26389.4015252639</v>
      </c>
      <c r="I12" s="167">
        <v>26635.341809999998</v>
      </c>
      <c r="J12" s="167">
        <v>26914.583409999999</v>
      </c>
      <c r="K12" s="167">
        <v>27164.925841857585</v>
      </c>
      <c r="L12" s="167">
        <v>27369.638567862101</v>
      </c>
      <c r="M12" s="168">
        <v>27573.639195140106</v>
      </c>
      <c r="N12" s="167">
        <v>27776.361276928241</v>
      </c>
      <c r="O12" s="167">
        <v>27918.415702030201</v>
      </c>
      <c r="P12" s="167">
        <v>27961.777822586802</v>
      </c>
      <c r="Q12" s="167">
        <v>27964.850781376688</v>
      </c>
      <c r="R12" s="167">
        <v>28020.960303810483</v>
      </c>
      <c r="S12" s="167">
        <v>28012.153280179831</v>
      </c>
      <c r="T12" s="167">
        <v>27939.602562057309</v>
      </c>
      <c r="U12" s="167">
        <v>28031.255843654511</v>
      </c>
      <c r="V12" s="167">
        <v>28533.255425598443</v>
      </c>
      <c r="W12" s="167">
        <v>29032.190640242126</v>
      </c>
      <c r="X12" s="167">
        <v>29511.062269595262</v>
      </c>
      <c r="Y12" s="167">
        <v>29995.341033633769</v>
      </c>
      <c r="Z12" s="167">
        <v>30480.743782880309</v>
      </c>
      <c r="AA12" s="167">
        <v>0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</row>
    <row r="13" spans="1:36">
      <c r="A13" s="153" t="s">
        <v>83</v>
      </c>
      <c r="B13" s="154" t="s">
        <v>299</v>
      </c>
      <c r="C13" s="155" t="s">
        <v>225</v>
      </c>
      <c r="D13" s="155" t="s">
        <v>228</v>
      </c>
      <c r="E13" s="156">
        <v>9.9000000000000005E-2</v>
      </c>
      <c r="F13" s="157">
        <v>120</v>
      </c>
      <c r="G13" s="158">
        <v>45459</v>
      </c>
      <c r="H13" s="159">
        <v>6950.015217778614</v>
      </c>
      <c r="I13" s="159">
        <v>7014.7872600000001</v>
      </c>
      <c r="J13" s="159">
        <v>7088.3292200000005</v>
      </c>
      <c r="K13" s="159">
        <v>7154.260381510705</v>
      </c>
      <c r="L13" s="159">
        <v>7208.1744201676293</v>
      </c>
      <c r="M13" s="160">
        <v>7261.9007151646501</v>
      </c>
      <c r="N13" s="159">
        <v>7315.2903887523726</v>
      </c>
      <c r="O13" s="159">
        <v>7352.7024963343574</v>
      </c>
      <c r="P13" s="159">
        <v>7364.1229139041898</v>
      </c>
      <c r="Q13" s="159">
        <v>7364.9322203030724</v>
      </c>
      <c r="R13" s="159">
        <v>7379.7094427288421</v>
      </c>
      <c r="S13" s="159">
        <v>7377.3895887640056</v>
      </c>
      <c r="T13" s="159">
        <v>7358.2823500291815</v>
      </c>
      <c r="U13" s="159">
        <v>7382.4203461130437</v>
      </c>
      <c r="V13" s="159">
        <v>7514.6290778647435</v>
      </c>
      <c r="W13" s="159">
        <v>7646.0304257736889</v>
      </c>
      <c r="X13" s="159">
        <v>7772.1479280111935</v>
      </c>
      <c r="Y13" s="159">
        <v>7899.6894666612861</v>
      </c>
      <c r="Z13" s="159">
        <v>8027.5270285189754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</row>
    <row r="14" spans="1:36">
      <c r="A14" s="161" t="s">
        <v>376</v>
      </c>
      <c r="B14" s="162" t="s">
        <v>299</v>
      </c>
      <c r="C14" s="163" t="s">
        <v>225</v>
      </c>
      <c r="D14" s="163" t="s">
        <v>228</v>
      </c>
      <c r="E14" s="164">
        <v>9.9000000000000005E-2</v>
      </c>
      <c r="F14" s="165">
        <v>120</v>
      </c>
      <c r="G14" s="166">
        <v>45459</v>
      </c>
      <c r="H14" s="167">
        <v>6239.2388833203504</v>
      </c>
      <c r="I14" s="167">
        <v>6297.3867300000002</v>
      </c>
      <c r="J14" s="167">
        <v>6363.4077100000004</v>
      </c>
      <c r="K14" s="167">
        <v>6422.5957921451018</v>
      </c>
      <c r="L14" s="167">
        <v>6470.9960554257505</v>
      </c>
      <c r="M14" s="168">
        <v>6519.2277755441137</v>
      </c>
      <c r="N14" s="167">
        <v>6567.157300441293</v>
      </c>
      <c r="O14" s="167">
        <v>6600.7432810496966</v>
      </c>
      <c r="P14" s="167">
        <v>6610.9957353440705</v>
      </c>
      <c r="Q14" s="167">
        <v>6611.7222741780424</v>
      </c>
      <c r="R14" s="167">
        <v>6624.9882337273784</v>
      </c>
      <c r="S14" s="167">
        <v>6622.9056306527837</v>
      </c>
      <c r="T14" s="167">
        <v>6604.33884448956</v>
      </c>
      <c r="U14" s="167">
        <v>6627.4220442443047</v>
      </c>
      <c r="V14" s="167">
        <v>6744.6960249083595</v>
      </c>
      <c r="W14" s="167">
        <v>6864.0727777468528</v>
      </c>
      <c r="X14" s="167">
        <v>6977.292271359097</v>
      </c>
      <c r="Y14" s="167">
        <v>7091.7901642492352</v>
      </c>
      <c r="Z14" s="167">
        <v>7206.5538014797157</v>
      </c>
      <c r="AA14" s="167">
        <v>0</v>
      </c>
      <c r="AB14" s="167">
        <v>0</v>
      </c>
      <c r="AC14" s="167">
        <v>0</v>
      </c>
      <c r="AD14" s="167">
        <v>0</v>
      </c>
      <c r="AE14" s="167">
        <v>0</v>
      </c>
      <c r="AF14" s="167">
        <v>0</v>
      </c>
      <c r="AG14" s="167">
        <v>0</v>
      </c>
      <c r="AH14" s="167">
        <v>0</v>
      </c>
      <c r="AI14" s="167">
        <v>0</v>
      </c>
      <c r="AJ14" s="167">
        <v>0</v>
      </c>
    </row>
    <row r="15" spans="1:36">
      <c r="A15" s="153" t="s">
        <v>80</v>
      </c>
      <c r="B15" s="154" t="s">
        <v>375</v>
      </c>
      <c r="C15" s="155" t="s">
        <v>225</v>
      </c>
      <c r="D15" s="155" t="s">
        <v>228</v>
      </c>
      <c r="E15" s="156">
        <v>9.9000000000000005E-2</v>
      </c>
      <c r="F15" s="157">
        <v>120</v>
      </c>
      <c r="G15" s="158">
        <v>42933</v>
      </c>
      <c r="H15" s="159">
        <v>16137.751079791002</v>
      </c>
      <c r="I15" s="159">
        <v>15651.690279999999</v>
      </c>
      <c r="J15" s="159">
        <v>15172.66202</v>
      </c>
      <c r="K15" s="159">
        <v>14669.416529172999</v>
      </c>
      <c r="L15" s="159">
        <v>14124.9169502933</v>
      </c>
      <c r="M15" s="160">
        <v>13562.683080638944</v>
      </c>
      <c r="N15" s="159">
        <v>12985.349046701418</v>
      </c>
      <c r="O15" s="159">
        <v>12367.355879193117</v>
      </c>
      <c r="P15" s="159">
        <v>11695.1920225702</v>
      </c>
      <c r="Q15" s="159">
        <v>10986.049933172622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</row>
    <row r="16" spans="1:36">
      <c r="A16" s="161" t="s">
        <v>85</v>
      </c>
      <c r="B16" s="162" t="s">
        <v>299</v>
      </c>
      <c r="C16" s="163" t="s">
        <v>225</v>
      </c>
      <c r="D16" s="163" t="s">
        <v>228</v>
      </c>
      <c r="E16" s="164">
        <v>9.9000000000000005E-2</v>
      </c>
      <c r="F16" s="165">
        <v>120</v>
      </c>
      <c r="G16" s="166">
        <v>45459</v>
      </c>
      <c r="H16" s="167">
        <v>8439.1128096811008</v>
      </c>
      <c r="I16" s="167">
        <v>8517.7628700000005</v>
      </c>
      <c r="J16" s="167">
        <v>8607.0619400000014</v>
      </c>
      <c r="K16" s="167">
        <v>8687.1195588008195</v>
      </c>
      <c r="L16" s="167">
        <v>8752.5845257711389</v>
      </c>
      <c r="M16" s="168">
        <v>8817.8227230911725</v>
      </c>
      <c r="N16" s="167">
        <v>8882.6515752645446</v>
      </c>
      <c r="O16" s="167">
        <v>8928.0789240880167</v>
      </c>
      <c r="P16" s="167">
        <v>8941.946259508939</v>
      </c>
      <c r="Q16" s="167">
        <v>8942.9289664216267</v>
      </c>
      <c r="R16" s="167">
        <v>8937.0023195880585</v>
      </c>
      <c r="S16" s="167">
        <v>8934.1854179414022</v>
      </c>
      <c r="T16" s="167">
        <v>8910.9842970644022</v>
      </c>
      <c r="U16" s="167">
        <v>8964.1642702544959</v>
      </c>
      <c r="V16" s="167">
        <v>9100.8295879235211</v>
      </c>
      <c r="W16" s="167">
        <v>9284.2549692552057</v>
      </c>
      <c r="X16" s="167">
        <v>9437.3941916229596</v>
      </c>
      <c r="Y16" s="167">
        <v>9592.2625488832218</v>
      </c>
      <c r="Z16" s="167">
        <v>9747.4903492678695</v>
      </c>
      <c r="AA16" s="167">
        <v>0</v>
      </c>
      <c r="AB16" s="167">
        <v>0</v>
      </c>
      <c r="AC16" s="167">
        <v>0</v>
      </c>
      <c r="AD16" s="167">
        <v>0</v>
      </c>
      <c r="AE16" s="167">
        <v>0</v>
      </c>
      <c r="AF16" s="167">
        <v>0</v>
      </c>
      <c r="AG16" s="167">
        <v>0</v>
      </c>
      <c r="AH16" s="167">
        <v>0</v>
      </c>
      <c r="AI16" s="167">
        <v>0</v>
      </c>
      <c r="AJ16" s="167">
        <v>0</v>
      </c>
    </row>
    <row r="17" spans="1:36">
      <c r="A17" s="153" t="s">
        <v>88</v>
      </c>
      <c r="B17" s="154" t="s">
        <v>299</v>
      </c>
      <c r="C17" s="155" t="s">
        <v>225</v>
      </c>
      <c r="D17" s="155" t="s">
        <v>228</v>
      </c>
      <c r="E17" s="156">
        <v>9.9000000000000005E-2</v>
      </c>
      <c r="F17" s="157">
        <v>120</v>
      </c>
      <c r="G17" s="158">
        <v>45459</v>
      </c>
      <c r="H17" s="159">
        <v>1982.0945676466936</v>
      </c>
      <c r="I17" s="159">
        <v>1999.7548000000002</v>
      </c>
      <c r="J17" s="159">
        <v>2020.7198699999999</v>
      </c>
      <c r="K17" s="159">
        <v>2039.7872863726973</v>
      </c>
      <c r="L17" s="159">
        <v>2055.1588495732499</v>
      </c>
      <c r="M17" s="160">
        <v>2070.4771659125781</v>
      </c>
      <c r="N17" s="159">
        <v>2085.6993655793735</v>
      </c>
      <c r="O17" s="159">
        <v>2096.3659769868182</v>
      </c>
      <c r="P17" s="159">
        <v>2099.6221097355401</v>
      </c>
      <c r="Q17" s="159">
        <v>2099.5727582414333</v>
      </c>
      <c r="R17" s="159">
        <v>2103.7853993941831</v>
      </c>
      <c r="S17" s="159">
        <v>2103.1240567891555</v>
      </c>
      <c r="T17" s="159">
        <v>2097.6770163699321</v>
      </c>
      <c r="U17" s="159">
        <v>2104.5582470673207</v>
      </c>
      <c r="V17" s="159">
        <v>2142.2478659725448</v>
      </c>
      <c r="W17" s="159">
        <v>2179.7074158496312</v>
      </c>
      <c r="X17" s="159">
        <v>2215.6606109734557</v>
      </c>
      <c r="Y17" s="159">
        <v>2252.0197685941771</v>
      </c>
      <c r="Z17" s="159">
        <v>2288.4633141462054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</row>
    <row r="18" spans="1:36">
      <c r="A18" s="161" t="s">
        <v>89</v>
      </c>
      <c r="B18" s="162" t="s">
        <v>299</v>
      </c>
      <c r="C18" s="163" t="s">
        <v>225</v>
      </c>
      <c r="D18" s="163" t="s">
        <v>228</v>
      </c>
      <c r="E18" s="164">
        <v>9.9000000000000005E-2</v>
      </c>
      <c r="F18" s="165">
        <v>120</v>
      </c>
      <c r="G18" s="166">
        <v>45459</v>
      </c>
      <c r="H18" s="167">
        <v>7638.2910142948185</v>
      </c>
      <c r="I18" s="167">
        <v>7709.4776199999997</v>
      </c>
      <c r="J18" s="167">
        <v>7790.3027200000006</v>
      </c>
      <c r="K18" s="167">
        <v>7864.4283926131293</v>
      </c>
      <c r="L18" s="167">
        <v>7923.6811221639</v>
      </c>
      <c r="M18" s="168">
        <v>7982.7286011603646</v>
      </c>
      <c r="N18" s="167">
        <v>8041.4055794388005</v>
      </c>
      <c r="O18" s="167">
        <v>8082.522142061769</v>
      </c>
      <c r="P18" s="167">
        <v>8095.0735495291901</v>
      </c>
      <c r="Q18" s="167">
        <v>8095.9630033793928</v>
      </c>
      <c r="R18" s="167">
        <v>8112.2036477138463</v>
      </c>
      <c r="S18" s="167">
        <v>8109.6540533404777</v>
      </c>
      <c r="T18" s="167">
        <v>8088.654581344671</v>
      </c>
      <c r="U18" s="167">
        <v>8113.5182027191086</v>
      </c>
      <c r="V18" s="167">
        <v>8260.4846791260261</v>
      </c>
      <c r="W18" s="167">
        <v>8403.2341912447828</v>
      </c>
      <c r="X18" s="167">
        <v>8541.8413951688035</v>
      </c>
      <c r="Y18" s="167">
        <v>8682.0136630762354</v>
      </c>
      <c r="Z18" s="167">
        <v>8822.5112650856099</v>
      </c>
      <c r="AA18" s="167">
        <v>0</v>
      </c>
      <c r="AB18" s="167">
        <v>0</v>
      </c>
      <c r="AC18" s="167">
        <v>0</v>
      </c>
      <c r="AD18" s="167">
        <v>0</v>
      </c>
      <c r="AE18" s="167">
        <v>0</v>
      </c>
      <c r="AF18" s="167">
        <v>0</v>
      </c>
      <c r="AG18" s="167">
        <v>0</v>
      </c>
      <c r="AH18" s="167">
        <v>0</v>
      </c>
      <c r="AI18" s="167">
        <v>0</v>
      </c>
      <c r="AJ18" s="167">
        <v>0</v>
      </c>
    </row>
    <row r="19" spans="1:36">
      <c r="A19" s="153" t="s">
        <v>229</v>
      </c>
      <c r="B19" s="154" t="s">
        <v>299</v>
      </c>
      <c r="C19" s="155" t="s">
        <v>225</v>
      </c>
      <c r="D19" s="155" t="s">
        <v>228</v>
      </c>
      <c r="E19" s="156">
        <v>9.9000000000000005E-2</v>
      </c>
      <c r="F19" s="157">
        <v>120</v>
      </c>
      <c r="G19" s="158">
        <v>45459</v>
      </c>
      <c r="H19" s="159">
        <v>2184.7669295957649</v>
      </c>
      <c r="I19" s="159">
        <v>2205.1282999999999</v>
      </c>
      <c r="J19" s="159">
        <v>2228.2464199999999</v>
      </c>
      <c r="K19" s="159">
        <v>2248.9723687234105</v>
      </c>
      <c r="L19" s="159">
        <v>2265.9203226267796</v>
      </c>
      <c r="M19" s="160">
        <v>2282.8095690755026</v>
      </c>
      <c r="N19" s="159">
        <v>2299.5928418562103</v>
      </c>
      <c r="O19" s="159">
        <v>2311.3533398667219</v>
      </c>
      <c r="P19" s="159">
        <v>2314.9433968445701</v>
      </c>
      <c r="Q19" s="159">
        <v>2315.1978057632264</v>
      </c>
      <c r="R19" s="159">
        <v>2319.8430886662791</v>
      </c>
      <c r="S19" s="159">
        <v>2319.1138326768964</v>
      </c>
      <c r="T19" s="159">
        <v>2313.1073906770366</v>
      </c>
      <c r="U19" s="159">
        <v>2320.6953255381454</v>
      </c>
      <c r="V19" s="159">
        <v>2362.255650993297</v>
      </c>
      <c r="W19" s="159">
        <v>2403.5622796148473</v>
      </c>
      <c r="X19" s="159">
        <v>2443.2078611171487</v>
      </c>
      <c r="Y19" s="159">
        <v>2483.3010880965185</v>
      </c>
      <c r="Z19" s="159">
        <v>2523.4873698162296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</row>
    <row r="20" spans="1:36">
      <c r="A20" s="161" t="s">
        <v>230</v>
      </c>
      <c r="B20" s="162" t="s">
        <v>299</v>
      </c>
      <c r="C20" s="163" t="s">
        <v>225</v>
      </c>
      <c r="D20" s="163" t="s">
        <v>228</v>
      </c>
      <c r="E20" s="164">
        <v>9.9000000000000005E-2</v>
      </c>
      <c r="F20" s="165">
        <v>120</v>
      </c>
      <c r="G20" s="166">
        <v>45459</v>
      </c>
      <c r="H20" s="167">
        <v>4024.3248641293594</v>
      </c>
      <c r="I20" s="167">
        <v>4061.8302599999997</v>
      </c>
      <c r="J20" s="167">
        <v>4104.4139599999999</v>
      </c>
      <c r="K20" s="167">
        <v>4142.590818082419</v>
      </c>
      <c r="L20" s="167">
        <v>4173.8088264500602</v>
      </c>
      <c r="M20" s="168">
        <v>4204.9186961113328</v>
      </c>
      <c r="N20" s="167">
        <v>4235.8333630435</v>
      </c>
      <c r="O20" s="167">
        <v>4257.496115219541</v>
      </c>
      <c r="P20" s="167">
        <v>4264.10897417666</v>
      </c>
      <c r="Q20" s="167">
        <v>4264.577593562617</v>
      </c>
      <c r="R20" s="167">
        <v>4273.1341710329325</v>
      </c>
      <c r="S20" s="167">
        <v>4271.7908867811293</v>
      </c>
      <c r="T20" s="167">
        <v>4260.727064110828</v>
      </c>
      <c r="U20" s="167">
        <v>4274.703985179739</v>
      </c>
      <c r="V20" s="167">
        <v>4351.2578037243302</v>
      </c>
      <c r="W20" s="167">
        <v>4427.3443145384572</v>
      </c>
      <c r="X20" s="167">
        <v>4500.3711718644945</v>
      </c>
      <c r="Y20" s="167">
        <v>4574.2226056401378</v>
      </c>
      <c r="Z20" s="167">
        <v>4648.2454455736706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</row>
    <row r="21" spans="1:36">
      <c r="A21" s="153" t="s">
        <v>86</v>
      </c>
      <c r="B21" s="154" t="s">
        <v>299</v>
      </c>
      <c r="C21" s="155" t="s">
        <v>225</v>
      </c>
      <c r="D21" s="155" t="s">
        <v>228</v>
      </c>
      <c r="E21" s="156">
        <v>9.9000000000000005E-2</v>
      </c>
      <c r="F21" s="157">
        <v>120</v>
      </c>
      <c r="G21" s="158">
        <v>45459</v>
      </c>
      <c r="H21" s="159">
        <v>2752.4246523036727</v>
      </c>
      <c r="I21" s="159">
        <v>2778.0764100000001</v>
      </c>
      <c r="J21" s="159">
        <v>2807.2014399999998</v>
      </c>
      <c r="K21" s="159">
        <v>2833.312288908287</v>
      </c>
      <c r="L21" s="159">
        <v>2854.6637500173997</v>
      </c>
      <c r="M21" s="160">
        <v>2875.9412499898554</v>
      </c>
      <c r="N21" s="159">
        <v>2897.085241654223</v>
      </c>
      <c r="O21" s="159">
        <v>2911.9014145873639</v>
      </c>
      <c r="P21" s="159">
        <v>2916.4242591961597</v>
      </c>
      <c r="Q21" s="159">
        <v>2916.7447699884069</v>
      </c>
      <c r="R21" s="159">
        <v>2922.5970149148948</v>
      </c>
      <c r="S21" s="159">
        <v>2921.6782797693627</v>
      </c>
      <c r="T21" s="159">
        <v>2914.1112121755186</v>
      </c>
      <c r="U21" s="159">
        <v>2923.670684487583</v>
      </c>
      <c r="V21" s="159">
        <v>2976.0294339683319</v>
      </c>
      <c r="W21" s="159">
        <v>3028.0685697595977</v>
      </c>
      <c r="X21" s="159">
        <v>3078.0150647155151</v>
      </c>
      <c r="Y21" s="159">
        <v>3128.525526419015</v>
      </c>
      <c r="Z21" s="159">
        <v>3179.1532208386761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</row>
    <row r="22" spans="1:36">
      <c r="A22" s="161" t="s">
        <v>231</v>
      </c>
      <c r="B22" s="162" t="s">
        <v>299</v>
      </c>
      <c r="C22" s="163" t="s">
        <v>225</v>
      </c>
      <c r="D22" s="163" t="s">
        <v>228</v>
      </c>
      <c r="E22" s="164">
        <v>9.9000000000000005E-2</v>
      </c>
      <c r="F22" s="165">
        <v>120</v>
      </c>
      <c r="G22" s="166">
        <v>45459</v>
      </c>
      <c r="H22" s="167">
        <v>647.88637548710403</v>
      </c>
      <c r="I22" s="167">
        <v>653.92432999999994</v>
      </c>
      <c r="J22" s="167">
        <v>660.78016999999988</v>
      </c>
      <c r="K22" s="167">
        <v>667.00876456686149</v>
      </c>
      <c r="L22" s="167">
        <v>672.034631755546</v>
      </c>
      <c r="M22" s="168">
        <v>677.04308941669967</v>
      </c>
      <c r="N22" s="167">
        <v>682.02012089012828</v>
      </c>
      <c r="O22" s="167">
        <v>685.50766289139926</v>
      </c>
      <c r="P22" s="167">
        <v>686.572284005744</v>
      </c>
      <c r="Q22" s="167">
        <v>686.64772824190777</v>
      </c>
      <c r="R22" s="167">
        <v>688.02527358205441</v>
      </c>
      <c r="S22" s="167">
        <v>687.80901480709633</v>
      </c>
      <c r="T22" s="167">
        <v>686.02782163534573</v>
      </c>
      <c r="U22" s="167">
        <v>688.19555198547675</v>
      </c>
      <c r="V22" s="167">
        <v>700.6025974644956</v>
      </c>
      <c r="W22" s="167">
        <v>712.76950987413068</v>
      </c>
      <c r="X22" s="167">
        <v>724.52629006603422</v>
      </c>
      <c r="Y22" s="167">
        <v>736.41582169403773</v>
      </c>
      <c r="Z22" s="167">
        <v>748.33294843876786</v>
      </c>
      <c r="AA22" s="167">
        <v>0</v>
      </c>
      <c r="AB22" s="167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0</v>
      </c>
      <c r="AI22" s="167">
        <v>0</v>
      </c>
      <c r="AJ22" s="167">
        <v>0</v>
      </c>
    </row>
    <row r="23" spans="1:36">
      <c r="A23" s="153" t="s">
        <v>87</v>
      </c>
      <c r="B23" s="154" t="s">
        <v>299</v>
      </c>
      <c r="C23" s="155" t="s">
        <v>225</v>
      </c>
      <c r="D23" s="155" t="s">
        <v>228</v>
      </c>
      <c r="E23" s="156">
        <v>9.9000000000000005E-2</v>
      </c>
      <c r="F23" s="157">
        <v>120</v>
      </c>
      <c r="G23" s="158">
        <v>45459</v>
      </c>
      <c r="H23" s="159">
        <v>1794.0932541000598</v>
      </c>
      <c r="I23" s="159">
        <v>1810.8136200000001</v>
      </c>
      <c r="J23" s="159">
        <v>1829.7980699999998</v>
      </c>
      <c r="K23" s="159">
        <v>1846.8176631228373</v>
      </c>
      <c r="L23" s="159">
        <v>1860.7350331438399</v>
      </c>
      <c r="M23" s="160">
        <v>1874.6041936066874</v>
      </c>
      <c r="N23" s="159">
        <v>1888.3863303049764</v>
      </c>
      <c r="O23" s="159">
        <v>1898.0438502260683</v>
      </c>
      <c r="P23" s="159">
        <v>1900.99194364443</v>
      </c>
      <c r="Q23" s="159">
        <v>1901.2008598993207</v>
      </c>
      <c r="R23" s="159">
        <v>1905.015486808423</v>
      </c>
      <c r="S23" s="159">
        <v>1904.4166342565375</v>
      </c>
      <c r="T23" s="159">
        <v>1899.4842467660851</v>
      </c>
      <c r="U23" s="159">
        <v>1905.715329158649</v>
      </c>
      <c r="V23" s="159">
        <v>1939.8439579506878</v>
      </c>
      <c r="W23" s="159">
        <v>1973.7642552399018</v>
      </c>
      <c r="X23" s="159">
        <v>2006.3205105677675</v>
      </c>
      <c r="Y23" s="159">
        <v>2039.2443831714677</v>
      </c>
      <c r="Z23" s="159">
        <v>2072.244670737171</v>
      </c>
      <c r="AA23" s="159">
        <v>0</v>
      </c>
      <c r="AB23" s="159">
        <v>0</v>
      </c>
      <c r="AC23" s="159">
        <v>0</v>
      </c>
      <c r="AD23" s="159">
        <v>0</v>
      </c>
      <c r="AE23" s="159">
        <v>0</v>
      </c>
      <c r="AF23" s="159">
        <v>0</v>
      </c>
      <c r="AG23" s="159">
        <v>0</v>
      </c>
      <c r="AH23" s="159">
        <v>0</v>
      </c>
      <c r="AI23" s="159">
        <v>0</v>
      </c>
      <c r="AJ23" s="159">
        <v>0</v>
      </c>
    </row>
    <row r="24" spans="1:36">
      <c r="A24" s="161" t="s">
        <v>90</v>
      </c>
      <c r="B24" s="162" t="s">
        <v>299</v>
      </c>
      <c r="C24" s="163" t="s">
        <v>225</v>
      </c>
      <c r="D24" s="163" t="s">
        <v>228</v>
      </c>
      <c r="E24" s="164">
        <v>9.9000000000000005E-2</v>
      </c>
      <c r="F24" s="165">
        <v>120</v>
      </c>
      <c r="G24" s="166">
        <v>45459</v>
      </c>
      <c r="H24" s="167">
        <v>16245.681404565346</v>
      </c>
      <c r="I24" s="167">
        <v>16397.08628</v>
      </c>
      <c r="J24" s="167">
        <v>16568.991259999999</v>
      </c>
      <c r="K24" s="167">
        <v>16723.105835692637</v>
      </c>
      <c r="L24" s="167">
        <v>16849.128916618898</v>
      </c>
      <c r="M24" s="168">
        <v>16974.715455508813</v>
      </c>
      <c r="N24" s="167">
        <v>17099.51398611076</v>
      </c>
      <c r="O24" s="167">
        <v>17186.963727888542</v>
      </c>
      <c r="P24" s="167">
        <v>17213.658988191299</v>
      </c>
      <c r="Q24" s="167">
        <v>17215.550744324599</v>
      </c>
      <c r="R24" s="167">
        <v>17250.092546040276</v>
      </c>
      <c r="S24" s="167">
        <v>17244.669880443591</v>
      </c>
      <c r="T24" s="167">
        <v>17200.006652626071</v>
      </c>
      <c r="U24" s="167">
        <v>17256.429683660754</v>
      </c>
      <c r="V24" s="167">
        <v>17565.467593960591</v>
      </c>
      <c r="W24" s="167">
        <v>17872.619043111528</v>
      </c>
      <c r="X24" s="167">
        <v>18167.419050685563</v>
      </c>
      <c r="Y24" s="167">
        <v>18465.547781565012</v>
      </c>
      <c r="Z24" s="167">
        <v>18764.36845703785</v>
      </c>
      <c r="AA24" s="167">
        <v>0</v>
      </c>
      <c r="AB24" s="167">
        <v>0</v>
      </c>
      <c r="AC24" s="167">
        <v>0</v>
      </c>
      <c r="AD24" s="167">
        <v>0</v>
      </c>
      <c r="AE24" s="167">
        <v>0</v>
      </c>
      <c r="AF24" s="167">
        <v>0</v>
      </c>
      <c r="AG24" s="167">
        <v>0</v>
      </c>
      <c r="AH24" s="167">
        <v>0</v>
      </c>
      <c r="AI24" s="167">
        <v>0</v>
      </c>
      <c r="AJ24" s="167">
        <v>0</v>
      </c>
    </row>
    <row r="25" spans="1:36">
      <c r="A25" s="153" t="s">
        <v>84</v>
      </c>
      <c r="B25" s="154" t="s">
        <v>299</v>
      </c>
      <c r="C25" s="155" t="s">
        <v>225</v>
      </c>
      <c r="D25" s="155" t="s">
        <v>228</v>
      </c>
      <c r="E25" s="156">
        <v>9.9000000000000005E-2</v>
      </c>
      <c r="F25" s="157">
        <v>120</v>
      </c>
      <c r="G25" s="158">
        <v>45459</v>
      </c>
      <c r="H25" s="159">
        <v>12488.713229708319</v>
      </c>
      <c r="I25" s="159">
        <v>12605.104190000002</v>
      </c>
      <c r="J25" s="159">
        <v>12737.254640000001</v>
      </c>
      <c r="K25" s="159">
        <v>12855.728725132818</v>
      </c>
      <c r="L25" s="159">
        <v>12952.6077712509</v>
      </c>
      <c r="M25" s="160">
        <v>13049.151229826099</v>
      </c>
      <c r="N25" s="159">
        <v>13145.088914516798</v>
      </c>
      <c r="O25" s="159">
        <v>13210.7690726494</v>
      </c>
      <c r="P25" s="159">
        <v>13231.2908003757</v>
      </c>
      <c r="Q25" s="159">
        <v>13229.045069929647</v>
      </c>
      <c r="R25" s="159">
        <v>13255.598751817273</v>
      </c>
      <c r="S25" s="159">
        <v>13251.430129160513</v>
      </c>
      <c r="T25" s="159">
        <v>13217.09569712066</v>
      </c>
      <c r="U25" s="159">
        <v>13265.716366153934</v>
      </c>
      <c r="V25" s="159">
        <v>13498.040323530939</v>
      </c>
      <c r="W25" s="159">
        <v>13739.406081822974</v>
      </c>
      <c r="X25" s="159">
        <v>13966.030792356236</v>
      </c>
      <c r="Y25" s="159">
        <v>14195.214421701816</v>
      </c>
      <c r="Z25" s="159">
        <v>14424.929976879408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</row>
    <row r="26" spans="1:36">
      <c r="A26" s="161" t="s">
        <v>98</v>
      </c>
      <c r="B26" s="162" t="s">
        <v>309</v>
      </c>
      <c r="C26" s="163" t="s">
        <v>377</v>
      </c>
      <c r="D26" s="163" t="s">
        <v>228</v>
      </c>
      <c r="E26" s="164">
        <v>0.1</v>
      </c>
      <c r="F26" s="165">
        <v>120</v>
      </c>
      <c r="G26" s="166">
        <v>43089</v>
      </c>
      <c r="H26" s="167">
        <v>12915.734038184675</v>
      </c>
      <c r="I26" s="167">
        <v>12340.493352207752</v>
      </c>
      <c r="J26" s="167">
        <v>11760.216153629019</v>
      </c>
      <c r="K26" s="167">
        <v>11163.518806304251</v>
      </c>
      <c r="L26" s="167">
        <v>10528.969968714</v>
      </c>
      <c r="M26" s="168">
        <v>9874.3992692392931</v>
      </c>
      <c r="N26" s="167">
        <v>9207.3711642433045</v>
      </c>
      <c r="O26" s="167">
        <v>8510.5273305136598</v>
      </c>
      <c r="P26" s="167">
        <v>7769.20207964377</v>
      </c>
      <c r="Q26" s="167">
        <v>6993.4042548140742</v>
      </c>
      <c r="R26" s="167">
        <v>6192.9668069321278</v>
      </c>
      <c r="S26" s="167">
        <v>0</v>
      </c>
      <c r="T26" s="167">
        <v>0</v>
      </c>
      <c r="U26" s="167">
        <v>0</v>
      </c>
      <c r="V26" s="167">
        <v>0</v>
      </c>
      <c r="W26" s="167">
        <v>0</v>
      </c>
      <c r="X26" s="167">
        <v>0</v>
      </c>
      <c r="Y26" s="167">
        <v>0</v>
      </c>
      <c r="Z26" s="167">
        <v>0</v>
      </c>
      <c r="AA26" s="167">
        <v>0</v>
      </c>
      <c r="AB26" s="167">
        <v>0</v>
      </c>
      <c r="AC26" s="167">
        <v>0</v>
      </c>
      <c r="AD26" s="167">
        <v>0</v>
      </c>
      <c r="AE26" s="167">
        <v>0</v>
      </c>
      <c r="AF26" s="167">
        <v>0</v>
      </c>
      <c r="AG26" s="167">
        <v>0</v>
      </c>
      <c r="AH26" s="167">
        <v>0</v>
      </c>
      <c r="AI26" s="167">
        <v>0</v>
      </c>
      <c r="AJ26" s="167">
        <v>0</v>
      </c>
    </row>
    <row r="27" spans="1:36">
      <c r="A27" s="153" t="s">
        <v>99</v>
      </c>
      <c r="B27" s="154" t="s">
        <v>309</v>
      </c>
      <c r="C27" s="155" t="s">
        <v>377</v>
      </c>
      <c r="D27" s="155" t="s">
        <v>228</v>
      </c>
      <c r="E27" s="156">
        <v>0.1</v>
      </c>
      <c r="F27" s="157">
        <v>120</v>
      </c>
      <c r="G27" s="158">
        <v>43089</v>
      </c>
      <c r="H27" s="159">
        <v>8244.7911668854413</v>
      </c>
      <c r="I27" s="159">
        <v>7877.4048843047058</v>
      </c>
      <c r="J27" s="159">
        <v>7505.0815583806107</v>
      </c>
      <c r="K27" s="159">
        <v>0</v>
      </c>
      <c r="L27" s="159">
        <v>0</v>
      </c>
      <c r="M27" s="160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</row>
    <row r="28" spans="1:36">
      <c r="A28" s="161" t="s">
        <v>97</v>
      </c>
      <c r="B28" s="162" t="s">
        <v>309</v>
      </c>
      <c r="C28" s="163" t="s">
        <v>377</v>
      </c>
      <c r="D28" s="163" t="s">
        <v>228</v>
      </c>
      <c r="E28" s="164">
        <v>0.1</v>
      </c>
      <c r="F28" s="165">
        <v>120</v>
      </c>
      <c r="G28" s="166">
        <v>43089</v>
      </c>
      <c r="H28" s="167">
        <v>11108.399899752838</v>
      </c>
      <c r="I28" s="167">
        <v>10614.316844815279</v>
      </c>
      <c r="J28" s="167">
        <v>10115.366463902781</v>
      </c>
      <c r="K28" s="167">
        <v>0</v>
      </c>
      <c r="L28" s="167">
        <v>0</v>
      </c>
      <c r="M28" s="168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7">
        <v>0</v>
      </c>
      <c r="W28" s="167">
        <v>0</v>
      </c>
      <c r="X28" s="167">
        <v>0</v>
      </c>
      <c r="Y28" s="167">
        <v>0</v>
      </c>
      <c r="Z28" s="167">
        <v>0</v>
      </c>
      <c r="AA28" s="167">
        <v>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0</v>
      </c>
      <c r="AI28" s="167">
        <v>0</v>
      </c>
      <c r="AJ28" s="167">
        <v>0</v>
      </c>
    </row>
    <row r="29" spans="1:36">
      <c r="A29" s="153" t="s">
        <v>232</v>
      </c>
      <c r="B29" s="154" t="s">
        <v>299</v>
      </c>
      <c r="C29" s="155" t="s">
        <v>225</v>
      </c>
      <c r="D29" s="155" t="s">
        <v>233</v>
      </c>
      <c r="E29" s="156">
        <v>1.278E-2</v>
      </c>
      <c r="F29" s="157">
        <v>120</v>
      </c>
      <c r="G29" s="158">
        <v>42964</v>
      </c>
      <c r="H29" s="159">
        <v>19294.221342733126</v>
      </c>
      <c r="I29" s="159">
        <v>18245.66374</v>
      </c>
      <c r="J29" s="159">
        <v>17200.315500000001</v>
      </c>
      <c r="K29" s="159">
        <v>16067.816636491145</v>
      </c>
      <c r="L29" s="159">
        <v>14852.588003901099</v>
      </c>
      <c r="M29" s="160">
        <v>13578.781688873822</v>
      </c>
      <c r="N29" s="159">
        <v>12240.896796058267</v>
      </c>
      <c r="O29" s="159">
        <v>10799.743715769826</v>
      </c>
      <c r="P29" s="159">
        <v>9246.6930341787593</v>
      </c>
      <c r="Q29" s="159">
        <v>7583.8919688830019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</row>
    <row r="30" spans="1:36">
      <c r="A30" s="161" t="s">
        <v>234</v>
      </c>
      <c r="B30" s="162" t="s">
        <v>299</v>
      </c>
      <c r="C30" s="163" t="s">
        <v>225</v>
      </c>
      <c r="D30" s="163" t="s">
        <v>228</v>
      </c>
      <c r="E30" s="164">
        <v>9.9000000000000005E-2</v>
      </c>
      <c r="F30" s="165">
        <v>120</v>
      </c>
      <c r="G30" s="166">
        <v>45459</v>
      </c>
      <c r="H30" s="167">
        <v>7545.2244289707751</v>
      </c>
      <c r="I30" s="167">
        <v>7615.54367</v>
      </c>
      <c r="J30" s="167">
        <v>7695.3840399999999</v>
      </c>
      <c r="K30" s="167">
        <v>7766.9613762097315</v>
      </c>
      <c r="L30" s="167">
        <v>7825.4925689251004</v>
      </c>
      <c r="M30" s="168">
        <v>7883.8201833114617</v>
      </c>
      <c r="N30" s="167">
        <v>7941.7822255610699</v>
      </c>
      <c r="O30" s="167">
        <v>7982.3982355739681</v>
      </c>
      <c r="P30" s="167">
        <v>7994.7962907208203</v>
      </c>
      <c r="Q30" s="167">
        <v>7995.6749072269322</v>
      </c>
      <c r="R30" s="167">
        <v>8011.7176711983075</v>
      </c>
      <c r="S30" s="167">
        <v>8009.1995657932093</v>
      </c>
      <c r="T30" s="167">
        <v>7988.4559558938572</v>
      </c>
      <c r="U30" s="167">
        <v>8014.6613468231426</v>
      </c>
      <c r="V30" s="167">
        <v>8158.1924386994951</v>
      </c>
      <c r="W30" s="167">
        <v>8300.8473732518796</v>
      </c>
      <c r="X30" s="167">
        <v>8437.7657541472545</v>
      </c>
      <c r="Y30" s="167">
        <v>8576.2301329068559</v>
      </c>
      <c r="Z30" s="167">
        <v>8715.0158818275304</v>
      </c>
      <c r="AA30" s="167">
        <v>0</v>
      </c>
      <c r="AB30" s="167">
        <v>0</v>
      </c>
      <c r="AC30" s="167">
        <v>0</v>
      </c>
      <c r="AD30" s="167">
        <v>0</v>
      </c>
      <c r="AE30" s="167">
        <v>0</v>
      </c>
      <c r="AF30" s="167">
        <v>0</v>
      </c>
      <c r="AG30" s="167">
        <v>0</v>
      </c>
      <c r="AH30" s="167">
        <v>0</v>
      </c>
      <c r="AI30" s="167">
        <v>0</v>
      </c>
      <c r="AJ30" s="167">
        <v>0</v>
      </c>
    </row>
    <row r="31" spans="1:36">
      <c r="A31" s="153" t="s">
        <v>92</v>
      </c>
      <c r="B31" s="154" t="s">
        <v>299</v>
      </c>
      <c r="C31" s="155" t="s">
        <v>225</v>
      </c>
      <c r="D31" s="155" t="s">
        <v>228</v>
      </c>
      <c r="E31" s="156">
        <v>9.9000000000000005E-2</v>
      </c>
      <c r="F31" s="157">
        <v>120</v>
      </c>
      <c r="G31" s="158">
        <v>45459</v>
      </c>
      <c r="H31" s="159">
        <v>9298.9415078606253</v>
      </c>
      <c r="I31" s="159">
        <v>9385.6048900000005</v>
      </c>
      <c r="J31" s="159">
        <v>9484.0024599999997</v>
      </c>
      <c r="K31" s="159">
        <v>9572.2162025920115</v>
      </c>
      <c r="L31" s="159">
        <v>9644.3516496644206</v>
      </c>
      <c r="M31" s="160">
        <v>9716.236201221207</v>
      </c>
      <c r="N31" s="159">
        <v>9787.6702116511387</v>
      </c>
      <c r="O31" s="159">
        <v>9837.7264962518275</v>
      </c>
      <c r="P31" s="159">
        <v>9853.0061994212992</v>
      </c>
      <c r="Q31" s="159">
        <v>9854.0890304987788</v>
      </c>
      <c r="R31" s="159">
        <v>9873.860572776759</v>
      </c>
      <c r="S31" s="159">
        <v>9870.7571906185367</v>
      </c>
      <c r="T31" s="159">
        <v>9844.2736669020724</v>
      </c>
      <c r="U31" s="159">
        <v>9877.4884393446901</v>
      </c>
      <c r="V31" s="159">
        <v>10053.461563195697</v>
      </c>
      <c r="W31" s="159">
        <v>10230.191946732726</v>
      </c>
      <c r="X31" s="159">
        <v>10398.933901185639</v>
      </c>
      <c r="Y31" s="159">
        <v>10569.581198841099</v>
      </c>
      <c r="Z31" s="159">
        <v>10740.624561896375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</row>
    <row r="32" spans="1:36">
      <c r="A32" s="161" t="s">
        <v>235</v>
      </c>
      <c r="B32" s="162" t="s">
        <v>309</v>
      </c>
      <c r="C32" s="163" t="s">
        <v>378</v>
      </c>
      <c r="D32" s="163" t="s">
        <v>226</v>
      </c>
      <c r="E32" s="164">
        <v>0.06</v>
      </c>
      <c r="F32" s="165">
        <v>120</v>
      </c>
      <c r="G32" s="166">
        <v>43117</v>
      </c>
      <c r="H32" s="167">
        <v>18271.286542648304</v>
      </c>
      <c r="I32" s="167">
        <v>17890.885569001261</v>
      </c>
      <c r="J32" s="167">
        <v>17377.492920000001</v>
      </c>
      <c r="K32" s="167">
        <v>17228.609629229821</v>
      </c>
      <c r="L32" s="167">
        <v>13940.598396580801</v>
      </c>
      <c r="M32" s="168">
        <v>13232.93746787435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167">
        <v>0</v>
      </c>
      <c r="W32" s="167">
        <v>0</v>
      </c>
      <c r="X32" s="167">
        <v>0</v>
      </c>
      <c r="Y32" s="167">
        <v>0</v>
      </c>
      <c r="Z32" s="167">
        <v>0</v>
      </c>
      <c r="AA32" s="167">
        <v>0</v>
      </c>
      <c r="AB32" s="167">
        <v>0</v>
      </c>
      <c r="AC32" s="167">
        <v>0</v>
      </c>
      <c r="AD32" s="167">
        <v>0</v>
      </c>
      <c r="AE32" s="167">
        <v>0</v>
      </c>
      <c r="AF32" s="167">
        <v>0</v>
      </c>
      <c r="AG32" s="167">
        <v>0</v>
      </c>
      <c r="AH32" s="167">
        <v>0</v>
      </c>
      <c r="AI32" s="167">
        <v>0</v>
      </c>
      <c r="AJ32" s="167">
        <v>0</v>
      </c>
    </row>
    <row r="33" spans="1:36">
      <c r="A33" s="153" t="s">
        <v>210</v>
      </c>
      <c r="B33" s="154" t="s">
        <v>299</v>
      </c>
      <c r="C33" s="155" t="s">
        <v>225</v>
      </c>
      <c r="D33" s="155" t="s">
        <v>228</v>
      </c>
      <c r="E33" s="156">
        <v>9.9000000000000005E-2</v>
      </c>
      <c r="F33" s="157">
        <v>155</v>
      </c>
      <c r="G33" s="158">
        <v>45459</v>
      </c>
      <c r="H33" s="159">
        <v>3400.8954885879739</v>
      </c>
      <c r="I33" s="159">
        <v>3231.5522700000001</v>
      </c>
      <c r="J33" s="159">
        <v>3265.4314649999997</v>
      </c>
      <c r="K33" s="159">
        <v>3295.7722727369992</v>
      </c>
      <c r="L33" s="159">
        <v>3320.6090139583403</v>
      </c>
      <c r="M33" s="160">
        <v>3345.3597210856956</v>
      </c>
      <c r="N33" s="159">
        <v>3369.9409218711589</v>
      </c>
      <c r="O33" s="159">
        <v>3383.1451934309548</v>
      </c>
      <c r="P33" s="159">
        <v>3392.4359396966797</v>
      </c>
      <c r="Q33" s="159">
        <v>3392.8083913995756</v>
      </c>
      <c r="R33" s="159">
        <v>3399.6154844312728</v>
      </c>
      <c r="S33" s="159">
        <v>3398.5463442919445</v>
      </c>
      <c r="T33" s="159">
        <v>3387.5486069679778</v>
      </c>
      <c r="U33" s="159">
        <v>3400.8954885879739</v>
      </c>
      <c r="V33" s="159">
        <v>3459.5732732792972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59">
        <v>0</v>
      </c>
      <c r="AC33" s="159">
        <v>0</v>
      </c>
      <c r="AD33" s="159">
        <v>0</v>
      </c>
      <c r="AE33" s="159">
        <v>0</v>
      </c>
      <c r="AF33" s="159">
        <v>0</v>
      </c>
      <c r="AG33" s="159">
        <v>0</v>
      </c>
      <c r="AH33" s="159">
        <v>0</v>
      </c>
      <c r="AI33" s="159">
        <v>0</v>
      </c>
      <c r="AJ33" s="159">
        <v>0</v>
      </c>
    </row>
    <row r="34" spans="1:36">
      <c r="A34" s="161" t="s">
        <v>216</v>
      </c>
      <c r="B34" s="162" t="s">
        <v>299</v>
      </c>
      <c r="C34" s="163" t="s">
        <v>225</v>
      </c>
      <c r="D34" s="163" t="s">
        <v>228</v>
      </c>
      <c r="E34" s="164">
        <v>9.9000000000000005E-2</v>
      </c>
      <c r="F34" s="165">
        <v>120</v>
      </c>
      <c r="G34" s="166">
        <v>45459</v>
      </c>
      <c r="H34" s="167">
        <v>18776.297635371335</v>
      </c>
      <c r="I34" s="167">
        <v>17841.267209999998</v>
      </c>
      <c r="J34" s="167">
        <v>18028.312790000004</v>
      </c>
      <c r="K34" s="167">
        <v>18191.970045460286</v>
      </c>
      <c r="L34" s="167">
        <v>18329.092666988621</v>
      </c>
      <c r="M34" s="168">
        <v>18465.740297840759</v>
      </c>
      <c r="N34" s="167">
        <v>18601.530516213854</v>
      </c>
      <c r="O34" s="167">
        <v>18700.713434072179</v>
      </c>
      <c r="P34" s="167">
        <v>18725.728891659001</v>
      </c>
      <c r="Q34" s="167">
        <v>18727.787265080711</v>
      </c>
      <c r="R34" s="167">
        <v>18765.371351811125</v>
      </c>
      <c r="S34" s="167">
        <v>18759.471082457105</v>
      </c>
      <c r="T34" s="167">
        <v>18710.874120382825</v>
      </c>
      <c r="U34" s="167">
        <v>18776.297635371335</v>
      </c>
      <c r="V34" s="167">
        <v>19108.523191837543</v>
      </c>
      <c r="W34" s="167">
        <v>19446.75812986906</v>
      </c>
      <c r="X34" s="167">
        <v>19767.522770519765</v>
      </c>
      <c r="Y34" s="167">
        <v>20091.909314697201</v>
      </c>
      <c r="Z34" s="167">
        <v>20417.04874275974</v>
      </c>
      <c r="AA34" s="167">
        <v>0</v>
      </c>
      <c r="AB34" s="167">
        <v>0</v>
      </c>
      <c r="AC34" s="167">
        <v>0</v>
      </c>
      <c r="AD34" s="167">
        <v>0</v>
      </c>
      <c r="AE34" s="167">
        <v>0</v>
      </c>
      <c r="AF34" s="167">
        <v>0</v>
      </c>
      <c r="AG34" s="167">
        <v>0</v>
      </c>
      <c r="AH34" s="167">
        <v>0</v>
      </c>
      <c r="AI34" s="167">
        <v>0</v>
      </c>
      <c r="AJ34" s="167">
        <v>0</v>
      </c>
    </row>
    <row r="35" spans="1:36">
      <c r="A35" s="153" t="s">
        <v>236</v>
      </c>
      <c r="B35" s="154" t="s">
        <v>375</v>
      </c>
      <c r="C35" s="155" t="s">
        <v>225</v>
      </c>
      <c r="D35" s="155" t="s">
        <v>228</v>
      </c>
      <c r="E35" s="156">
        <v>9.4E-2</v>
      </c>
      <c r="F35" s="157">
        <v>120</v>
      </c>
      <c r="G35" s="158">
        <v>45451</v>
      </c>
      <c r="H35" s="159">
        <v>9810.7579075331305</v>
      </c>
      <c r="I35" s="159">
        <v>9680.6639640450139</v>
      </c>
      <c r="J35" s="159">
        <v>9778.3172516491286</v>
      </c>
      <c r="K35" s="159">
        <v>9856.474555403458</v>
      </c>
      <c r="L35" s="159">
        <v>9925.1355454143013</v>
      </c>
      <c r="M35" s="160">
        <v>9985.8545750557951</v>
      </c>
      <c r="N35" s="159">
        <v>10047.090905765199</v>
      </c>
      <c r="O35" s="159">
        <v>10087.703084712868</v>
      </c>
      <c r="P35" s="159">
        <v>10096.6913539824</v>
      </c>
      <c r="Q35" s="159">
        <v>10085.449398265162</v>
      </c>
      <c r="R35" s="159">
        <v>10046.624614337834</v>
      </c>
      <c r="S35" s="159">
        <v>9986.1401222041222</v>
      </c>
      <c r="T35" s="159">
        <v>9905.3613727808224</v>
      </c>
      <c r="U35" s="159">
        <v>9810.7579075331305</v>
      </c>
      <c r="V35" s="159">
        <v>9701.1989184190334</v>
      </c>
      <c r="W35" s="159">
        <v>9573.0805384236519</v>
      </c>
      <c r="X35" s="159">
        <v>9420.5097545484605</v>
      </c>
      <c r="Y35" s="159">
        <v>9249.4150653343022</v>
      </c>
      <c r="Z35" s="159">
        <v>9058.3623824465667</v>
      </c>
      <c r="AA35" s="159">
        <v>8843.6101769330708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</row>
    <row r="36" spans="1:36">
      <c r="A36" s="161" t="s">
        <v>238</v>
      </c>
      <c r="B36" s="162" t="s">
        <v>309</v>
      </c>
      <c r="C36" s="163" t="s">
        <v>379</v>
      </c>
      <c r="D36" s="163" t="s">
        <v>228</v>
      </c>
      <c r="E36" s="164">
        <v>0.10150000000000001</v>
      </c>
      <c r="F36" s="165">
        <v>156</v>
      </c>
      <c r="G36" s="166">
        <v>44443</v>
      </c>
      <c r="H36" s="167">
        <v>3935.3872593816513</v>
      </c>
      <c r="I36" s="167">
        <v>6361.4776766714294</v>
      </c>
      <c r="J36" s="167">
        <v>6208.8202369981063</v>
      </c>
      <c r="K36" s="167">
        <v>6048.6633939384365</v>
      </c>
      <c r="L36" s="167">
        <v>5886.11469367472</v>
      </c>
      <c r="M36" s="168">
        <v>5709.2760877888177</v>
      </c>
      <c r="N36" s="167">
        <v>5544.387630590244</v>
      </c>
      <c r="O36" s="167">
        <v>5362.8883097644584</v>
      </c>
      <c r="P36" s="167">
        <v>5158.6530401666305</v>
      </c>
      <c r="Q36" s="167">
        <v>4936.6780272342612</v>
      </c>
      <c r="R36" s="167">
        <v>4707.6769009304908</v>
      </c>
      <c r="S36" s="167">
        <v>4466.5741258277503</v>
      </c>
      <c r="T36" s="167">
        <v>4223.3012603104453</v>
      </c>
      <c r="U36" s="167">
        <v>3935.3872593816513</v>
      </c>
      <c r="V36" s="167">
        <v>3709.1065084098027</v>
      </c>
      <c r="W36" s="167">
        <v>3409.4457581558363</v>
      </c>
      <c r="X36" s="167">
        <v>3134.8040733747835</v>
      </c>
      <c r="Y36" s="167">
        <v>2854.2418318968776</v>
      </c>
      <c r="Z36" s="167">
        <v>2567.5690737484915</v>
      </c>
      <c r="AA36" s="167">
        <v>0</v>
      </c>
      <c r="AB36" s="167">
        <v>0</v>
      </c>
      <c r="AC36" s="167">
        <v>0</v>
      </c>
      <c r="AD36" s="167">
        <v>0</v>
      </c>
      <c r="AE36" s="167">
        <v>0</v>
      </c>
      <c r="AF36" s="167">
        <v>0</v>
      </c>
      <c r="AG36" s="167">
        <v>0</v>
      </c>
      <c r="AH36" s="167">
        <v>0</v>
      </c>
      <c r="AI36" s="167">
        <v>0</v>
      </c>
      <c r="AJ36" s="167">
        <v>0</v>
      </c>
    </row>
    <row r="37" spans="1:36">
      <c r="A37" s="153" t="s">
        <v>104</v>
      </c>
      <c r="B37" s="154" t="s">
        <v>309</v>
      </c>
      <c r="C37" s="155" t="s">
        <v>377</v>
      </c>
      <c r="D37" s="155" t="s">
        <v>228</v>
      </c>
      <c r="E37" s="156">
        <v>9.4E-2</v>
      </c>
      <c r="F37" s="157">
        <v>144</v>
      </c>
      <c r="G37" s="158">
        <v>44749</v>
      </c>
      <c r="H37" s="159">
        <v>37385.207007513942</v>
      </c>
      <c r="I37" s="159">
        <v>52087.106435391368</v>
      </c>
      <c r="J37" s="159">
        <v>51277.966112162343</v>
      </c>
      <c r="K37" s="159">
        <v>50349.173105089365</v>
      </c>
      <c r="L37" s="159">
        <v>49349.184049096701</v>
      </c>
      <c r="M37" s="160">
        <v>48332.348667987339</v>
      </c>
      <c r="N37" s="159">
        <v>47297.522031019413</v>
      </c>
      <c r="O37" s="159">
        <v>46154.190561884847</v>
      </c>
      <c r="P37" s="159">
        <v>44854.631859005</v>
      </c>
      <c r="Q37" s="159">
        <v>43417.66146597288</v>
      </c>
      <c r="R37" s="159">
        <v>41921.284551664525</v>
      </c>
      <c r="S37" s="159">
        <v>40322.422505354814</v>
      </c>
      <c r="T37" s="159">
        <v>38644.274098875452</v>
      </c>
      <c r="U37" s="159">
        <v>37385.207007513942</v>
      </c>
      <c r="V37" s="159">
        <v>37023.43650823459</v>
      </c>
      <c r="W37" s="159">
        <v>36650.778239489518</v>
      </c>
      <c r="X37" s="159">
        <v>36214.421075243692</v>
      </c>
      <c r="Y37" s="159">
        <v>35769.807068369846</v>
      </c>
      <c r="Z37" s="159">
        <v>35289.935304608836</v>
      </c>
      <c r="AA37" s="159">
        <v>0</v>
      </c>
      <c r="AB37" s="159">
        <v>0</v>
      </c>
      <c r="AC37" s="159">
        <v>0</v>
      </c>
      <c r="AD37" s="159">
        <v>0</v>
      </c>
      <c r="AE37" s="159">
        <v>0</v>
      </c>
      <c r="AF37" s="159">
        <v>0</v>
      </c>
      <c r="AG37" s="159">
        <v>0</v>
      </c>
      <c r="AH37" s="159">
        <v>0</v>
      </c>
      <c r="AI37" s="159">
        <v>0</v>
      </c>
      <c r="AJ37" s="159">
        <v>0</v>
      </c>
    </row>
    <row r="38" spans="1:36">
      <c r="A38" s="161" t="s">
        <v>102</v>
      </c>
      <c r="B38" s="162" t="s">
        <v>309</v>
      </c>
      <c r="C38" s="163" t="s">
        <v>379</v>
      </c>
      <c r="D38" s="163" t="s">
        <v>228</v>
      </c>
      <c r="E38" s="164">
        <v>9.6000000000000002E-2</v>
      </c>
      <c r="F38" s="165">
        <v>120</v>
      </c>
      <c r="G38" s="166">
        <v>43895</v>
      </c>
      <c r="H38" s="167">
        <v>4447.9592062627062</v>
      </c>
      <c r="I38" s="167">
        <v>10073.839467664842</v>
      </c>
      <c r="J38" s="167">
        <v>9714.3509639010972</v>
      </c>
      <c r="K38" s="167">
        <v>9321.2750487671092</v>
      </c>
      <c r="L38" s="167">
        <v>8932.6940323978488</v>
      </c>
      <c r="M38" s="168">
        <v>8509.7630505004145</v>
      </c>
      <c r="N38" s="167">
        <v>8083.6320181399897</v>
      </c>
      <c r="O38" s="167">
        <v>7630.4808770161399</v>
      </c>
      <c r="P38" s="167">
        <v>7163.6937188236197</v>
      </c>
      <c r="Q38" s="167">
        <v>6651.371420580911</v>
      </c>
      <c r="R38" s="167">
        <v>6127.4986902951596</v>
      </c>
      <c r="S38" s="167">
        <v>5574.9766965115241</v>
      </c>
      <c r="T38" s="167">
        <v>5027.8518850819446</v>
      </c>
      <c r="U38" s="167">
        <v>4447.9592062627062</v>
      </c>
      <c r="V38" s="167">
        <v>3855.74026111176</v>
      </c>
      <c r="W38" s="167">
        <v>3244.9624261379076</v>
      </c>
      <c r="X38" s="167">
        <v>2639.5465696458655</v>
      </c>
      <c r="Y38" s="167">
        <v>1997.216689682027</v>
      </c>
      <c r="Z38" s="167">
        <v>1342.9783833150675</v>
      </c>
      <c r="AA38" s="167">
        <v>0</v>
      </c>
      <c r="AB38" s="167">
        <v>0</v>
      </c>
      <c r="AC38" s="167">
        <v>0</v>
      </c>
      <c r="AD38" s="167">
        <v>0</v>
      </c>
      <c r="AE38" s="167">
        <v>0</v>
      </c>
      <c r="AF38" s="167">
        <v>0</v>
      </c>
      <c r="AG38" s="167">
        <v>0</v>
      </c>
      <c r="AH38" s="167">
        <v>0</v>
      </c>
      <c r="AI38" s="167">
        <v>0</v>
      </c>
      <c r="AJ38" s="167">
        <v>0</v>
      </c>
    </row>
    <row r="39" spans="1:36">
      <c r="A39" s="153" t="s">
        <v>103</v>
      </c>
      <c r="B39" s="154" t="s">
        <v>309</v>
      </c>
      <c r="C39" s="155" t="s">
        <v>379</v>
      </c>
      <c r="D39" s="155" t="s">
        <v>228</v>
      </c>
      <c r="E39" s="156">
        <v>9.6000000000000002E-2</v>
      </c>
      <c r="F39" s="157">
        <v>120</v>
      </c>
      <c r="G39" s="158">
        <v>43963</v>
      </c>
      <c r="H39" s="159">
        <v>5996.9833476580643</v>
      </c>
      <c r="I39" s="159">
        <v>12847.164189263054</v>
      </c>
      <c r="J39" s="159">
        <v>12405.976906012758</v>
      </c>
      <c r="K39" s="159">
        <v>11936.151618397345</v>
      </c>
      <c r="L39" s="159">
        <v>11444.672391488901</v>
      </c>
      <c r="M39" s="160">
        <v>10953.446525111955</v>
      </c>
      <c r="N39" s="159">
        <v>10430.759324684499</v>
      </c>
      <c r="O39" s="159">
        <v>9881.9664491905078</v>
      </c>
      <c r="P39" s="159">
        <v>9291.7861180844611</v>
      </c>
      <c r="Q39" s="159">
        <v>8687.9137686127506</v>
      </c>
      <c r="R39" s="159">
        <v>8041.8633177591919</v>
      </c>
      <c r="S39" s="159">
        <v>7374.8913281042605</v>
      </c>
      <c r="T39" s="159">
        <v>6680.8393193063139</v>
      </c>
      <c r="U39" s="159">
        <v>5996.9833476580643</v>
      </c>
      <c r="V39" s="159">
        <v>5273.2220949117964</v>
      </c>
      <c r="W39" s="159">
        <v>4535.7266658733843</v>
      </c>
      <c r="X39" s="159">
        <v>3774.7026747581344</v>
      </c>
      <c r="Y39" s="159">
        <v>3015.6478056106516</v>
      </c>
      <c r="Z39" s="159">
        <v>0</v>
      </c>
      <c r="AA39" s="159">
        <v>0</v>
      </c>
      <c r="AB39" s="159">
        <v>0</v>
      </c>
      <c r="AC39" s="159">
        <v>0</v>
      </c>
      <c r="AD39" s="159">
        <v>0</v>
      </c>
      <c r="AE39" s="159">
        <v>0</v>
      </c>
      <c r="AF39" s="159">
        <v>0</v>
      </c>
      <c r="AG39" s="159">
        <v>0</v>
      </c>
      <c r="AH39" s="159">
        <v>0</v>
      </c>
      <c r="AI39" s="159">
        <v>0</v>
      </c>
      <c r="AJ39" s="159">
        <v>0</v>
      </c>
    </row>
    <row r="40" spans="1:36">
      <c r="A40" s="161" t="s">
        <v>257</v>
      </c>
      <c r="B40" s="162" t="s">
        <v>309</v>
      </c>
      <c r="C40" s="163" t="s">
        <v>310</v>
      </c>
      <c r="D40" s="163" t="s">
        <v>228</v>
      </c>
      <c r="E40" s="164">
        <v>9.5000000000000001E-2</v>
      </c>
      <c r="F40" s="165">
        <v>120</v>
      </c>
      <c r="G40" s="166">
        <v>44546</v>
      </c>
      <c r="H40" s="167"/>
      <c r="I40" s="167"/>
      <c r="J40" s="167"/>
      <c r="K40" s="167"/>
      <c r="L40" s="167"/>
      <c r="M40" s="168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</row>
    <row r="41" spans="1:36">
      <c r="A41" s="153" t="s">
        <v>107</v>
      </c>
      <c r="B41" s="154" t="s">
        <v>309</v>
      </c>
      <c r="C41" s="155" t="s">
        <v>310</v>
      </c>
      <c r="D41" s="155" t="s">
        <v>228</v>
      </c>
      <c r="E41" s="156">
        <v>9.5000000000000001E-2</v>
      </c>
      <c r="F41" s="157">
        <v>120</v>
      </c>
      <c r="G41" s="158">
        <v>44546</v>
      </c>
      <c r="H41" s="159">
        <v>118310.61809628941</v>
      </c>
      <c r="I41" s="159">
        <v>219149.75146082501</v>
      </c>
      <c r="J41" s="159">
        <v>212569.00433000003</v>
      </c>
      <c r="K41" s="159">
        <v>205628.45433718601</v>
      </c>
      <c r="L41" s="159">
        <v>198320.36788677701</v>
      </c>
      <c r="M41" s="160">
        <v>190818.44552829899</v>
      </c>
      <c r="N41" s="159">
        <v>183130.672829794</v>
      </c>
      <c r="O41" s="159">
        <v>175021.47327592099</v>
      </c>
      <c r="P41" s="159">
        <v>166486.32036359201</v>
      </c>
      <c r="Q41" s="159">
        <v>157308.433401872</v>
      </c>
      <c r="R41" s="159">
        <v>147740.58068769678</v>
      </c>
      <c r="S41" s="159">
        <v>137849.67178590811</v>
      </c>
      <c r="T41" s="159">
        <v>127713.05797835324</v>
      </c>
      <c r="U41" s="159">
        <v>118310.61809628941</v>
      </c>
      <c r="V41" s="159">
        <v>111076.95296164922</v>
      </c>
      <c r="W41" s="159">
        <v>103660.2856755231</v>
      </c>
      <c r="X41" s="159">
        <v>96058.733460108182</v>
      </c>
      <c r="Y41" s="159">
        <v>88271.128452864621</v>
      </c>
      <c r="Z41" s="159">
        <v>80317.709542864643</v>
      </c>
      <c r="AA41" s="159">
        <v>0</v>
      </c>
      <c r="AB41" s="159">
        <v>0</v>
      </c>
      <c r="AC41" s="159">
        <v>0</v>
      </c>
      <c r="AD41" s="159">
        <v>0</v>
      </c>
      <c r="AE41" s="159">
        <v>0</v>
      </c>
      <c r="AF41" s="159">
        <v>0</v>
      </c>
      <c r="AG41" s="159">
        <v>0</v>
      </c>
      <c r="AH41" s="159">
        <v>0</v>
      </c>
      <c r="AI41" s="159">
        <v>0</v>
      </c>
      <c r="AJ41" s="159">
        <v>0</v>
      </c>
    </row>
    <row r="42" spans="1:36">
      <c r="A42" s="161" t="s">
        <v>297</v>
      </c>
      <c r="B42" s="162" t="s">
        <v>295</v>
      </c>
      <c r="C42" s="163" t="s">
        <v>296</v>
      </c>
      <c r="D42" s="163" t="s">
        <v>399</v>
      </c>
      <c r="E42" s="164">
        <v>0.09</v>
      </c>
      <c r="F42" s="165" t="s">
        <v>240</v>
      </c>
      <c r="G42" s="166" t="s">
        <v>391</v>
      </c>
      <c r="H42" s="167">
        <v>937084.26006</v>
      </c>
      <c r="I42" s="167">
        <v>905150.5466</v>
      </c>
      <c r="J42" s="167">
        <v>1159137.11531</v>
      </c>
      <c r="K42" s="167">
        <v>1136306.4511500001</v>
      </c>
      <c r="L42" s="167">
        <v>674009.90271428577</v>
      </c>
      <c r="M42" s="168">
        <v>608064.51199999999</v>
      </c>
      <c r="N42" s="167">
        <v>614802.41531999991</v>
      </c>
      <c r="O42" s="167">
        <v>615501.27049999998</v>
      </c>
      <c r="P42" s="167">
        <v>598913.82941000012</v>
      </c>
      <c r="Q42" s="167">
        <v>625318.21389000001</v>
      </c>
      <c r="R42" s="167">
        <v>598998.55243999988</v>
      </c>
      <c r="S42" s="167">
        <v>625289.84976999997</v>
      </c>
      <c r="T42" s="167">
        <v>629257.10930000013</v>
      </c>
      <c r="U42" s="167">
        <v>728984.42038999998</v>
      </c>
      <c r="V42" s="167">
        <v>757070.25309999986</v>
      </c>
      <c r="W42" s="167">
        <v>733388.27543000004</v>
      </c>
      <c r="X42" s="167">
        <v>0</v>
      </c>
      <c r="Y42" s="167">
        <v>0</v>
      </c>
      <c r="Z42" s="167">
        <v>0</v>
      </c>
      <c r="AA42" s="167">
        <v>0</v>
      </c>
      <c r="AB42" s="167">
        <v>0</v>
      </c>
      <c r="AC42" s="167">
        <v>0</v>
      </c>
      <c r="AD42" s="167">
        <v>0</v>
      </c>
      <c r="AE42" s="167">
        <v>0</v>
      </c>
      <c r="AF42" s="167">
        <v>0</v>
      </c>
      <c r="AG42" s="167">
        <v>0</v>
      </c>
      <c r="AH42" s="167">
        <v>0</v>
      </c>
      <c r="AI42" s="167">
        <v>0</v>
      </c>
      <c r="AJ42" s="167">
        <v>0</v>
      </c>
    </row>
    <row r="43" spans="1:36">
      <c r="A43" s="153" t="s">
        <v>312</v>
      </c>
      <c r="B43" s="154" t="s">
        <v>309</v>
      </c>
      <c r="C43" s="155" t="s">
        <v>310</v>
      </c>
      <c r="D43" s="155" t="s">
        <v>311</v>
      </c>
      <c r="E43" s="156">
        <v>0.10823099999999999</v>
      </c>
      <c r="F43" s="157">
        <v>125.1</v>
      </c>
      <c r="G43" s="158">
        <v>45783</v>
      </c>
      <c r="H43" s="159">
        <v>44786.513421787538</v>
      </c>
      <c r="I43" s="159">
        <v>46417.762988186267</v>
      </c>
      <c r="J43" s="159">
        <v>41427.289449322285</v>
      </c>
      <c r="K43" s="159">
        <v>43376.89919062562</v>
      </c>
      <c r="L43" s="159">
        <v>46285.732848288295</v>
      </c>
      <c r="M43" s="160">
        <v>48497.554343419608</v>
      </c>
      <c r="N43" s="159">
        <v>42467.894853424099</v>
      </c>
      <c r="O43" s="159">
        <v>43820.834713574099</v>
      </c>
      <c r="P43" s="159">
        <v>45409.0648416439</v>
      </c>
      <c r="Q43" s="159">
        <v>46907.803003864989</v>
      </c>
      <c r="R43" s="159">
        <v>40423.290609699572</v>
      </c>
      <c r="S43" s="159">
        <v>41829.739491038454</v>
      </c>
      <c r="T43" s="159">
        <v>43342.684373603348</v>
      </c>
      <c r="U43" s="159">
        <v>44786.513421787538</v>
      </c>
      <c r="V43" s="159">
        <v>38563.442691241966</v>
      </c>
      <c r="W43" s="159">
        <v>39842.817889546444</v>
      </c>
      <c r="X43" s="159">
        <v>41193.448580601034</v>
      </c>
      <c r="Y43" s="159">
        <v>0</v>
      </c>
      <c r="Z43" s="159">
        <v>0</v>
      </c>
      <c r="AA43" s="159">
        <v>0</v>
      </c>
      <c r="AB43" s="159">
        <v>0</v>
      </c>
      <c r="AC43" s="159">
        <v>0</v>
      </c>
      <c r="AD43" s="159">
        <v>0</v>
      </c>
      <c r="AE43" s="159">
        <v>0</v>
      </c>
      <c r="AF43" s="159">
        <v>0</v>
      </c>
      <c r="AG43" s="159">
        <v>0</v>
      </c>
      <c r="AH43" s="159">
        <v>0</v>
      </c>
      <c r="AI43" s="159">
        <v>0</v>
      </c>
      <c r="AJ43" s="159">
        <v>0</v>
      </c>
    </row>
    <row r="44" spans="1:36">
      <c r="A44" s="161" t="s">
        <v>314</v>
      </c>
      <c r="B44" s="162" t="s">
        <v>299</v>
      </c>
      <c r="C44" s="163" t="s">
        <v>225</v>
      </c>
      <c r="D44" s="163" t="s">
        <v>228</v>
      </c>
      <c r="E44" s="164">
        <v>0.115</v>
      </c>
      <c r="F44" s="165">
        <v>120</v>
      </c>
      <c r="G44" s="166">
        <v>45143</v>
      </c>
      <c r="H44" s="167">
        <v>53415.474366058661</v>
      </c>
      <c r="I44" s="167">
        <v>52007.732060000002</v>
      </c>
      <c r="J44" s="167">
        <v>50707.147299999997</v>
      </c>
      <c r="K44" s="167">
        <v>0</v>
      </c>
      <c r="L44" s="167">
        <v>0</v>
      </c>
      <c r="M44" s="168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167">
        <v>0</v>
      </c>
      <c r="AJ44" s="167">
        <v>0</v>
      </c>
    </row>
    <row r="45" spans="1:36">
      <c r="A45" s="153" t="s">
        <v>302</v>
      </c>
      <c r="B45" s="154" t="s">
        <v>303</v>
      </c>
      <c r="C45" s="155" t="s">
        <v>296</v>
      </c>
      <c r="D45" s="155" t="s">
        <v>226</v>
      </c>
      <c r="E45" s="156">
        <v>7.596E-2</v>
      </c>
      <c r="F45" s="157">
        <v>146.1</v>
      </c>
      <c r="G45" s="158">
        <v>43018</v>
      </c>
      <c r="H45" s="159">
        <v>24026.759127587535</v>
      </c>
      <c r="I45" s="159">
        <v>25051.59970775</v>
      </c>
      <c r="J45" s="159">
        <v>25985.531257772003</v>
      </c>
      <c r="K45" s="159">
        <v>17683.703863986371</v>
      </c>
      <c r="L45" s="159">
        <v>18541.102601147701</v>
      </c>
      <c r="M45" s="160">
        <v>19345.134467612643</v>
      </c>
      <c r="N45" s="159">
        <v>19904.860305215188</v>
      </c>
      <c r="O45" s="159">
        <v>9817.733771310508</v>
      </c>
      <c r="P45" s="159">
        <v>10087.792049432199</v>
      </c>
      <c r="Q45" s="159">
        <v>10022.341011478164</v>
      </c>
      <c r="R45" s="159">
        <v>10155.077972712392</v>
      </c>
      <c r="S45" s="159">
        <v>0</v>
      </c>
      <c r="T45" s="159">
        <v>0</v>
      </c>
      <c r="U45" s="159">
        <v>0</v>
      </c>
      <c r="V45" s="159">
        <v>0</v>
      </c>
      <c r="W45" s="159">
        <v>0</v>
      </c>
      <c r="X45" s="159">
        <v>0</v>
      </c>
      <c r="Y45" s="159">
        <v>0</v>
      </c>
      <c r="Z45" s="159">
        <v>0</v>
      </c>
      <c r="AA45" s="159">
        <v>0</v>
      </c>
      <c r="AB45" s="159">
        <v>0</v>
      </c>
      <c r="AC45" s="159">
        <v>0</v>
      </c>
      <c r="AD45" s="159">
        <v>0</v>
      </c>
      <c r="AE45" s="159">
        <v>0</v>
      </c>
      <c r="AF45" s="159">
        <v>0</v>
      </c>
      <c r="AG45" s="159">
        <v>0</v>
      </c>
      <c r="AH45" s="159">
        <v>0</v>
      </c>
      <c r="AI45" s="159">
        <v>0</v>
      </c>
      <c r="AJ45" s="159">
        <v>0</v>
      </c>
    </row>
    <row r="46" spans="1:36">
      <c r="A46" s="161" t="s">
        <v>304</v>
      </c>
      <c r="B46" s="162" t="s">
        <v>303</v>
      </c>
      <c r="C46" s="163" t="s">
        <v>296</v>
      </c>
      <c r="D46" s="163" t="s">
        <v>226</v>
      </c>
      <c r="E46" s="164">
        <v>0.125</v>
      </c>
      <c r="F46" s="165">
        <v>152.13333333333333</v>
      </c>
      <c r="G46" s="166">
        <v>42127</v>
      </c>
      <c r="H46" s="167">
        <v>2535.0992706125112</v>
      </c>
      <c r="I46" s="167">
        <v>0</v>
      </c>
      <c r="J46" s="167">
        <v>0</v>
      </c>
      <c r="K46" s="167">
        <v>0</v>
      </c>
      <c r="L46" s="167">
        <v>0</v>
      </c>
      <c r="M46" s="168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7">
        <v>0</v>
      </c>
      <c r="AB46" s="167">
        <v>0</v>
      </c>
      <c r="AC46" s="167">
        <v>0</v>
      </c>
      <c r="AD46" s="167">
        <v>0</v>
      </c>
      <c r="AE46" s="167">
        <v>0</v>
      </c>
      <c r="AF46" s="167">
        <v>0</v>
      </c>
      <c r="AG46" s="167">
        <v>0</v>
      </c>
      <c r="AH46" s="167">
        <v>0</v>
      </c>
      <c r="AI46" s="167">
        <v>0</v>
      </c>
      <c r="AJ46" s="167">
        <v>0</v>
      </c>
    </row>
    <row r="47" spans="1:36">
      <c r="A47" s="153" t="s">
        <v>313</v>
      </c>
      <c r="B47" s="154" t="s">
        <v>309</v>
      </c>
      <c r="C47" s="155" t="s">
        <v>310</v>
      </c>
      <c r="D47" s="155" t="s">
        <v>228</v>
      </c>
      <c r="E47" s="156">
        <v>0.105</v>
      </c>
      <c r="F47" s="157">
        <v>237.03333333333333</v>
      </c>
      <c r="G47" s="158">
        <v>47440</v>
      </c>
      <c r="H47" s="159">
        <v>713237.05651865946</v>
      </c>
      <c r="I47" s="159">
        <v>734405.43218903535</v>
      </c>
      <c r="J47" s="159">
        <v>757585.80346286157</v>
      </c>
      <c r="K47" s="159">
        <v>0</v>
      </c>
      <c r="L47" s="159">
        <v>0</v>
      </c>
      <c r="M47" s="160">
        <v>0</v>
      </c>
      <c r="N47" s="159">
        <v>0</v>
      </c>
      <c r="O47" s="159">
        <v>0</v>
      </c>
      <c r="P47" s="159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0</v>
      </c>
      <c r="AA47" s="159">
        <v>0</v>
      </c>
      <c r="AB47" s="159">
        <v>0</v>
      </c>
      <c r="AC47" s="159">
        <v>0</v>
      </c>
      <c r="AD47" s="159">
        <v>0</v>
      </c>
      <c r="AE47" s="159">
        <v>0</v>
      </c>
      <c r="AF47" s="159">
        <v>0</v>
      </c>
      <c r="AG47" s="159">
        <v>0</v>
      </c>
      <c r="AH47" s="159">
        <v>0</v>
      </c>
      <c r="AI47" s="159">
        <v>0</v>
      </c>
      <c r="AJ47" s="159">
        <v>0</v>
      </c>
    </row>
    <row r="48" spans="1:36">
      <c r="A48" s="161" t="s">
        <v>380</v>
      </c>
      <c r="B48" s="162" t="s">
        <v>303</v>
      </c>
      <c r="C48" s="163" t="s">
        <v>296</v>
      </c>
      <c r="D48" s="163" t="s">
        <v>226</v>
      </c>
      <c r="E48" s="164">
        <v>0.125</v>
      </c>
      <c r="F48" s="165">
        <v>121.73333333333333</v>
      </c>
      <c r="G48" s="166">
        <v>42195</v>
      </c>
      <c r="H48" s="167">
        <v>6082.2259263315618</v>
      </c>
      <c r="I48" s="167">
        <v>6409.0870899912006</v>
      </c>
      <c r="J48" s="167">
        <v>0</v>
      </c>
      <c r="K48" s="167">
        <v>0</v>
      </c>
      <c r="L48" s="167">
        <v>0</v>
      </c>
      <c r="M48" s="168">
        <v>0</v>
      </c>
      <c r="N48" s="167">
        <v>0</v>
      </c>
      <c r="O48" s="167">
        <v>0</v>
      </c>
      <c r="P48" s="167">
        <v>0</v>
      </c>
      <c r="Q48" s="167">
        <v>0</v>
      </c>
      <c r="R48" s="167">
        <v>0</v>
      </c>
      <c r="S48" s="167">
        <v>0</v>
      </c>
      <c r="T48" s="167">
        <v>0</v>
      </c>
      <c r="U48" s="167">
        <v>0</v>
      </c>
      <c r="V48" s="167">
        <v>0</v>
      </c>
      <c r="W48" s="167">
        <v>0</v>
      </c>
      <c r="X48" s="167">
        <v>0</v>
      </c>
      <c r="Y48" s="167">
        <v>0</v>
      </c>
      <c r="Z48" s="167">
        <v>0</v>
      </c>
      <c r="AA48" s="167">
        <v>0</v>
      </c>
      <c r="AB48" s="167">
        <v>0</v>
      </c>
      <c r="AC48" s="167">
        <v>0</v>
      </c>
      <c r="AD48" s="167">
        <v>0</v>
      </c>
      <c r="AE48" s="167">
        <v>0</v>
      </c>
      <c r="AF48" s="167">
        <v>0</v>
      </c>
      <c r="AG48" s="167">
        <v>0</v>
      </c>
      <c r="AH48" s="167">
        <v>0</v>
      </c>
      <c r="AI48" s="167">
        <v>0</v>
      </c>
      <c r="AJ48" s="167">
        <v>0</v>
      </c>
    </row>
    <row r="49" spans="1:36">
      <c r="A49" s="153" t="s">
        <v>306</v>
      </c>
      <c r="B49" s="154" t="s">
        <v>303</v>
      </c>
      <c r="C49" s="155" t="s">
        <v>296</v>
      </c>
      <c r="D49" s="155" t="s">
        <v>226</v>
      </c>
      <c r="E49" s="156">
        <v>0.125</v>
      </c>
      <c r="F49" s="157">
        <v>121.73333333333333</v>
      </c>
      <c r="G49" s="158">
        <v>42411</v>
      </c>
      <c r="H49" s="159">
        <v>3938.0044524858695</v>
      </c>
      <c r="I49" s="159">
        <v>4145.8767646752003</v>
      </c>
      <c r="J49" s="159">
        <v>4351.6745438495991</v>
      </c>
      <c r="K49" s="159">
        <v>0</v>
      </c>
      <c r="L49" s="159">
        <v>0</v>
      </c>
      <c r="M49" s="160">
        <v>0</v>
      </c>
      <c r="N49" s="159">
        <v>0</v>
      </c>
      <c r="O49" s="159">
        <v>0</v>
      </c>
      <c r="P49" s="159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59">
        <v>0</v>
      </c>
      <c r="AC49" s="159">
        <v>0</v>
      </c>
      <c r="AD49" s="159">
        <v>0</v>
      </c>
      <c r="AE49" s="159">
        <v>0</v>
      </c>
      <c r="AF49" s="159">
        <v>0</v>
      </c>
      <c r="AG49" s="159">
        <v>0</v>
      </c>
      <c r="AH49" s="159">
        <v>0</v>
      </c>
      <c r="AI49" s="159">
        <v>0</v>
      </c>
      <c r="AJ49" s="159">
        <v>0</v>
      </c>
    </row>
    <row r="50" spans="1:36" ht="13.5" customHeight="1">
      <c r="A50" s="161" t="s">
        <v>305</v>
      </c>
      <c r="B50" s="162" t="s">
        <v>303</v>
      </c>
      <c r="C50" s="163" t="s">
        <v>296</v>
      </c>
      <c r="D50" s="163" t="s">
        <v>226</v>
      </c>
      <c r="E50" s="164">
        <v>0.13</v>
      </c>
      <c r="F50" s="165">
        <v>146.1</v>
      </c>
      <c r="G50" s="166">
        <v>42188</v>
      </c>
      <c r="H50" s="167">
        <v>30790.854875320983</v>
      </c>
      <c r="I50" s="167">
        <v>32471.597557919999</v>
      </c>
      <c r="J50" s="167">
        <v>0</v>
      </c>
      <c r="K50" s="167">
        <v>0</v>
      </c>
      <c r="L50" s="167">
        <v>0</v>
      </c>
      <c r="M50" s="168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0</v>
      </c>
      <c r="Y50" s="167">
        <v>0</v>
      </c>
      <c r="Z50" s="167">
        <v>0</v>
      </c>
      <c r="AA50" s="167">
        <v>0</v>
      </c>
      <c r="AB50" s="167">
        <v>0</v>
      </c>
      <c r="AC50" s="167">
        <v>0</v>
      </c>
      <c r="AD50" s="167">
        <v>0</v>
      </c>
      <c r="AE50" s="167">
        <v>0</v>
      </c>
      <c r="AF50" s="167">
        <v>0</v>
      </c>
      <c r="AG50" s="167">
        <v>0</v>
      </c>
      <c r="AH50" s="167">
        <v>0</v>
      </c>
      <c r="AI50" s="167">
        <v>0</v>
      </c>
      <c r="AJ50" s="167">
        <v>0</v>
      </c>
    </row>
    <row r="51" spans="1:36" ht="14.25" customHeight="1">
      <c r="A51" s="153" t="s">
        <v>308</v>
      </c>
      <c r="B51" s="154" t="s">
        <v>303</v>
      </c>
      <c r="C51" s="155" t="s">
        <v>296</v>
      </c>
      <c r="D51" s="155" t="s">
        <v>226</v>
      </c>
      <c r="E51" s="156">
        <v>0.10299999999999999</v>
      </c>
      <c r="F51" s="157">
        <v>182.63333333333333</v>
      </c>
      <c r="G51" s="158">
        <v>44138</v>
      </c>
      <c r="H51" s="159">
        <v>18445.204116671361</v>
      </c>
      <c r="I51" s="159">
        <v>19335.907134862799</v>
      </c>
      <c r="J51" s="159">
        <v>20192.718625924594</v>
      </c>
      <c r="K51" s="159">
        <v>17001.745622217801</v>
      </c>
      <c r="L51" s="159">
        <v>17940.211743776999</v>
      </c>
      <c r="M51" s="160">
        <v>18888.674922653434</v>
      </c>
      <c r="N51" s="159">
        <v>19488.839965423351</v>
      </c>
      <c r="O51" s="159">
        <v>15256.256327628482</v>
      </c>
      <c r="P51" s="159">
        <v>15757.059453490401</v>
      </c>
      <c r="Q51" s="159">
        <v>15726.159145445024</v>
      </c>
      <c r="R51" s="159">
        <v>16073.2271120154</v>
      </c>
      <c r="S51" s="159">
        <v>11915.666822385689</v>
      </c>
      <c r="T51" s="159">
        <v>12394.497345607917</v>
      </c>
      <c r="U51" s="159">
        <v>13176.047401659309</v>
      </c>
      <c r="V51" s="159">
        <v>13879.533482872523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59">
        <v>0</v>
      </c>
      <c r="AC51" s="159">
        <v>0</v>
      </c>
      <c r="AD51" s="159">
        <v>0</v>
      </c>
      <c r="AE51" s="159">
        <v>0</v>
      </c>
      <c r="AF51" s="159">
        <v>0</v>
      </c>
      <c r="AG51" s="159">
        <v>0</v>
      </c>
      <c r="AH51" s="159">
        <v>0</v>
      </c>
      <c r="AI51" s="159">
        <v>0</v>
      </c>
      <c r="AJ51" s="159">
        <v>0</v>
      </c>
    </row>
    <row r="52" spans="1:36">
      <c r="A52" s="161" t="s">
        <v>307</v>
      </c>
      <c r="B52" s="162" t="s">
        <v>303</v>
      </c>
      <c r="C52" s="163" t="s">
        <v>296</v>
      </c>
      <c r="D52" s="163" t="s">
        <v>226</v>
      </c>
      <c r="E52" s="164">
        <v>9.5000000000000001E-2</v>
      </c>
      <c r="F52" s="165">
        <v>182.63333333333333</v>
      </c>
      <c r="G52" s="166">
        <v>44262</v>
      </c>
      <c r="H52" s="167">
        <v>121126.90094337784</v>
      </c>
      <c r="I52" s="167">
        <v>126793.99046223341</v>
      </c>
      <c r="J52" s="167">
        <v>132122.78816901095</v>
      </c>
      <c r="K52" s="167">
        <v>140644.54496288515</v>
      </c>
      <c r="L52" s="167">
        <v>117525.264328042</v>
      </c>
      <c r="M52" s="168">
        <v>123315.42754347522</v>
      </c>
      <c r="N52" s="167">
        <v>127252.71769598627</v>
      </c>
      <c r="O52" s="167">
        <v>130900.61665340788</v>
      </c>
      <c r="P52" s="167">
        <v>102966.605655853</v>
      </c>
      <c r="Q52" s="167">
        <v>102667.99026924666</v>
      </c>
      <c r="R52" s="167">
        <v>104583.91511146906</v>
      </c>
      <c r="S52" s="167">
        <v>108622.20023548222</v>
      </c>
      <c r="T52" s="167">
        <v>80664.562519239524</v>
      </c>
      <c r="U52" s="167">
        <v>85459.036464756995</v>
      </c>
      <c r="V52" s="167">
        <v>89892.32971343807</v>
      </c>
      <c r="W52" s="167">
        <v>71679.506240354764</v>
      </c>
      <c r="X52" s="167">
        <v>47391.373763769516</v>
      </c>
      <c r="Y52" s="167">
        <v>49583.397613769514</v>
      </c>
      <c r="Z52" s="167">
        <v>50673.175334369866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167">
        <v>0</v>
      </c>
      <c r="AJ52" s="167">
        <v>0</v>
      </c>
    </row>
    <row r="53" spans="1:36">
      <c r="A53" s="153" t="s">
        <v>300</v>
      </c>
      <c r="B53" s="154" t="s">
        <v>299</v>
      </c>
      <c r="C53" s="155" t="s">
        <v>301</v>
      </c>
      <c r="D53" s="155" t="s">
        <v>226</v>
      </c>
      <c r="E53" s="156">
        <v>0.1</v>
      </c>
      <c r="F53" s="157">
        <v>122</v>
      </c>
      <c r="G53" s="158">
        <v>43220</v>
      </c>
      <c r="H53" s="159">
        <v>3963.0424371457143</v>
      </c>
      <c r="I53" s="159">
        <v>3504.1321871565237</v>
      </c>
      <c r="J53" s="159">
        <v>3388.2491942679389</v>
      </c>
      <c r="K53" s="159">
        <v>3331.9471047593966</v>
      </c>
      <c r="L53" s="159">
        <v>3250.0168192620399</v>
      </c>
      <c r="M53" s="160">
        <v>2733.7392711659445</v>
      </c>
      <c r="N53" s="159">
        <v>2524.5383461490173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59">
        <v>0</v>
      </c>
      <c r="W53" s="159">
        <v>0</v>
      </c>
      <c r="X53" s="159">
        <v>0</v>
      </c>
      <c r="Y53" s="159">
        <v>0</v>
      </c>
      <c r="Z53" s="159">
        <v>0</v>
      </c>
      <c r="AA53" s="159">
        <v>0</v>
      </c>
      <c r="AB53" s="159">
        <v>0</v>
      </c>
      <c r="AC53" s="159">
        <v>0</v>
      </c>
      <c r="AD53" s="159">
        <v>0</v>
      </c>
      <c r="AE53" s="159">
        <v>0</v>
      </c>
      <c r="AF53" s="159">
        <v>0</v>
      </c>
      <c r="AG53" s="159">
        <v>0</v>
      </c>
      <c r="AH53" s="159">
        <v>0</v>
      </c>
      <c r="AI53" s="159">
        <v>0</v>
      </c>
      <c r="AJ53" s="159">
        <v>0</v>
      </c>
    </row>
    <row r="54" spans="1:36">
      <c r="A54" s="161" t="s">
        <v>381</v>
      </c>
      <c r="B54" s="162" t="s">
        <v>299</v>
      </c>
      <c r="C54" s="163" t="s">
        <v>239</v>
      </c>
      <c r="D54" s="163" t="s">
        <v>226</v>
      </c>
      <c r="E54" s="164">
        <v>0.1</v>
      </c>
      <c r="F54" s="165">
        <v>122</v>
      </c>
      <c r="G54" s="166">
        <v>43220</v>
      </c>
      <c r="H54" s="167">
        <v>9375.8114578809236</v>
      </c>
      <c r="I54" s="167">
        <v>7495.8018208893891</v>
      </c>
      <c r="J54" s="167">
        <v>7430.6589664109133</v>
      </c>
      <c r="K54" s="167">
        <v>7489.5525335361381</v>
      </c>
      <c r="L54" s="167">
        <v>7484.8063419787804</v>
      </c>
      <c r="M54" s="168">
        <v>6240.9671448211993</v>
      </c>
      <c r="N54" s="167">
        <v>6739.2092222421461</v>
      </c>
      <c r="O54" s="167">
        <v>0</v>
      </c>
      <c r="P54" s="167">
        <v>0</v>
      </c>
      <c r="Q54" s="167">
        <v>0</v>
      </c>
      <c r="R54" s="167">
        <v>0</v>
      </c>
      <c r="S54" s="167">
        <v>0</v>
      </c>
      <c r="T54" s="167">
        <v>0</v>
      </c>
      <c r="U54" s="167">
        <v>0</v>
      </c>
      <c r="V54" s="167">
        <v>0</v>
      </c>
      <c r="W54" s="167">
        <v>0</v>
      </c>
      <c r="X54" s="167">
        <v>0</v>
      </c>
      <c r="Y54" s="167">
        <v>0</v>
      </c>
      <c r="Z54" s="167">
        <v>0</v>
      </c>
      <c r="AA54" s="167">
        <v>0</v>
      </c>
      <c r="AB54" s="167">
        <v>0</v>
      </c>
      <c r="AC54" s="167">
        <v>0</v>
      </c>
      <c r="AD54" s="167">
        <v>0</v>
      </c>
      <c r="AE54" s="167">
        <v>0</v>
      </c>
      <c r="AF54" s="167">
        <v>0</v>
      </c>
      <c r="AG54" s="167">
        <v>0</v>
      </c>
      <c r="AH54" s="167">
        <v>0</v>
      </c>
      <c r="AI54" s="167">
        <v>0</v>
      </c>
      <c r="AJ54" s="167">
        <v>0</v>
      </c>
    </row>
    <row r="55" spans="1:36">
      <c r="A55" s="153" t="s">
        <v>382</v>
      </c>
      <c r="B55" s="154" t="s">
        <v>299</v>
      </c>
      <c r="C55" s="155" t="s">
        <v>225</v>
      </c>
      <c r="D55" s="155" t="s">
        <v>226</v>
      </c>
      <c r="E55" s="156">
        <v>0.1</v>
      </c>
      <c r="F55" s="157">
        <v>122</v>
      </c>
      <c r="G55" s="158">
        <v>43220</v>
      </c>
      <c r="H55" s="159">
        <v>2290.6452554767452</v>
      </c>
      <c r="I55" s="159">
        <v>1986.535019951986</v>
      </c>
      <c r="J55" s="159">
        <v>1906.7761165583449</v>
      </c>
      <c r="K55" s="159">
        <v>1915.2072731318351</v>
      </c>
      <c r="L55" s="159">
        <v>1786.4351594966599</v>
      </c>
      <c r="M55" s="160">
        <v>1416.08603770273</v>
      </c>
      <c r="N55" s="159">
        <v>1263.9548277930844</v>
      </c>
      <c r="O55" s="159">
        <v>0</v>
      </c>
      <c r="P55" s="159">
        <v>0</v>
      </c>
      <c r="Q55" s="159">
        <v>0</v>
      </c>
      <c r="R55" s="159">
        <v>0</v>
      </c>
      <c r="S55" s="159">
        <v>0</v>
      </c>
      <c r="T55" s="159">
        <v>0</v>
      </c>
      <c r="U55" s="159">
        <v>0</v>
      </c>
      <c r="V55" s="159">
        <v>0</v>
      </c>
      <c r="W55" s="159">
        <v>0</v>
      </c>
      <c r="X55" s="159">
        <v>0</v>
      </c>
      <c r="Y55" s="159">
        <v>0</v>
      </c>
      <c r="Z55" s="159">
        <v>0</v>
      </c>
      <c r="AA55" s="159">
        <v>0</v>
      </c>
      <c r="AB55" s="159">
        <v>0</v>
      </c>
      <c r="AC55" s="159">
        <v>0</v>
      </c>
      <c r="AD55" s="159">
        <v>0</v>
      </c>
      <c r="AE55" s="159">
        <v>0</v>
      </c>
      <c r="AF55" s="159">
        <v>0</v>
      </c>
      <c r="AG55" s="159">
        <v>0</v>
      </c>
      <c r="AH55" s="159">
        <v>0</v>
      </c>
      <c r="AI55" s="159">
        <v>0</v>
      </c>
      <c r="AJ55" s="159">
        <v>0</v>
      </c>
    </row>
    <row r="56" spans="1:36">
      <c r="A56" s="161" t="s">
        <v>382</v>
      </c>
      <c r="B56" s="162" t="s">
        <v>299</v>
      </c>
      <c r="C56" s="163" t="s">
        <v>225</v>
      </c>
      <c r="D56" s="163" t="s">
        <v>226</v>
      </c>
      <c r="E56" s="164">
        <v>0.1</v>
      </c>
      <c r="F56" s="165">
        <v>122</v>
      </c>
      <c r="G56" s="166">
        <v>43220</v>
      </c>
      <c r="H56" s="167">
        <v>2290.6452554767452</v>
      </c>
      <c r="I56" s="167">
        <v>1986.535019951986</v>
      </c>
      <c r="J56" s="167">
        <v>1906.7761165583449</v>
      </c>
      <c r="K56" s="167">
        <v>1915.2072731318351</v>
      </c>
      <c r="L56" s="167">
        <v>1786.4351594966599</v>
      </c>
      <c r="M56" s="168">
        <v>1416.08603770273</v>
      </c>
      <c r="N56" s="167">
        <v>1263.9548277930844</v>
      </c>
      <c r="O56" s="167">
        <v>0</v>
      </c>
      <c r="P56" s="167"/>
      <c r="Q56" s="167"/>
      <c r="R56" s="167">
        <v>0</v>
      </c>
      <c r="S56" s="167">
        <v>0</v>
      </c>
      <c r="T56" s="167">
        <v>0</v>
      </c>
      <c r="U56" s="167">
        <v>0</v>
      </c>
      <c r="V56" s="167">
        <v>0</v>
      </c>
      <c r="W56" s="167">
        <v>0</v>
      </c>
      <c r="X56" s="167">
        <v>0</v>
      </c>
      <c r="Y56" s="167">
        <v>0</v>
      </c>
      <c r="Z56" s="167">
        <v>0</v>
      </c>
      <c r="AA56" s="167">
        <v>0</v>
      </c>
      <c r="AB56" s="167">
        <v>0</v>
      </c>
      <c r="AC56" s="167">
        <v>0</v>
      </c>
      <c r="AD56" s="167">
        <v>0</v>
      </c>
      <c r="AE56" s="167">
        <v>0</v>
      </c>
      <c r="AF56" s="167">
        <v>0</v>
      </c>
      <c r="AG56" s="167">
        <v>0</v>
      </c>
      <c r="AH56" s="167">
        <v>0</v>
      </c>
      <c r="AI56" s="167">
        <v>0</v>
      </c>
      <c r="AJ56" s="167">
        <v>0</v>
      </c>
    </row>
    <row r="57" spans="1:36">
      <c r="A57" s="153" t="s">
        <v>382</v>
      </c>
      <c r="B57" s="154" t="s">
        <v>299</v>
      </c>
      <c r="C57" s="155" t="s">
        <v>225</v>
      </c>
      <c r="D57" s="155" t="s">
        <v>226</v>
      </c>
      <c r="E57" s="156">
        <v>0.1</v>
      </c>
      <c r="F57" s="157">
        <v>105</v>
      </c>
      <c r="G57" s="158">
        <v>42704</v>
      </c>
      <c r="H57" s="159">
        <v>2808.5397223368832</v>
      </c>
      <c r="I57" s="159">
        <v>1837.5611411175801</v>
      </c>
      <c r="J57" s="159">
        <v>1766.4853312772777</v>
      </c>
      <c r="K57" s="159">
        <v>1777.1008950330022</v>
      </c>
      <c r="L57" s="159">
        <v>1663.6396180283014</v>
      </c>
      <c r="M57" s="160">
        <v>1322.9737461224004</v>
      </c>
      <c r="N57" s="159">
        <v>1398.279854068109</v>
      </c>
      <c r="O57" s="159">
        <v>0</v>
      </c>
      <c r="P57" s="159">
        <v>0</v>
      </c>
      <c r="Q57" s="159">
        <v>0</v>
      </c>
      <c r="R57" s="159">
        <v>0</v>
      </c>
      <c r="S57" s="159">
        <v>0</v>
      </c>
      <c r="T57" s="159">
        <v>0</v>
      </c>
      <c r="U57" s="159">
        <v>0</v>
      </c>
      <c r="V57" s="159">
        <v>0</v>
      </c>
      <c r="W57" s="159">
        <v>0</v>
      </c>
      <c r="X57" s="159">
        <v>0</v>
      </c>
      <c r="Y57" s="159">
        <v>0</v>
      </c>
      <c r="Z57" s="159">
        <v>0</v>
      </c>
      <c r="AA57" s="159">
        <v>0</v>
      </c>
      <c r="AB57" s="159">
        <v>0</v>
      </c>
      <c r="AC57" s="159">
        <v>0</v>
      </c>
      <c r="AD57" s="159">
        <v>0</v>
      </c>
      <c r="AE57" s="159">
        <v>0</v>
      </c>
      <c r="AF57" s="159">
        <v>0</v>
      </c>
      <c r="AG57" s="159">
        <v>0</v>
      </c>
      <c r="AH57" s="159">
        <v>0</v>
      </c>
      <c r="AI57" s="159">
        <v>0</v>
      </c>
      <c r="AJ57" s="159">
        <v>0</v>
      </c>
    </row>
    <row r="58" spans="1:36">
      <c r="A58" s="161" t="s">
        <v>382</v>
      </c>
      <c r="B58" s="162" t="s">
        <v>299</v>
      </c>
      <c r="C58" s="163" t="s">
        <v>225</v>
      </c>
      <c r="D58" s="163" t="s">
        <v>226</v>
      </c>
      <c r="E58" s="164">
        <v>0.1</v>
      </c>
      <c r="F58" s="165">
        <v>122</v>
      </c>
      <c r="G58" s="166">
        <v>43220</v>
      </c>
      <c r="H58" s="167">
        <v>2108.8798799450465</v>
      </c>
      <c r="I58" s="167">
        <v>2447.2059817773484</v>
      </c>
      <c r="J58" s="167">
        <v>2352.5494595486125</v>
      </c>
      <c r="K58" s="167">
        <v>2366.686932605508</v>
      </c>
      <c r="L58" s="167">
        <v>2215.5827817976988</v>
      </c>
      <c r="M58" s="168">
        <v>1761.8947162084996</v>
      </c>
      <c r="N58" s="167">
        <v>1862.185016055081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7">
        <v>0</v>
      </c>
      <c r="W58" s="167">
        <v>0</v>
      </c>
      <c r="X58" s="167">
        <v>0</v>
      </c>
      <c r="Y58" s="167">
        <v>0</v>
      </c>
      <c r="Z58" s="167">
        <v>0</v>
      </c>
      <c r="AA58" s="167">
        <v>0</v>
      </c>
      <c r="AB58" s="167">
        <v>0</v>
      </c>
      <c r="AC58" s="167">
        <v>0</v>
      </c>
      <c r="AD58" s="167">
        <v>0</v>
      </c>
      <c r="AE58" s="167">
        <v>0</v>
      </c>
      <c r="AF58" s="167">
        <v>0</v>
      </c>
      <c r="AG58" s="167">
        <v>0</v>
      </c>
      <c r="AH58" s="167">
        <v>0</v>
      </c>
      <c r="AI58" s="167">
        <v>0</v>
      </c>
      <c r="AJ58" s="167">
        <v>0</v>
      </c>
    </row>
    <row r="59" spans="1:36">
      <c r="A59" s="153" t="s">
        <v>382</v>
      </c>
      <c r="B59" s="154" t="s">
        <v>299</v>
      </c>
      <c r="C59" s="155" t="s">
        <v>239</v>
      </c>
      <c r="D59" s="155" t="s">
        <v>226</v>
      </c>
      <c r="E59" s="156">
        <v>9.2499999999999999E-2</v>
      </c>
      <c r="F59" s="157">
        <v>121</v>
      </c>
      <c r="G59" s="158">
        <v>42891</v>
      </c>
      <c r="H59" s="159">
        <v>121609.03172384454</v>
      </c>
      <c r="I59" s="159">
        <v>77568.319334965083</v>
      </c>
      <c r="J59" s="159">
        <v>80856.711216702577</v>
      </c>
      <c r="K59" s="159">
        <v>86022.669531893989</v>
      </c>
      <c r="L59" s="159">
        <v>90230.942442029002</v>
      </c>
      <c r="M59" s="160">
        <v>43143.433211223812</v>
      </c>
      <c r="N59" s="159">
        <v>0</v>
      </c>
      <c r="O59" s="159">
        <v>0</v>
      </c>
      <c r="P59" s="159">
        <v>0</v>
      </c>
      <c r="Q59" s="159">
        <v>0</v>
      </c>
      <c r="R59" s="159">
        <v>0</v>
      </c>
      <c r="S59" s="159">
        <v>0</v>
      </c>
      <c r="T59" s="159">
        <v>0</v>
      </c>
      <c r="U59" s="159">
        <v>0</v>
      </c>
      <c r="V59" s="159">
        <v>0</v>
      </c>
      <c r="W59" s="159">
        <v>0</v>
      </c>
      <c r="X59" s="159">
        <v>0</v>
      </c>
      <c r="Y59" s="159">
        <v>0</v>
      </c>
      <c r="Z59" s="159">
        <v>0</v>
      </c>
      <c r="AA59" s="159">
        <v>0</v>
      </c>
      <c r="AB59" s="159">
        <v>0</v>
      </c>
      <c r="AC59" s="159">
        <v>0</v>
      </c>
      <c r="AD59" s="159">
        <v>0</v>
      </c>
      <c r="AE59" s="159">
        <v>0</v>
      </c>
      <c r="AF59" s="159">
        <v>0</v>
      </c>
      <c r="AG59" s="159">
        <v>0</v>
      </c>
      <c r="AH59" s="159">
        <v>0</v>
      </c>
      <c r="AI59" s="159">
        <v>0</v>
      </c>
      <c r="AJ59" s="159">
        <v>0</v>
      </c>
    </row>
    <row r="60" spans="1:36">
      <c r="A60" s="161" t="s">
        <v>383</v>
      </c>
      <c r="B60" s="162" t="s">
        <v>299</v>
      </c>
      <c r="C60" s="163" t="s">
        <v>239</v>
      </c>
      <c r="D60" s="163" t="s">
        <v>226</v>
      </c>
      <c r="E60" s="164">
        <v>9.2499999999999999E-2</v>
      </c>
      <c r="F60" s="165">
        <v>121</v>
      </c>
      <c r="G60" s="166">
        <v>42891</v>
      </c>
      <c r="H60" s="167">
        <v>12112.428549813701</v>
      </c>
      <c r="I60" s="167">
        <v>7745.8249686205381</v>
      </c>
      <c r="J60" s="167">
        <v>8072.9888422123058</v>
      </c>
      <c r="K60" s="167">
        <v>8586.6381722011265</v>
      </c>
      <c r="L60" s="167">
        <v>8949.2917901565997</v>
      </c>
      <c r="M60" s="168">
        <v>4282.0519825418341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  <c r="W60" s="167">
        <v>0</v>
      </c>
      <c r="X60" s="167">
        <v>0</v>
      </c>
      <c r="Y60" s="167">
        <v>0</v>
      </c>
      <c r="Z60" s="167">
        <v>0</v>
      </c>
      <c r="AA60" s="167">
        <v>0</v>
      </c>
      <c r="AB60" s="167">
        <v>0</v>
      </c>
      <c r="AC60" s="167">
        <v>0</v>
      </c>
      <c r="AD60" s="167">
        <v>0</v>
      </c>
      <c r="AE60" s="167">
        <v>0</v>
      </c>
      <c r="AF60" s="167">
        <v>0</v>
      </c>
      <c r="AG60" s="167">
        <v>0</v>
      </c>
      <c r="AH60" s="167">
        <v>0</v>
      </c>
      <c r="AI60" s="167">
        <v>0</v>
      </c>
      <c r="AJ60" s="167">
        <v>0</v>
      </c>
    </row>
    <row r="61" spans="1:36">
      <c r="A61" s="153" t="s">
        <v>320</v>
      </c>
      <c r="B61" s="154" t="s">
        <v>375</v>
      </c>
      <c r="C61" s="155" t="s">
        <v>237</v>
      </c>
      <c r="D61" s="155" t="s">
        <v>228</v>
      </c>
      <c r="E61" s="156">
        <v>9.5000000000000001E-2</v>
      </c>
      <c r="F61" s="157">
        <v>144</v>
      </c>
      <c r="G61" s="158">
        <v>45836</v>
      </c>
      <c r="H61" s="159">
        <v>122292.91465000423</v>
      </c>
      <c r="I61" s="159">
        <v>120560.3173098861</v>
      </c>
      <c r="J61" s="159">
        <v>119007.96514959304</v>
      </c>
      <c r="K61" s="159">
        <v>117425.77481474439</v>
      </c>
      <c r="L61" s="159">
        <v>115623.238958901</v>
      </c>
      <c r="M61" s="160">
        <v>113667.44348119899</v>
      </c>
      <c r="N61" s="159">
        <v>111492.3248006209</v>
      </c>
      <c r="O61" s="159">
        <v>109140.46572307087</v>
      </c>
      <c r="P61" s="159">
        <v>106654.727663553</v>
      </c>
      <c r="Q61" s="159">
        <v>106064.58169775749</v>
      </c>
      <c r="R61" s="159">
        <v>103616.61321538477</v>
      </c>
      <c r="S61" s="159">
        <v>101010.42096624275</v>
      </c>
      <c r="T61" s="159">
        <v>98302.430958409357</v>
      </c>
      <c r="U61" s="159">
        <v>95724.904058056578</v>
      </c>
      <c r="V61" s="159">
        <v>93249.959295574503</v>
      </c>
      <c r="W61" s="159">
        <v>90740.983597901999</v>
      </c>
      <c r="X61" s="159">
        <v>88150.43663159071</v>
      </c>
      <c r="Y61" s="159">
        <v>85478.890400803561</v>
      </c>
      <c r="Z61" s="159">
        <v>0</v>
      </c>
      <c r="AA61" s="159">
        <v>0</v>
      </c>
      <c r="AB61" s="159">
        <v>0</v>
      </c>
      <c r="AC61" s="159">
        <v>0</v>
      </c>
      <c r="AD61" s="159">
        <v>0</v>
      </c>
      <c r="AE61" s="159">
        <v>0</v>
      </c>
      <c r="AF61" s="159">
        <v>0</v>
      </c>
      <c r="AG61" s="159">
        <v>0</v>
      </c>
      <c r="AH61" s="159">
        <v>0</v>
      </c>
      <c r="AI61" s="159">
        <v>0</v>
      </c>
      <c r="AJ61" s="159">
        <v>0</v>
      </c>
    </row>
    <row r="62" spans="1:36">
      <c r="A62" s="161" t="s">
        <v>333</v>
      </c>
      <c r="B62" s="162" t="s">
        <v>384</v>
      </c>
      <c r="C62" s="163" t="s">
        <v>296</v>
      </c>
      <c r="D62" s="163" t="s">
        <v>233</v>
      </c>
      <c r="E62" s="164">
        <v>1.0800000000000001E-2</v>
      </c>
      <c r="F62" s="165">
        <v>60</v>
      </c>
      <c r="G62" s="166">
        <v>42931</v>
      </c>
      <c r="H62" s="167">
        <v>378568.73535123601</v>
      </c>
      <c r="I62" s="167">
        <v>391032.89451414003</v>
      </c>
      <c r="J62" s="167">
        <v>380440.50587117998</v>
      </c>
      <c r="K62" s="167">
        <v>394284.95525440812</v>
      </c>
      <c r="L62" s="167">
        <v>379865.66882698797</v>
      </c>
      <c r="M62" s="168">
        <v>393682.59107690415</v>
      </c>
      <c r="N62" s="167">
        <v>190255.97654298015</v>
      </c>
      <c r="O62" s="167">
        <v>197052.651681552</v>
      </c>
      <c r="P62" s="167">
        <v>189488.61304855201</v>
      </c>
      <c r="Q62" s="167">
        <v>194821.56630792012</v>
      </c>
      <c r="R62" s="167">
        <v>0</v>
      </c>
      <c r="S62" s="167">
        <v>0</v>
      </c>
      <c r="T62" s="167">
        <v>0</v>
      </c>
      <c r="U62" s="167">
        <v>0</v>
      </c>
      <c r="V62" s="167">
        <v>0</v>
      </c>
      <c r="W62" s="167">
        <v>0</v>
      </c>
      <c r="X62" s="167">
        <v>0</v>
      </c>
      <c r="Y62" s="167">
        <v>0</v>
      </c>
      <c r="Z62" s="167">
        <v>0</v>
      </c>
      <c r="AA62" s="167">
        <v>0</v>
      </c>
      <c r="AB62" s="167">
        <v>0</v>
      </c>
      <c r="AC62" s="167">
        <v>0</v>
      </c>
      <c r="AD62" s="167">
        <v>0</v>
      </c>
      <c r="AE62" s="167">
        <v>0</v>
      </c>
      <c r="AF62" s="167">
        <v>0</v>
      </c>
      <c r="AG62" s="167">
        <v>0</v>
      </c>
      <c r="AH62" s="167">
        <v>0</v>
      </c>
      <c r="AI62" s="167">
        <v>0</v>
      </c>
      <c r="AJ62" s="167">
        <v>0</v>
      </c>
    </row>
    <row r="63" spans="1:36">
      <c r="A63" s="153" t="s">
        <v>334</v>
      </c>
      <c r="B63" s="154" t="s">
        <v>384</v>
      </c>
      <c r="C63" s="155" t="s">
        <v>296</v>
      </c>
      <c r="D63" s="155" t="s">
        <v>311</v>
      </c>
      <c r="E63" s="156">
        <v>5.8500000000000003E-2</v>
      </c>
      <c r="F63" s="157">
        <v>84</v>
      </c>
      <c r="G63" s="158">
        <v>43661</v>
      </c>
      <c r="H63" s="159">
        <v>289382.44605153595</v>
      </c>
      <c r="I63" s="159">
        <v>300707.54660669999</v>
      </c>
      <c r="J63" s="159">
        <v>292614.77799297596</v>
      </c>
      <c r="K63" s="159">
        <v>303751.13619400596</v>
      </c>
      <c r="L63" s="159">
        <v>316791.44065949001</v>
      </c>
      <c r="M63" s="160">
        <v>327078.28460279398</v>
      </c>
      <c r="N63" s="159">
        <v>317270.35653071199</v>
      </c>
      <c r="O63" s="159">
        <v>323881.83721383399</v>
      </c>
      <c r="P63" s="159">
        <v>331682.06938882399</v>
      </c>
      <c r="Q63" s="159">
        <v>337805.89019323798</v>
      </c>
      <c r="R63" s="159">
        <v>325211.70172326994</v>
      </c>
      <c r="S63" s="159">
        <v>332660.83754561999</v>
      </c>
      <c r="T63" s="159">
        <v>340116.40185704798</v>
      </c>
      <c r="U63" s="159">
        <v>350041.34790548799</v>
      </c>
      <c r="V63" s="159">
        <v>169702.25090833197</v>
      </c>
      <c r="W63" s="159">
        <v>172979.32725227001</v>
      </c>
      <c r="X63" s="159">
        <v>177566.83867622999</v>
      </c>
      <c r="Y63" s="159">
        <v>181942.70496863997</v>
      </c>
      <c r="Z63" s="159">
        <v>0</v>
      </c>
      <c r="AA63" s="159">
        <v>0</v>
      </c>
      <c r="AB63" s="159">
        <v>0</v>
      </c>
      <c r="AC63" s="159">
        <v>0</v>
      </c>
      <c r="AD63" s="159">
        <v>0</v>
      </c>
      <c r="AE63" s="159">
        <v>0</v>
      </c>
      <c r="AF63" s="159">
        <v>0</v>
      </c>
      <c r="AG63" s="159">
        <v>0</v>
      </c>
      <c r="AH63" s="159">
        <v>0</v>
      </c>
      <c r="AI63" s="159">
        <v>0</v>
      </c>
      <c r="AJ63" s="159">
        <v>0</v>
      </c>
    </row>
    <row r="64" spans="1:36">
      <c r="A64" s="161" t="s">
        <v>339</v>
      </c>
      <c r="B64" s="162" t="s">
        <v>375</v>
      </c>
      <c r="C64" s="163" t="s">
        <v>237</v>
      </c>
      <c r="D64" s="163" t="s">
        <v>228</v>
      </c>
      <c r="E64" s="164">
        <v>9.5000000000000001E-2</v>
      </c>
      <c r="F64" s="165">
        <v>144</v>
      </c>
      <c r="G64" s="166">
        <v>46011</v>
      </c>
      <c r="H64" s="167">
        <v>42281.588857174436</v>
      </c>
      <c r="I64" s="167">
        <v>41771.521172821202</v>
      </c>
      <c r="J64" s="167">
        <v>41278.843123283499</v>
      </c>
      <c r="K64" s="167">
        <v>40792.563819881201</v>
      </c>
      <c r="L64" s="167">
        <v>40245.021498492897</v>
      </c>
      <c r="M64" s="168">
        <v>39635.372097267013</v>
      </c>
      <c r="N64" s="167">
        <v>39006.887833960893</v>
      </c>
      <c r="O64" s="167">
        <v>38290.101945665505</v>
      </c>
      <c r="P64" s="167">
        <v>37456.493504420105</v>
      </c>
      <c r="Q64" s="167">
        <v>37294.158354359963</v>
      </c>
      <c r="R64" s="167">
        <v>36511.722484680482</v>
      </c>
      <c r="S64" s="167">
        <v>35684.780158645852</v>
      </c>
      <c r="T64" s="167">
        <v>34823.677859725714</v>
      </c>
      <c r="U64" s="167">
        <v>33971.549333850293</v>
      </c>
      <c r="V64" s="167">
        <v>33170.731689155582</v>
      </c>
      <c r="W64" s="167">
        <v>32362.518212144165</v>
      </c>
      <c r="X64" s="167">
        <v>31525.774817531881</v>
      </c>
      <c r="Y64" s="167">
        <v>30662.243459535821</v>
      </c>
      <c r="Z64" s="167">
        <v>0</v>
      </c>
      <c r="AA64" s="167">
        <v>0</v>
      </c>
      <c r="AB64" s="167">
        <v>0</v>
      </c>
      <c r="AC64" s="167">
        <v>0</v>
      </c>
      <c r="AD64" s="167">
        <v>0</v>
      </c>
      <c r="AE64" s="167">
        <v>0</v>
      </c>
      <c r="AF64" s="167">
        <v>0</v>
      </c>
      <c r="AG64" s="167">
        <v>0</v>
      </c>
      <c r="AH64" s="167">
        <v>0</v>
      </c>
      <c r="AI64" s="167">
        <v>0</v>
      </c>
      <c r="AJ64" s="167">
        <v>0</v>
      </c>
    </row>
    <row r="65" spans="1:36">
      <c r="A65" s="153" t="s">
        <v>334</v>
      </c>
      <c r="B65" s="154" t="s">
        <v>353</v>
      </c>
      <c r="C65" s="155" t="s">
        <v>296</v>
      </c>
      <c r="D65" s="155" t="s">
        <v>233</v>
      </c>
      <c r="E65" s="156">
        <v>1.15E-2</v>
      </c>
      <c r="F65" s="157">
        <v>24</v>
      </c>
      <c r="G65" s="158">
        <v>42709</v>
      </c>
      <c r="H65" s="159">
        <v>231434.67196569999</v>
      </c>
      <c r="I65" s="159">
        <v>224772.33412870733</v>
      </c>
      <c r="J65" s="159">
        <v>233166.43934864001</v>
      </c>
      <c r="K65" s="159">
        <v>224838.91268159996</v>
      </c>
      <c r="L65" s="159">
        <v>232793.02621204001</v>
      </c>
      <c r="M65" s="160">
        <v>224965.73549344999</v>
      </c>
      <c r="N65" s="159">
        <v>233454.72396287997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59">
        <v>0</v>
      </c>
      <c r="W65" s="159">
        <v>0</v>
      </c>
      <c r="X65" s="159">
        <v>0</v>
      </c>
      <c r="Y65" s="159">
        <v>0</v>
      </c>
      <c r="Z65" s="159">
        <v>0</v>
      </c>
      <c r="AA65" s="159">
        <v>0</v>
      </c>
      <c r="AB65" s="159">
        <v>0</v>
      </c>
      <c r="AC65" s="159">
        <v>0</v>
      </c>
      <c r="AD65" s="159">
        <v>0</v>
      </c>
      <c r="AE65" s="159">
        <v>0</v>
      </c>
      <c r="AF65" s="159">
        <v>0</v>
      </c>
      <c r="AG65" s="159">
        <v>0</v>
      </c>
      <c r="AH65" s="159">
        <v>0</v>
      </c>
      <c r="AI65" s="159">
        <v>0</v>
      </c>
      <c r="AJ65" s="159">
        <v>0</v>
      </c>
    </row>
    <row r="66" spans="1:36">
      <c r="A66" s="161" t="s">
        <v>334</v>
      </c>
      <c r="B66" s="162" t="s">
        <v>367</v>
      </c>
      <c r="C66" s="163" t="s">
        <v>298</v>
      </c>
      <c r="D66" s="163" t="s">
        <v>233</v>
      </c>
      <c r="E66" s="164">
        <v>1.17</v>
      </c>
      <c r="F66" s="165" t="s">
        <v>368</v>
      </c>
      <c r="G66" s="166">
        <v>43780</v>
      </c>
      <c r="H66" s="167">
        <v>524430.28500000003</v>
      </c>
      <c r="I66" s="167">
        <v>510980.22</v>
      </c>
      <c r="J66" s="167">
        <v>530643.63</v>
      </c>
      <c r="K66" s="167">
        <v>465550.75384999998</v>
      </c>
      <c r="L66" s="167">
        <v>376484.83651450003</v>
      </c>
      <c r="M66" s="168">
        <v>363531.08534999995</v>
      </c>
      <c r="N66" s="167">
        <v>378323.22534999996</v>
      </c>
      <c r="O66" s="167">
        <v>363371.98141449998</v>
      </c>
      <c r="P66" s="167">
        <v>376080.78619999997</v>
      </c>
      <c r="Q66" s="167">
        <v>361548.09795000002</v>
      </c>
      <c r="R66" s="167">
        <v>371127.78714999993</v>
      </c>
      <c r="S66" s="167">
        <v>239517.14725049993</v>
      </c>
      <c r="T66" s="167">
        <v>244049.46558849994</v>
      </c>
      <c r="U66" s="167">
        <v>239347.925766</v>
      </c>
      <c r="V66" s="167">
        <v>0</v>
      </c>
      <c r="W66" s="167">
        <v>0</v>
      </c>
      <c r="X66" s="167">
        <v>0</v>
      </c>
      <c r="Y66" s="167">
        <v>0</v>
      </c>
      <c r="Z66" s="167">
        <v>0</v>
      </c>
      <c r="AA66" s="167">
        <v>0</v>
      </c>
      <c r="AB66" s="167">
        <v>0</v>
      </c>
      <c r="AC66" s="167">
        <v>0</v>
      </c>
      <c r="AD66" s="167">
        <v>0</v>
      </c>
      <c r="AE66" s="167">
        <v>0</v>
      </c>
      <c r="AF66" s="167">
        <v>0</v>
      </c>
      <c r="AG66" s="167">
        <v>0</v>
      </c>
      <c r="AH66" s="167">
        <v>0</v>
      </c>
      <c r="AI66" s="167">
        <v>0</v>
      </c>
      <c r="AJ66" s="167">
        <v>0</v>
      </c>
    </row>
    <row r="67" spans="1:36">
      <c r="A67" s="153" t="s">
        <v>356</v>
      </c>
      <c r="B67" s="154" t="s">
        <v>299</v>
      </c>
      <c r="C67" s="155" t="s">
        <v>237</v>
      </c>
      <c r="D67" s="155" t="s">
        <v>228</v>
      </c>
      <c r="E67" s="156">
        <v>9.5000000000000001E-2</v>
      </c>
      <c r="F67" s="157" t="s">
        <v>369</v>
      </c>
      <c r="G67" s="158">
        <v>45596</v>
      </c>
      <c r="H67" s="159">
        <v>26577.355048102254</v>
      </c>
      <c r="I67" s="159">
        <v>28896.6091093873</v>
      </c>
      <c r="J67" s="159">
        <v>0</v>
      </c>
      <c r="K67" s="159">
        <v>0</v>
      </c>
      <c r="L67" s="159">
        <v>0</v>
      </c>
      <c r="M67" s="160">
        <v>0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59">
        <v>0</v>
      </c>
      <c r="W67" s="159">
        <v>0</v>
      </c>
      <c r="X67" s="159">
        <v>0</v>
      </c>
      <c r="Y67" s="159">
        <v>0</v>
      </c>
      <c r="Z67" s="159">
        <v>0</v>
      </c>
      <c r="AA67" s="159">
        <v>0</v>
      </c>
      <c r="AB67" s="159">
        <v>0</v>
      </c>
      <c r="AC67" s="159">
        <v>0</v>
      </c>
      <c r="AD67" s="159">
        <v>0</v>
      </c>
      <c r="AE67" s="159">
        <v>0</v>
      </c>
      <c r="AF67" s="159">
        <v>0</v>
      </c>
      <c r="AG67" s="159">
        <v>0</v>
      </c>
      <c r="AH67" s="159">
        <v>0</v>
      </c>
      <c r="AI67" s="159">
        <v>0</v>
      </c>
      <c r="AJ67" s="159">
        <v>0</v>
      </c>
    </row>
    <row r="68" spans="1:36">
      <c r="A68" s="161" t="s">
        <v>385</v>
      </c>
      <c r="B68" s="162" t="s">
        <v>299</v>
      </c>
      <c r="C68" s="163" t="s">
        <v>247</v>
      </c>
      <c r="D68" s="163" t="s">
        <v>228</v>
      </c>
      <c r="E68" s="164">
        <v>0.1125</v>
      </c>
      <c r="F68" s="165">
        <v>144</v>
      </c>
      <c r="G68" s="166">
        <v>46520</v>
      </c>
      <c r="H68" s="167">
        <v>0</v>
      </c>
      <c r="I68" s="167">
        <v>30438.884243666591</v>
      </c>
      <c r="J68" s="167">
        <v>31336.340308369796</v>
      </c>
      <c r="K68" s="167">
        <v>29573.171174048694</v>
      </c>
      <c r="L68" s="167">
        <v>30416.118410286799</v>
      </c>
      <c r="M68" s="168">
        <v>28571.751415740517</v>
      </c>
      <c r="N68" s="167">
        <v>29418.454595814572</v>
      </c>
      <c r="O68" s="167">
        <v>27548.566119164003</v>
      </c>
      <c r="P68" s="167">
        <v>28307.632810326599</v>
      </c>
      <c r="Q68" s="167">
        <v>26373.01183818989</v>
      </c>
      <c r="R68" s="167">
        <v>27059.024383051023</v>
      </c>
      <c r="S68" s="167">
        <v>25098.248533623981</v>
      </c>
      <c r="T68" s="167">
        <v>25665.655808917261</v>
      </c>
      <c r="U68" s="167">
        <v>23768.58207226513</v>
      </c>
      <c r="V68" s="167">
        <v>24322.017819933328</v>
      </c>
      <c r="W68" s="167">
        <v>22461.136128280821</v>
      </c>
      <c r="X68" s="167">
        <v>22981.816805524842</v>
      </c>
      <c r="Y68" s="167">
        <v>21168.55123143542</v>
      </c>
      <c r="Z68" s="167">
        <v>21670.30103235193</v>
      </c>
      <c r="AA68" s="167">
        <v>0</v>
      </c>
      <c r="AB68" s="167">
        <v>0</v>
      </c>
      <c r="AC68" s="167">
        <v>0</v>
      </c>
      <c r="AD68" s="167">
        <v>0</v>
      </c>
      <c r="AE68" s="167">
        <v>0</v>
      </c>
      <c r="AF68" s="167">
        <v>0</v>
      </c>
      <c r="AG68" s="167">
        <v>0</v>
      </c>
      <c r="AH68" s="167">
        <v>0</v>
      </c>
      <c r="AI68" s="167">
        <v>0</v>
      </c>
      <c r="AJ68" s="167">
        <v>0</v>
      </c>
    </row>
    <row r="69" spans="1:36">
      <c r="A69" s="153" t="s">
        <v>402</v>
      </c>
      <c r="B69" s="154" t="s">
        <v>309</v>
      </c>
      <c r="C69" s="155" t="s">
        <v>310</v>
      </c>
      <c r="D69" s="155" t="s">
        <v>233</v>
      </c>
      <c r="E69" s="156">
        <v>1.4500000000000001E-2</v>
      </c>
      <c r="F69" s="157">
        <v>144</v>
      </c>
      <c r="G69" s="158">
        <v>46996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 s="160">
        <v>0</v>
      </c>
      <c r="N69" s="159">
        <v>150197.11199999999</v>
      </c>
      <c r="O69" s="159">
        <v>148669.12687195034</v>
      </c>
      <c r="P69" s="159">
        <v>147175.31495931299</v>
      </c>
      <c r="Q69" s="159">
        <v>145511.04854366259</v>
      </c>
      <c r="R69" s="159">
        <v>143868.76682635551</v>
      </c>
      <c r="S69" s="159">
        <v>142272.9882188215</v>
      </c>
      <c r="T69" s="159">
        <v>140803.28388773918</v>
      </c>
      <c r="U69" s="159">
        <v>139293.32938522674</v>
      </c>
      <c r="V69" s="159">
        <v>138249.08836951089</v>
      </c>
      <c r="W69" s="159">
        <v>138249.39481951093</v>
      </c>
      <c r="X69" s="159">
        <v>138291.33121999999</v>
      </c>
      <c r="Y69" s="159">
        <v>138207.47091999999</v>
      </c>
      <c r="Z69" s="159">
        <v>138223.50843048911</v>
      </c>
      <c r="AA69" s="159">
        <v>138186.95275048906</v>
      </c>
      <c r="AB69" s="159">
        <v>138196.05796000001</v>
      </c>
      <c r="AC69" s="159">
        <v>138119.29530548918</v>
      </c>
      <c r="AD69" s="159">
        <v>137374.71815999999</v>
      </c>
      <c r="AE69" s="159">
        <v>135122.51697548904</v>
      </c>
      <c r="AF69" s="159">
        <v>132893.55704450401</v>
      </c>
      <c r="AG69" s="159">
        <v>130693.68381473272</v>
      </c>
      <c r="AH69" s="159">
        <v>128275.21286699999</v>
      </c>
      <c r="AI69" s="159">
        <v>125459.0293575</v>
      </c>
      <c r="AJ69" s="159">
        <v>122481.3438495</v>
      </c>
    </row>
    <row r="70" spans="1:36">
      <c r="A70" s="161" t="s">
        <v>403</v>
      </c>
      <c r="B70" s="162" t="s">
        <v>309</v>
      </c>
      <c r="C70" s="163" t="s">
        <v>310</v>
      </c>
      <c r="D70" s="163" t="s">
        <v>233</v>
      </c>
      <c r="E70" s="164">
        <v>1.4500000000000001E-2</v>
      </c>
      <c r="F70" s="165">
        <v>144</v>
      </c>
      <c r="G70" s="166">
        <v>46996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8">
        <v>0</v>
      </c>
      <c r="N70" s="167">
        <v>150197.11199999999</v>
      </c>
      <c r="O70" s="167">
        <v>148669.12687195034</v>
      </c>
      <c r="P70" s="167">
        <v>147175.31495931299</v>
      </c>
      <c r="Q70" s="167">
        <v>145511.04854366259</v>
      </c>
      <c r="R70" s="167">
        <v>143868.76682635551</v>
      </c>
      <c r="S70" s="167">
        <v>142272.9882188215</v>
      </c>
      <c r="T70" s="167">
        <v>140803.28388773918</v>
      </c>
      <c r="U70" s="167">
        <v>139293.32938522674</v>
      </c>
      <c r="V70" s="167">
        <v>138249.08836951089</v>
      </c>
      <c r="W70" s="167">
        <v>138249.39481951093</v>
      </c>
      <c r="X70" s="167">
        <v>138291.33121999999</v>
      </c>
      <c r="Y70" s="167">
        <v>138207.47091999999</v>
      </c>
      <c r="Z70" s="167">
        <v>138223.50843048911</v>
      </c>
      <c r="AA70" s="167">
        <v>138186.95275048906</v>
      </c>
      <c r="AB70" s="167">
        <v>138196.05796000001</v>
      </c>
      <c r="AC70" s="167">
        <v>138119.29530548918</v>
      </c>
      <c r="AD70" s="167">
        <v>137374.71815999999</v>
      </c>
      <c r="AE70" s="167">
        <v>135122.51697548904</v>
      </c>
      <c r="AF70" s="167">
        <v>132893.55704450401</v>
      </c>
      <c r="AG70" s="167">
        <v>130693.68381473272</v>
      </c>
      <c r="AH70" s="167">
        <v>128275.21286699999</v>
      </c>
      <c r="AI70" s="167">
        <v>125459.0293575</v>
      </c>
      <c r="AJ70" s="167">
        <v>122481.3438495</v>
      </c>
    </row>
    <row r="71" spans="1:36">
      <c r="A71" s="153" t="s">
        <v>266</v>
      </c>
      <c r="B71" s="154" t="s">
        <v>309</v>
      </c>
      <c r="C71" s="155" t="s">
        <v>310</v>
      </c>
      <c r="D71" s="155" t="s">
        <v>233</v>
      </c>
      <c r="E71" s="156">
        <v>1.6500000000000001E-2</v>
      </c>
      <c r="F71" s="157">
        <v>144</v>
      </c>
      <c r="G71" s="158">
        <v>47110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 s="160">
        <v>0</v>
      </c>
      <c r="N71" s="159">
        <v>0</v>
      </c>
      <c r="O71" s="159">
        <v>120343.6866</v>
      </c>
      <c r="P71" s="159">
        <v>120314.492117164</v>
      </c>
      <c r="Q71" s="159">
        <v>117781.9057529971</v>
      </c>
      <c r="R71" s="159">
        <v>115366.14122865078</v>
      </c>
      <c r="S71" s="159">
        <v>112937.14093296185</v>
      </c>
      <c r="T71" s="159">
        <v>110613.80076279819</v>
      </c>
      <c r="U71" s="159">
        <v>108248.13525301385</v>
      </c>
      <c r="V71" s="159">
        <v>105848.21448828955</v>
      </c>
      <c r="W71" s="159">
        <v>103472.4873239078</v>
      </c>
      <c r="X71" s="159">
        <v>101118.2286739413</v>
      </c>
      <c r="Y71" s="159">
        <v>98660.490713512758</v>
      </c>
      <c r="Z71" s="159">
        <v>96290.492833941287</v>
      </c>
      <c r="AA71" s="159">
        <v>0</v>
      </c>
      <c r="AB71" s="159">
        <v>0</v>
      </c>
      <c r="AC71" s="159">
        <v>0</v>
      </c>
      <c r="AD71" s="159">
        <v>0</v>
      </c>
      <c r="AE71" s="159">
        <v>0</v>
      </c>
      <c r="AF71" s="159">
        <v>0</v>
      </c>
      <c r="AG71" s="159">
        <v>0</v>
      </c>
      <c r="AH71" s="159">
        <v>0</v>
      </c>
      <c r="AI71" s="159">
        <v>0</v>
      </c>
      <c r="AJ71" s="159">
        <v>0</v>
      </c>
    </row>
    <row r="72" spans="1:36">
      <c r="A72" s="161" t="s">
        <v>334</v>
      </c>
      <c r="B72" s="162" t="s">
        <v>412</v>
      </c>
      <c r="C72" s="163" t="s">
        <v>296</v>
      </c>
      <c r="D72" s="163" t="s">
        <v>233</v>
      </c>
      <c r="E72" s="164">
        <v>1.07</v>
      </c>
      <c r="F72" s="165">
        <v>90</v>
      </c>
      <c r="G72" s="166">
        <v>45394</v>
      </c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8">
        <v>0</v>
      </c>
      <c r="N72" s="167">
        <v>0</v>
      </c>
      <c r="O72" s="167">
        <v>551493.99250000005</v>
      </c>
      <c r="P72" s="167">
        <v>569124.22050000005</v>
      </c>
      <c r="Q72" s="167">
        <v>552935.00745000015</v>
      </c>
      <c r="R72" s="167">
        <v>0</v>
      </c>
      <c r="S72" s="167">
        <v>0</v>
      </c>
      <c r="T72" s="167">
        <v>0</v>
      </c>
      <c r="U72" s="167">
        <v>0</v>
      </c>
      <c r="V72" s="167">
        <v>0</v>
      </c>
      <c r="W72" s="167">
        <v>0</v>
      </c>
      <c r="X72" s="167">
        <v>0</v>
      </c>
      <c r="Y72" s="167">
        <v>0</v>
      </c>
      <c r="Z72" s="167">
        <v>0</v>
      </c>
      <c r="AA72" s="167">
        <v>0</v>
      </c>
      <c r="AB72" s="167">
        <v>0</v>
      </c>
      <c r="AC72" s="167">
        <v>0</v>
      </c>
      <c r="AD72" s="167">
        <v>0</v>
      </c>
      <c r="AE72" s="167">
        <v>0</v>
      </c>
      <c r="AF72" s="167">
        <v>0</v>
      </c>
      <c r="AG72" s="167">
        <v>0</v>
      </c>
      <c r="AH72" s="167">
        <v>0</v>
      </c>
      <c r="AI72" s="167">
        <v>0</v>
      </c>
      <c r="AJ72" s="167">
        <v>0</v>
      </c>
    </row>
    <row r="73" spans="1:36">
      <c r="A73" s="153" t="s">
        <v>334</v>
      </c>
      <c r="B73" s="154" t="s">
        <v>589</v>
      </c>
      <c r="C73" s="155" t="s">
        <v>296</v>
      </c>
      <c r="D73" s="155" t="s">
        <v>233</v>
      </c>
      <c r="E73" s="156">
        <v>1.55E-2</v>
      </c>
      <c r="F73" s="157">
        <v>144</v>
      </c>
      <c r="G73" s="158">
        <v>47313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 s="160">
        <v>0</v>
      </c>
      <c r="N73" s="159">
        <v>0</v>
      </c>
      <c r="O73" s="159">
        <v>0</v>
      </c>
      <c r="P73" s="159">
        <v>0</v>
      </c>
      <c r="Q73" s="159">
        <v>0</v>
      </c>
      <c r="R73" s="159">
        <v>124663.93738437501</v>
      </c>
      <c r="S73" s="159">
        <v>123259.80165749999</v>
      </c>
      <c r="T73" s="159">
        <v>121982.31431842082</v>
      </c>
      <c r="U73" s="159">
        <v>120601.14770393727</v>
      </c>
      <c r="V73" s="159">
        <v>119151.98365666356</v>
      </c>
      <c r="W73" s="159">
        <v>117664.89349875</v>
      </c>
      <c r="X73" s="159">
        <v>116245.00033937702</v>
      </c>
      <c r="Y73" s="159">
        <v>114640.85701125</v>
      </c>
      <c r="Z73" s="159">
        <v>113029.40809358476</v>
      </c>
      <c r="AA73" s="159">
        <v>111362.29818633581</v>
      </c>
      <c r="AB73" s="159">
        <v>109696.514455</v>
      </c>
      <c r="AC73" s="159">
        <v>107921.71053492755</v>
      </c>
      <c r="AD73" s="159">
        <v>106159.84405625</v>
      </c>
      <c r="AE73" s="159">
        <v>104355.36247287029</v>
      </c>
      <c r="AF73" s="159">
        <v>102527.53486362362</v>
      </c>
      <c r="AG73" s="159">
        <v>100690.44521100387</v>
      </c>
      <c r="AH73" s="159">
        <v>98801.271573750011</v>
      </c>
      <c r="AI73" s="159">
        <v>96977.70984625</v>
      </c>
      <c r="AJ73" s="159">
        <v>95001.0878275</v>
      </c>
    </row>
    <row r="74" spans="1:36">
      <c r="A74" s="161" t="s">
        <v>334</v>
      </c>
      <c r="B74" s="162" t="s">
        <v>589</v>
      </c>
      <c r="C74" s="163" t="s">
        <v>296</v>
      </c>
      <c r="D74" s="163" t="s">
        <v>311</v>
      </c>
      <c r="E74" s="164">
        <v>7.2300000000000003E-2</v>
      </c>
      <c r="F74" s="165">
        <v>180</v>
      </c>
      <c r="G74" s="166">
        <v>48409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8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126026.58173999998</v>
      </c>
      <c r="S74" s="167">
        <v>126971.8456</v>
      </c>
      <c r="T74" s="167">
        <v>128345.35269749998</v>
      </c>
      <c r="U74" s="167">
        <v>130070.20223499999</v>
      </c>
      <c r="V74" s="167">
        <v>129754.78181500001</v>
      </c>
      <c r="W74" s="167">
        <v>129346.83949124999</v>
      </c>
      <c r="X74" s="167">
        <v>129447.36198374997</v>
      </c>
      <c r="Y74" s="167">
        <v>129246.54871499998</v>
      </c>
      <c r="Z74" s="167">
        <v>128091.80117368737</v>
      </c>
      <c r="AA74" s="167">
        <v>128020.1986324311</v>
      </c>
      <c r="AB74" s="167">
        <v>127743.24486092292</v>
      </c>
      <c r="AC74" s="167">
        <v>125405.98293996889</v>
      </c>
      <c r="AD74" s="167">
        <v>125094.62662000001</v>
      </c>
      <c r="AE74" s="167">
        <v>126827.75249590595</v>
      </c>
      <c r="AF74" s="167">
        <v>127793.87487125001</v>
      </c>
      <c r="AG74" s="167">
        <v>128208.304485528</v>
      </c>
      <c r="AH74" s="167">
        <v>129723.02908625</v>
      </c>
      <c r="AI74" s="167">
        <v>131714.09150499999</v>
      </c>
      <c r="AJ74" s="167">
        <v>133193.04594749998</v>
      </c>
    </row>
    <row r="75" spans="1:36">
      <c r="A75" s="153" t="s">
        <v>334</v>
      </c>
      <c r="B75" s="154" t="s">
        <v>589</v>
      </c>
      <c r="C75" s="155" t="s">
        <v>296</v>
      </c>
      <c r="D75" s="155" t="s">
        <v>311</v>
      </c>
      <c r="E75" s="156">
        <v>7.2300000000000003E-2</v>
      </c>
      <c r="F75" s="157">
        <v>180</v>
      </c>
      <c r="G75" s="158">
        <v>48409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 s="160">
        <v>0</v>
      </c>
      <c r="N75" s="159">
        <v>0</v>
      </c>
      <c r="O75" s="159">
        <v>0</v>
      </c>
      <c r="P75" s="159">
        <v>0</v>
      </c>
      <c r="Q75" s="159">
        <v>0</v>
      </c>
      <c r="R75" s="159">
        <v>25205.316348</v>
      </c>
      <c r="S75" s="159">
        <v>25394.369119999999</v>
      </c>
      <c r="T75" s="159">
        <v>25669.070539500004</v>
      </c>
      <c r="U75" s="159">
        <v>26014.040446999999</v>
      </c>
      <c r="V75" s="159">
        <v>25950.956363000016</v>
      </c>
      <c r="W75" s="159">
        <v>25869.367898249999</v>
      </c>
      <c r="X75" s="159">
        <v>25889.472396750003</v>
      </c>
      <c r="Y75" s="159">
        <v>25849.309742999998</v>
      </c>
      <c r="Z75" s="159">
        <v>25618.360236737492</v>
      </c>
      <c r="AA75" s="159">
        <v>25604.039728486245</v>
      </c>
      <c r="AB75" s="159">
        <v>25548.648972184583</v>
      </c>
      <c r="AC75" s="159">
        <v>25081.196589993797</v>
      </c>
      <c r="AD75" s="159">
        <v>25018.925320000002</v>
      </c>
      <c r="AE75" s="159">
        <v>25365.550525604689</v>
      </c>
      <c r="AF75" s="159">
        <v>25558.774978193298</v>
      </c>
      <c r="AG75" s="159">
        <v>25641.660903048902</v>
      </c>
      <c r="AH75" s="159">
        <v>25944.605817249998</v>
      </c>
      <c r="AI75" s="159">
        <v>26342.818300999999</v>
      </c>
      <c r="AJ75" s="159">
        <v>26638.609189499999</v>
      </c>
    </row>
    <row r="76" spans="1:36">
      <c r="A76" s="161" t="s">
        <v>409</v>
      </c>
      <c r="B76" s="162" t="s">
        <v>422</v>
      </c>
      <c r="C76" s="163" t="s">
        <v>423</v>
      </c>
      <c r="D76" s="163" t="s">
        <v>226</v>
      </c>
      <c r="E76" s="164">
        <v>7.0000000000000007E-2</v>
      </c>
      <c r="F76" s="165">
        <v>144</v>
      </c>
      <c r="G76" s="166">
        <v>47102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8">
        <v>0</v>
      </c>
      <c r="N76" s="167">
        <v>0</v>
      </c>
      <c r="O76" s="167">
        <v>0</v>
      </c>
      <c r="P76" s="167">
        <f>397983417.185809/10^3</f>
        <v>397983.417185809</v>
      </c>
      <c r="Q76" s="167">
        <f>404761648.162258/10^3</f>
        <v>404761.64816225803</v>
      </c>
      <c r="R76" s="167">
        <v>412060.83520276303</v>
      </c>
      <c r="S76" s="167">
        <v>424171.07326572161</v>
      </c>
      <c r="T76" s="167">
        <v>438841.78608370939</v>
      </c>
      <c r="U76" s="167">
        <v>457860.98859949765</v>
      </c>
      <c r="V76" s="167">
        <v>480107.27068986738</v>
      </c>
      <c r="W76" s="167">
        <v>494505.94776004588</v>
      </c>
      <c r="X76" s="167">
        <v>490012.29155513336</v>
      </c>
      <c r="Y76" s="167">
        <v>493566.81381999998</v>
      </c>
      <c r="Z76" s="167">
        <v>489900.44720999995</v>
      </c>
      <c r="AA76" s="167">
        <v>0</v>
      </c>
      <c r="AB76" s="167">
        <v>0</v>
      </c>
      <c r="AC76" s="167">
        <v>0</v>
      </c>
      <c r="AD76" s="167">
        <v>0</v>
      </c>
      <c r="AE76" s="167">
        <v>0</v>
      </c>
      <c r="AF76" s="167">
        <v>0</v>
      </c>
      <c r="AG76" s="167">
        <v>0</v>
      </c>
      <c r="AH76" s="167">
        <v>0</v>
      </c>
      <c r="AI76" s="167">
        <v>0</v>
      </c>
      <c r="AJ76" s="167">
        <v>0</v>
      </c>
    </row>
    <row r="77" spans="1:36">
      <c r="A77" s="153" t="s">
        <v>334</v>
      </c>
      <c r="B77" s="154" t="s">
        <v>598</v>
      </c>
      <c r="C77" s="155" t="s">
        <v>298</v>
      </c>
      <c r="D77" s="155" t="s">
        <v>233</v>
      </c>
      <c r="E77" s="156">
        <v>1.2150000000000001</v>
      </c>
      <c r="F77" s="157">
        <v>48</v>
      </c>
      <c r="G77" s="158">
        <v>44550</v>
      </c>
      <c r="H77" s="159">
        <v>0</v>
      </c>
      <c r="I77" s="159">
        <v>0</v>
      </c>
      <c r="J77" s="159">
        <v>0</v>
      </c>
      <c r="K77" s="159">
        <v>0</v>
      </c>
      <c r="L77" s="159">
        <v>0</v>
      </c>
      <c r="M77" s="160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250321.45</v>
      </c>
      <c r="T77" s="159">
        <v>255165.6</v>
      </c>
      <c r="U77" s="159">
        <v>250597.99249975002</v>
      </c>
      <c r="V77" s="159">
        <v>255433.70749999999</v>
      </c>
      <c r="W77" s="159">
        <v>250449.035</v>
      </c>
      <c r="X77" s="159">
        <v>255136.55750025</v>
      </c>
      <c r="Y77" s="159">
        <v>250449.035</v>
      </c>
      <c r="Z77" s="159">
        <v>255081.46</v>
      </c>
      <c r="AA77" s="159">
        <v>250311.60750000007</v>
      </c>
      <c r="AB77" s="159">
        <v>253401.82</v>
      </c>
      <c r="AC77" s="159">
        <v>0</v>
      </c>
      <c r="AD77" s="159">
        <v>0</v>
      </c>
      <c r="AE77" s="159">
        <v>0</v>
      </c>
      <c r="AF77" s="159">
        <v>0</v>
      </c>
      <c r="AG77" s="159">
        <v>0</v>
      </c>
      <c r="AH77" s="159">
        <v>0</v>
      </c>
      <c r="AI77" s="159">
        <v>0</v>
      </c>
      <c r="AJ77" s="159">
        <v>0</v>
      </c>
    </row>
    <row r="78" spans="1:36">
      <c r="A78" s="161" t="s">
        <v>334</v>
      </c>
      <c r="B78" s="162" t="s">
        <v>601</v>
      </c>
      <c r="C78" s="163" t="s">
        <v>296</v>
      </c>
      <c r="D78" s="163" t="s">
        <v>233</v>
      </c>
      <c r="E78" s="164">
        <v>7.0000000000000001E-3</v>
      </c>
      <c r="F78" s="165">
        <v>60</v>
      </c>
      <c r="G78" s="166">
        <v>44985</v>
      </c>
      <c r="H78" s="167">
        <v>0</v>
      </c>
      <c r="I78" s="167">
        <v>0</v>
      </c>
      <c r="J78" s="167">
        <v>0</v>
      </c>
      <c r="K78" s="167">
        <v>0</v>
      </c>
      <c r="L78" s="167">
        <v>0</v>
      </c>
      <c r="M78" s="168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50223.943549999996</v>
      </c>
      <c r="U78" s="167">
        <v>50329.256349499999</v>
      </c>
      <c r="V78" s="167">
        <v>50315.494350000001</v>
      </c>
      <c r="W78" s="167">
        <v>50302.144800000002</v>
      </c>
      <c r="X78" s="167">
        <v>50274.6017995</v>
      </c>
      <c r="Y78" s="167">
        <v>50315.9220995</v>
      </c>
      <c r="Z78" s="167">
        <v>50287.689150000006</v>
      </c>
      <c r="AA78" s="167">
        <v>50228.410400000001</v>
      </c>
      <c r="AB78" s="167">
        <v>50193.132850000002</v>
      </c>
      <c r="AC78" s="167">
        <v>50143.83289949999</v>
      </c>
      <c r="AD78" s="167">
        <v>50112.732000000004</v>
      </c>
      <c r="AE78" s="167">
        <v>50112.732000999975</v>
      </c>
      <c r="AF78" s="167">
        <v>50125.857000000004</v>
      </c>
      <c r="AG78" s="167">
        <v>50189.6613</v>
      </c>
      <c r="AH78" s="167">
        <v>0</v>
      </c>
      <c r="AI78" s="167">
        <v>0</v>
      </c>
      <c r="AJ78" s="167">
        <v>0</v>
      </c>
    </row>
    <row r="79" spans="1:36">
      <c r="A79" s="153" t="s">
        <v>334</v>
      </c>
      <c r="B79" s="154" t="s">
        <v>615</v>
      </c>
      <c r="C79" s="155" t="s">
        <v>296</v>
      </c>
      <c r="D79" s="155" t="s">
        <v>233</v>
      </c>
      <c r="E79" s="156">
        <v>1.2150000000000001</v>
      </c>
      <c r="F79" s="157">
        <v>48</v>
      </c>
      <c r="G79" s="158">
        <v>44803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0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59">
        <v>352201.86749999999</v>
      </c>
      <c r="W79" s="159">
        <v>358686.48200000002</v>
      </c>
      <c r="X79" s="159">
        <v>352099.89149500005</v>
      </c>
      <c r="Y79" s="159">
        <v>358582.69649500004</v>
      </c>
      <c r="Z79" s="159">
        <v>351981.10849499999</v>
      </c>
      <c r="AA79" s="159">
        <v>357304.85699499992</v>
      </c>
      <c r="AB79" s="159">
        <v>351447.56849999999</v>
      </c>
      <c r="AC79" s="159">
        <v>354612.77599499992</v>
      </c>
      <c r="AD79" s="159">
        <v>350667.60749999998</v>
      </c>
      <c r="AE79" s="159">
        <v>352678.07399499993</v>
      </c>
      <c r="AF79" s="159">
        <v>350811.03049999999</v>
      </c>
      <c r="AG79" s="159">
        <v>354147.46500000003</v>
      </c>
      <c r="AH79" s="159">
        <v>175974.79899999997</v>
      </c>
      <c r="AI79" s="159">
        <v>179920.13375000001</v>
      </c>
      <c r="AJ79" s="159">
        <v>176879.02050000001</v>
      </c>
    </row>
    <row r="80" spans="1:36">
      <c r="A80" s="306" t="s">
        <v>334</v>
      </c>
      <c r="B80" s="162" t="s">
        <v>615</v>
      </c>
      <c r="C80" s="163" t="s">
        <v>296</v>
      </c>
      <c r="D80" s="163" t="s">
        <v>233</v>
      </c>
      <c r="E80" s="164">
        <v>1.7999999999999999E-2</v>
      </c>
      <c r="F80" s="165" t="s">
        <v>628</v>
      </c>
      <c r="G80" s="166">
        <v>45899</v>
      </c>
      <c r="H80" s="167">
        <v>0</v>
      </c>
      <c r="I80" s="167">
        <v>0</v>
      </c>
      <c r="J80" s="167">
        <v>0</v>
      </c>
      <c r="K80" s="167">
        <v>0</v>
      </c>
      <c r="L80" s="167">
        <v>0</v>
      </c>
      <c r="M80" s="168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7">
        <v>0</v>
      </c>
      <c r="W80" s="167">
        <v>0</v>
      </c>
      <c r="X80" s="167">
        <v>0</v>
      </c>
      <c r="Y80" s="167">
        <v>0</v>
      </c>
      <c r="Z80" s="167">
        <v>0</v>
      </c>
      <c r="AA80" s="167">
        <v>0</v>
      </c>
      <c r="AB80" s="167">
        <v>0</v>
      </c>
      <c r="AC80" s="167">
        <v>0</v>
      </c>
      <c r="AD80" s="167">
        <v>0</v>
      </c>
      <c r="AE80" s="167">
        <v>0</v>
      </c>
      <c r="AF80" s="167">
        <v>0</v>
      </c>
      <c r="AG80" s="167">
        <v>0</v>
      </c>
      <c r="AH80" s="167">
        <v>176075.94357500001</v>
      </c>
      <c r="AI80" s="167">
        <v>180120.25815000001</v>
      </c>
      <c r="AJ80" s="167">
        <v>176807.783425</v>
      </c>
    </row>
    <row r="81" spans="1:36">
      <c r="A81" s="153" t="s">
        <v>334</v>
      </c>
      <c r="B81" s="154" t="s">
        <v>624</v>
      </c>
      <c r="C81" s="155" t="s">
        <v>296</v>
      </c>
      <c r="D81" s="155" t="s">
        <v>233</v>
      </c>
      <c r="E81" s="156">
        <v>1.01</v>
      </c>
      <c r="F81" s="157">
        <v>60</v>
      </c>
      <c r="G81" s="158">
        <v>45246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60">
        <v>0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59">
        <v>0</v>
      </c>
      <c r="W81" s="159">
        <v>242037.4296</v>
      </c>
      <c r="X81" s="159">
        <v>245797.37279999998</v>
      </c>
      <c r="Y81" s="159">
        <v>241736.72640000001</v>
      </c>
      <c r="Z81" s="159">
        <v>245640.36240000001</v>
      </c>
      <c r="AA81" s="159">
        <v>241291.95599999998</v>
      </c>
      <c r="AB81" s="159">
        <v>243814.80480000001</v>
      </c>
      <c r="AC81" s="159">
        <v>240804.552</v>
      </c>
      <c r="AD81" s="159">
        <v>242054.75760000001</v>
      </c>
      <c r="AE81" s="159">
        <v>240580.0344</v>
      </c>
      <c r="AF81" s="159">
        <v>241746.43680000002</v>
      </c>
      <c r="AG81" s="159">
        <v>241054.93920000002</v>
      </c>
      <c r="AH81" s="159">
        <v>244013.89919999999</v>
      </c>
      <c r="AI81" s="159">
        <v>242553.04559999998</v>
      </c>
      <c r="AJ81" s="159">
        <v>248470.77119999999</v>
      </c>
    </row>
    <row r="82" spans="1:36">
      <c r="A82" s="161" t="s">
        <v>334</v>
      </c>
      <c r="B82" s="162" t="s">
        <v>625</v>
      </c>
      <c r="C82" s="163" t="s">
        <v>296</v>
      </c>
      <c r="D82" s="163" t="s">
        <v>233</v>
      </c>
      <c r="E82" s="164">
        <v>1.7000000000000001E-2</v>
      </c>
      <c r="F82" s="165" t="s">
        <v>626</v>
      </c>
      <c r="G82" s="166">
        <v>44178</v>
      </c>
      <c r="H82" s="167">
        <v>0</v>
      </c>
      <c r="I82" s="167">
        <v>0</v>
      </c>
      <c r="J82" s="167">
        <v>0</v>
      </c>
      <c r="K82" s="167">
        <v>0</v>
      </c>
      <c r="L82" s="167">
        <v>0</v>
      </c>
      <c r="M82" s="168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7">
        <v>0</v>
      </c>
      <c r="W82" s="167">
        <v>75141.010649999997</v>
      </c>
      <c r="X82" s="167">
        <v>75305.858250000005</v>
      </c>
      <c r="Y82" s="167">
        <v>37629.361237499994</v>
      </c>
      <c r="Z82" s="167">
        <v>37616.680999999997</v>
      </c>
      <c r="AA82" s="167">
        <v>37598.208075000002</v>
      </c>
      <c r="AB82" s="167">
        <v>37597.109100000001</v>
      </c>
      <c r="AC82" s="167">
        <v>37565.738437499997</v>
      </c>
      <c r="AD82" s="167">
        <v>37563.765450000006</v>
      </c>
      <c r="AE82" s="167">
        <v>0</v>
      </c>
      <c r="AF82" s="167">
        <v>0</v>
      </c>
      <c r="AG82" s="167">
        <v>0</v>
      </c>
      <c r="AH82" s="167">
        <v>0</v>
      </c>
      <c r="AI82" s="167">
        <v>0</v>
      </c>
      <c r="AJ82" s="167">
        <v>0</v>
      </c>
    </row>
    <row r="83" spans="1:36">
      <c r="A83" s="153" t="s">
        <v>334</v>
      </c>
      <c r="B83" s="154" t="s">
        <v>625</v>
      </c>
      <c r="C83" s="155" t="s">
        <v>296</v>
      </c>
      <c r="D83" s="155" t="s">
        <v>233</v>
      </c>
      <c r="E83" s="156">
        <v>1.7000000000000001E-2</v>
      </c>
      <c r="F83" s="157" t="s">
        <v>627</v>
      </c>
      <c r="G83" s="158">
        <v>44543</v>
      </c>
      <c r="H83" s="159">
        <v>0</v>
      </c>
      <c r="I83" s="159">
        <v>0</v>
      </c>
      <c r="J83" s="159">
        <v>0</v>
      </c>
      <c r="K83" s="159">
        <v>0</v>
      </c>
      <c r="L83" s="159">
        <v>0</v>
      </c>
      <c r="M83" s="160">
        <v>0</v>
      </c>
      <c r="N83" s="159">
        <v>0</v>
      </c>
      <c r="O83" s="159">
        <v>0</v>
      </c>
      <c r="P83" s="159">
        <v>0</v>
      </c>
      <c r="Q83" s="159">
        <v>0</v>
      </c>
      <c r="R83" s="159">
        <v>0</v>
      </c>
      <c r="S83" s="159">
        <v>0</v>
      </c>
      <c r="T83" s="159">
        <v>0</v>
      </c>
      <c r="U83" s="159">
        <v>0</v>
      </c>
      <c r="V83" s="159">
        <v>0</v>
      </c>
      <c r="W83" s="159">
        <v>75141.010649999997</v>
      </c>
      <c r="X83" s="159">
        <v>75305.858250000005</v>
      </c>
      <c r="Y83" s="159">
        <v>37629.361237499994</v>
      </c>
      <c r="Z83" s="159">
        <v>37616.680999999997</v>
      </c>
      <c r="AA83" s="159">
        <v>37598.208075000002</v>
      </c>
      <c r="AB83" s="159">
        <v>37597.109100000001</v>
      </c>
      <c r="AC83" s="159">
        <v>37565.738437499997</v>
      </c>
      <c r="AD83" s="159">
        <v>37563.765450000006</v>
      </c>
      <c r="AE83" s="159">
        <v>37563.765449999999</v>
      </c>
      <c r="AF83" s="159">
        <v>37573.603612499996</v>
      </c>
      <c r="AG83" s="159">
        <v>37599.61871000001</v>
      </c>
      <c r="AH83" s="159">
        <v>37637.052075</v>
      </c>
      <c r="AI83" s="159">
        <v>0</v>
      </c>
      <c r="AJ83" s="159">
        <v>0</v>
      </c>
    </row>
    <row r="84" spans="1:36">
      <c r="A84" s="161" t="s">
        <v>334</v>
      </c>
      <c r="B84" s="162" t="s">
        <v>625</v>
      </c>
      <c r="C84" s="163" t="s">
        <v>296</v>
      </c>
      <c r="D84" s="163" t="s">
        <v>233</v>
      </c>
      <c r="E84" s="164">
        <v>1.7000000000000001E-2</v>
      </c>
      <c r="F84" s="165" t="s">
        <v>628</v>
      </c>
      <c r="G84" s="166">
        <v>44908</v>
      </c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8">
        <v>0</v>
      </c>
      <c r="N84" s="167">
        <v>0</v>
      </c>
      <c r="O84" s="167">
        <v>0</v>
      </c>
      <c r="P84" s="167">
        <v>0</v>
      </c>
      <c r="Q84" s="167">
        <v>0</v>
      </c>
      <c r="R84" s="167">
        <v>0</v>
      </c>
      <c r="S84" s="167">
        <v>0</v>
      </c>
      <c r="T84" s="167">
        <v>0</v>
      </c>
      <c r="U84" s="167">
        <v>0</v>
      </c>
      <c r="V84" s="167">
        <v>0</v>
      </c>
      <c r="W84" s="167">
        <v>75141.010649999997</v>
      </c>
      <c r="X84" s="167">
        <v>75305.858250000005</v>
      </c>
      <c r="Y84" s="167">
        <v>37629.361237499994</v>
      </c>
      <c r="Z84" s="167">
        <v>37616.680999999997</v>
      </c>
      <c r="AA84" s="167">
        <v>37598.208075000002</v>
      </c>
      <c r="AB84" s="167">
        <v>37597.109100000001</v>
      </c>
      <c r="AC84" s="167">
        <v>37565.738437499997</v>
      </c>
      <c r="AD84" s="167">
        <v>37563.765450000006</v>
      </c>
      <c r="AE84" s="167">
        <v>37563.765449999999</v>
      </c>
      <c r="AF84" s="167">
        <v>37573.603612499996</v>
      </c>
      <c r="AG84" s="167">
        <v>37599.61871000001</v>
      </c>
      <c r="AH84" s="167">
        <v>37637.052075</v>
      </c>
      <c r="AI84" s="167">
        <v>37718.151487499999</v>
      </c>
      <c r="AJ84" s="167">
        <v>37742.557012499994</v>
      </c>
    </row>
    <row r="85" spans="1:36">
      <c r="A85" s="153" t="s">
        <v>334</v>
      </c>
      <c r="B85" s="154" t="s">
        <v>625</v>
      </c>
      <c r="C85" s="155" t="s">
        <v>296</v>
      </c>
      <c r="D85" s="155" t="s">
        <v>233</v>
      </c>
      <c r="E85" s="156">
        <v>1.7000000000000001E-2</v>
      </c>
      <c r="F85" s="157" t="s">
        <v>629</v>
      </c>
      <c r="G85" s="158">
        <v>46004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60">
        <v>0</v>
      </c>
      <c r="N85" s="159">
        <v>0</v>
      </c>
      <c r="O85" s="159">
        <v>0</v>
      </c>
      <c r="P85" s="159">
        <v>0</v>
      </c>
      <c r="Q85" s="159">
        <v>0</v>
      </c>
      <c r="R85" s="159">
        <v>0</v>
      </c>
      <c r="S85" s="159">
        <v>0</v>
      </c>
      <c r="T85" s="159">
        <v>0</v>
      </c>
      <c r="U85" s="159">
        <v>0</v>
      </c>
      <c r="V85" s="159">
        <v>0</v>
      </c>
      <c r="W85" s="159">
        <v>140097.90965657</v>
      </c>
      <c r="X85" s="159">
        <v>140405.26251184999</v>
      </c>
      <c r="Y85" s="159">
        <v>70158.689715277491</v>
      </c>
      <c r="Z85" s="159">
        <v>70135.047000000006</v>
      </c>
      <c r="AA85" s="159">
        <v>70100.605682235007</v>
      </c>
      <c r="AB85" s="159">
        <v>70098.55667998</v>
      </c>
      <c r="AC85" s="159">
        <v>70040.067125437505</v>
      </c>
      <c r="AD85" s="159">
        <v>70036.388556010003</v>
      </c>
      <c r="AE85" s="159">
        <v>70036.388556010119</v>
      </c>
      <c r="AF85" s="159">
        <v>70054.731482052506</v>
      </c>
      <c r="AG85" s="159">
        <v>70103.23577316002</v>
      </c>
      <c r="AH85" s="159">
        <v>70173.029025434997</v>
      </c>
      <c r="AI85" s="159">
        <v>70324.2361767275</v>
      </c>
      <c r="AJ85" s="159">
        <v>70369.739464572485</v>
      </c>
    </row>
    <row r="86" spans="1:36">
      <c r="A86" s="161" t="s">
        <v>334</v>
      </c>
      <c r="B86" s="162" t="s">
        <v>625</v>
      </c>
      <c r="C86" s="163" t="s">
        <v>296</v>
      </c>
      <c r="D86" s="163" t="s">
        <v>233</v>
      </c>
      <c r="E86" s="164">
        <v>1.7000000000000001E-2</v>
      </c>
      <c r="F86" s="165" t="s">
        <v>630</v>
      </c>
      <c r="G86" s="166">
        <v>45974</v>
      </c>
      <c r="H86" s="167">
        <v>0</v>
      </c>
      <c r="I86" s="167">
        <v>0</v>
      </c>
      <c r="J86" s="167">
        <v>0</v>
      </c>
      <c r="K86" s="167">
        <v>0</v>
      </c>
      <c r="L86" s="167">
        <v>0</v>
      </c>
      <c r="M86" s="168">
        <v>0</v>
      </c>
      <c r="N86" s="167">
        <v>0</v>
      </c>
      <c r="O86" s="167">
        <v>0</v>
      </c>
      <c r="P86" s="167">
        <v>0</v>
      </c>
      <c r="Q86" s="167">
        <v>0</v>
      </c>
      <c r="R86" s="167">
        <v>0</v>
      </c>
      <c r="S86" s="167">
        <v>0</v>
      </c>
      <c r="T86" s="167">
        <v>0</v>
      </c>
      <c r="U86" s="167">
        <v>0</v>
      </c>
      <c r="V86" s="167">
        <v>0</v>
      </c>
      <c r="W86" s="167">
        <v>135419.12939342999</v>
      </c>
      <c r="X86" s="167">
        <v>135716.21773815001</v>
      </c>
      <c r="Y86" s="167">
        <v>135588.81472343998</v>
      </c>
      <c r="Z86" s="167">
        <v>135585.56400000001</v>
      </c>
      <c r="AA86" s="167">
        <v>135518.98118553002</v>
      </c>
      <c r="AB86" s="167">
        <v>135515.02004003999</v>
      </c>
      <c r="AC86" s="167">
        <v>135401.94762412499</v>
      </c>
      <c r="AD86" s="167">
        <v>135394.83618797999</v>
      </c>
      <c r="AE86" s="167">
        <v>135394.83618798014</v>
      </c>
      <c r="AF86" s="167">
        <v>135430.296860895</v>
      </c>
      <c r="AG86" s="167">
        <v>135524.06568368003</v>
      </c>
      <c r="AH86" s="167">
        <v>135658.99049913001</v>
      </c>
      <c r="AI86" s="167">
        <v>135951.30522154502</v>
      </c>
      <c r="AJ86" s="167">
        <v>136039.272495855</v>
      </c>
    </row>
    <row r="87" spans="1:36">
      <c r="A87" s="153" t="s">
        <v>334</v>
      </c>
      <c r="B87" s="154" t="s">
        <v>653</v>
      </c>
      <c r="C87" s="155" t="s">
        <v>296</v>
      </c>
      <c r="D87" s="155" t="s">
        <v>233</v>
      </c>
      <c r="E87" s="156">
        <v>1.37</v>
      </c>
      <c r="F87" s="157" t="s">
        <v>627</v>
      </c>
      <c r="G87" s="158">
        <v>45025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0</v>
      </c>
      <c r="N87" s="159">
        <v>0</v>
      </c>
      <c r="O87" s="159">
        <v>0</v>
      </c>
      <c r="P87" s="159">
        <v>0</v>
      </c>
      <c r="Q87" s="159">
        <v>0</v>
      </c>
      <c r="R87" s="159">
        <v>0</v>
      </c>
      <c r="S87" s="159">
        <v>0</v>
      </c>
      <c r="T87" s="159">
        <v>0</v>
      </c>
      <c r="U87" s="159">
        <v>0</v>
      </c>
      <c r="V87" s="159">
        <v>0</v>
      </c>
      <c r="W87" s="159">
        <v>0</v>
      </c>
      <c r="X87" s="159">
        <v>0</v>
      </c>
      <c r="Y87" s="159">
        <v>0</v>
      </c>
      <c r="Z87" s="159">
        <v>0</v>
      </c>
      <c r="AA87" s="159">
        <v>0</v>
      </c>
      <c r="AB87" s="159">
        <v>0</v>
      </c>
      <c r="AC87" s="159">
        <v>252195.92749999999</v>
      </c>
      <c r="AD87" s="159">
        <v>253970.20250000001</v>
      </c>
      <c r="AE87" s="159">
        <v>251591.0025</v>
      </c>
      <c r="AF87" s="159">
        <v>253257.0675</v>
      </c>
      <c r="AG87" s="159">
        <v>252646.65</v>
      </c>
      <c r="AH87" s="159">
        <v>256888.89250000002</v>
      </c>
      <c r="AI87" s="159">
        <v>256245.69</v>
      </c>
      <c r="AJ87" s="159">
        <v>264794.51500000001</v>
      </c>
    </row>
    <row r="88" spans="1:36">
      <c r="A88" s="161" t="s">
        <v>334</v>
      </c>
      <c r="B88" s="162" t="s">
        <v>660</v>
      </c>
      <c r="C88" s="163" t="s">
        <v>296</v>
      </c>
      <c r="D88" s="163" t="s">
        <v>233</v>
      </c>
      <c r="E88" s="164">
        <v>2.6499999999999999E-2</v>
      </c>
      <c r="F88" s="165">
        <v>60</v>
      </c>
      <c r="G88" s="166">
        <v>45889</v>
      </c>
      <c r="H88" s="167">
        <v>0</v>
      </c>
      <c r="I88" s="167">
        <v>0</v>
      </c>
      <c r="J88" s="167">
        <v>0</v>
      </c>
      <c r="K88" s="167">
        <v>0</v>
      </c>
      <c r="L88" s="167">
        <v>0</v>
      </c>
      <c r="M88" s="168">
        <v>0</v>
      </c>
      <c r="N88" s="167">
        <v>0</v>
      </c>
      <c r="O88" s="167">
        <v>0</v>
      </c>
      <c r="P88" s="167">
        <v>0</v>
      </c>
      <c r="Q88" s="167">
        <v>0</v>
      </c>
      <c r="R88" s="167">
        <v>0</v>
      </c>
      <c r="S88" s="167">
        <v>0</v>
      </c>
      <c r="T88" s="167">
        <v>0</v>
      </c>
      <c r="U88" s="167">
        <v>0</v>
      </c>
      <c r="V88" s="167">
        <v>0</v>
      </c>
      <c r="W88" s="167">
        <v>0</v>
      </c>
      <c r="X88" s="167">
        <v>0</v>
      </c>
      <c r="Y88" s="167">
        <v>0</v>
      </c>
      <c r="Z88" s="167">
        <v>0</v>
      </c>
      <c r="AA88" s="167">
        <v>0</v>
      </c>
      <c r="AB88" s="167">
        <v>0</v>
      </c>
      <c r="AC88" s="167">
        <v>0</v>
      </c>
      <c r="AD88" s="167">
        <v>550982.49800000002</v>
      </c>
      <c r="AE88" s="167">
        <v>552755.42080000008</v>
      </c>
      <c r="AF88" s="167">
        <v>552801.52289999987</v>
      </c>
      <c r="AG88" s="167">
        <v>553796.63844999997</v>
      </c>
      <c r="AH88" s="167">
        <v>554791.31784999999</v>
      </c>
      <c r="AI88" s="167">
        <v>556846.58260000008</v>
      </c>
      <c r="AJ88" s="167">
        <v>557473.70799999998</v>
      </c>
    </row>
    <row r="89" spans="1:36">
      <c r="A89" s="153" t="s">
        <v>334</v>
      </c>
      <c r="B89" s="154" t="s">
        <v>668</v>
      </c>
      <c r="C89" s="155" t="s">
        <v>296</v>
      </c>
      <c r="D89" s="155" t="s">
        <v>233</v>
      </c>
      <c r="E89" s="156">
        <v>2.3E-2</v>
      </c>
      <c r="F89" s="157">
        <v>60</v>
      </c>
      <c r="G89" s="158">
        <v>46047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60">
        <v>0</v>
      </c>
      <c r="N89" s="159">
        <v>0</v>
      </c>
      <c r="O89" s="159">
        <v>0</v>
      </c>
      <c r="P89" s="159">
        <v>0</v>
      </c>
      <c r="Q89" s="159">
        <v>0</v>
      </c>
      <c r="R89" s="159">
        <v>0</v>
      </c>
      <c r="S89" s="159">
        <v>0</v>
      </c>
      <c r="T89" s="159">
        <v>0</v>
      </c>
      <c r="U89" s="159">
        <v>0</v>
      </c>
      <c r="V89" s="159">
        <v>0</v>
      </c>
      <c r="W89" s="159">
        <v>0</v>
      </c>
      <c r="X89" s="159">
        <v>0</v>
      </c>
      <c r="Y89" s="159">
        <v>0</v>
      </c>
      <c r="Z89" s="159">
        <v>0</v>
      </c>
      <c r="AA89" s="159">
        <v>0</v>
      </c>
      <c r="AB89" s="159">
        <v>0</v>
      </c>
      <c r="AC89" s="159">
        <v>0</v>
      </c>
      <c r="AD89" s="159">
        <v>0</v>
      </c>
      <c r="AE89" s="159">
        <v>0</v>
      </c>
      <c r="AF89" s="159">
        <v>402155.58519999997</v>
      </c>
      <c r="AG89" s="159">
        <v>404133.65280000004</v>
      </c>
      <c r="AH89" s="159">
        <v>405433.24360000005</v>
      </c>
      <c r="AI89" s="159">
        <v>407550.7732</v>
      </c>
      <c r="AJ89" s="159">
        <v>408942.63880000002</v>
      </c>
    </row>
    <row r="90" spans="1:36">
      <c r="A90" s="306" t="s">
        <v>334</v>
      </c>
      <c r="B90" s="162" t="s">
        <v>679</v>
      </c>
      <c r="C90" s="163" t="s">
        <v>296</v>
      </c>
      <c r="D90" s="163" t="s">
        <v>233</v>
      </c>
      <c r="E90" s="164">
        <v>1.8499999999999999E-2</v>
      </c>
      <c r="F90" s="165" t="s">
        <v>680</v>
      </c>
      <c r="G90" s="166">
        <v>46244</v>
      </c>
      <c r="H90" s="167"/>
      <c r="I90" s="167"/>
      <c r="J90" s="167"/>
      <c r="K90" s="167"/>
      <c r="L90" s="167"/>
      <c r="M90" s="16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>
        <v>352838.20214999997</v>
      </c>
      <c r="AI90" s="167">
        <v>360986.90844999999</v>
      </c>
      <c r="AJ90" s="167">
        <v>355648.67064999999</v>
      </c>
    </row>
    <row r="91" spans="1:36">
      <c r="A91" s="169" t="s">
        <v>214</v>
      </c>
      <c r="B91" s="169"/>
      <c r="C91" s="170"/>
      <c r="D91" s="169"/>
      <c r="E91" s="171"/>
      <c r="F91" s="171"/>
      <c r="G91" s="172"/>
      <c r="H91" s="173">
        <f t="shared" ref="H91:AG91" si="0">SUM(H5:H90)</f>
        <v>4242953.6505250232</v>
      </c>
      <c r="I91" s="173">
        <f t="shared" si="0"/>
        <v>4348316.5466</v>
      </c>
      <c r="J91" s="173">
        <f t="shared" si="0"/>
        <v>4559330.171092107</v>
      </c>
      <c r="K91" s="173">
        <f t="shared" si="0"/>
        <v>3648220.8161719819</v>
      </c>
      <c r="L91" s="173">
        <f t="shared" si="0"/>
        <v>3072742.1229365035</v>
      </c>
      <c r="M91" s="173">
        <f t="shared" si="0"/>
        <v>2947806.462019999</v>
      </c>
      <c r="N91" s="173">
        <f t="shared" si="0"/>
        <v>2989287.8108099997</v>
      </c>
      <c r="O91" s="173">
        <f t="shared" si="0"/>
        <v>3380765.6238731849</v>
      </c>
      <c r="P91" s="173">
        <f t="shared" si="0"/>
        <v>3746100.2794289947</v>
      </c>
      <c r="Q91" s="173">
        <f t="shared" si="0"/>
        <v>3706537.3452476691</v>
      </c>
      <c r="R91" s="173">
        <f t="shared" si="0"/>
        <v>3168850.9917690139</v>
      </c>
      <c r="S91" s="173">
        <f t="shared" si="0"/>
        <v>3293987.5328448857</v>
      </c>
      <c r="T91" s="173">
        <f t="shared" si="0"/>
        <v>3331869.8189486526</v>
      </c>
      <c r="U91" s="173">
        <f t="shared" si="0"/>
        <v>3436816.3875982468</v>
      </c>
      <c r="V91" s="173">
        <f t="shared" si="0"/>
        <v>3409008.5161088272</v>
      </c>
      <c r="W91" s="173">
        <f t="shared" si="0"/>
        <v>4097973.6156549547</v>
      </c>
      <c r="X91" s="173">
        <f t="shared" si="0"/>
        <v>3332055.5336644887</v>
      </c>
      <c r="Y91" s="173">
        <f t="shared" si="0"/>
        <v>3099183.8105615289</v>
      </c>
      <c r="Z91" s="173">
        <f t="shared" si="0"/>
        <v>2786690.1321776854</v>
      </c>
      <c r="AA91" s="173">
        <f t="shared" si="0"/>
        <v>1767755.0942129295</v>
      </c>
      <c r="AB91" s="173">
        <f t="shared" si="0"/>
        <v>1756642.7543781274</v>
      </c>
      <c r="AC91" s="173">
        <f t="shared" si="0"/>
        <v>1750543.7991324314</v>
      </c>
      <c r="AD91" s="173">
        <f t="shared" si="0"/>
        <v>2296933.1510102404</v>
      </c>
      <c r="AE91" s="173">
        <f t="shared" si="0"/>
        <v>2255069.7187853493</v>
      </c>
      <c r="AF91" s="173">
        <f t="shared" si="0"/>
        <v>2653197.0342700221</v>
      </c>
      <c r="AG91" s="173">
        <f t="shared" si="0"/>
        <v>2652723.3238558862</v>
      </c>
      <c r="AH91" s="173">
        <f>SUM(AH5:AH90)</f>
        <v>2958141.7537608147</v>
      </c>
      <c r="AI91" s="173">
        <f>SUM(AI5:AI90)</f>
        <v>2934169.7630030229</v>
      </c>
      <c r="AJ91" s="173">
        <f t="shared" ref="AJ91" si="1">SUM(AJ5:AJ90)</f>
        <v>2932964.1072114278</v>
      </c>
    </row>
    <row r="92" spans="1:36">
      <c r="A92" s="20" t="s">
        <v>669</v>
      </c>
    </row>
    <row r="98" ht="13.5" customHeight="1"/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AR15"/>
  <sheetViews>
    <sheetView showGridLines="0" topLeftCell="T4" zoomScale="70" zoomScaleNormal="70" workbookViewId="0">
      <selection activeCell="AI15" sqref="AI15"/>
    </sheetView>
  </sheetViews>
  <sheetFormatPr defaultColWidth="9.1796875" defaultRowHeight="13"/>
  <cols>
    <col min="1" max="1" width="2.54296875" style="20" customWidth="1"/>
    <col min="2" max="2" width="34.81640625" style="20" customWidth="1"/>
    <col min="3" max="12" width="10.26953125" style="20" customWidth="1"/>
    <col min="13" max="43" width="9.1796875" style="20"/>
    <col min="44" max="44" width="12" style="20" bestFit="1" customWidth="1"/>
    <col min="45" max="16384" width="9.1796875" style="20"/>
  </cols>
  <sheetData>
    <row r="2" spans="2:44" ht="13.5" thickBot="1"/>
    <row r="3" spans="2:44" ht="28.5" thickTop="1">
      <c r="B3" s="264" t="s">
        <v>655</v>
      </c>
      <c r="C3" s="261" t="s">
        <v>263</v>
      </c>
      <c r="D3" s="261" t="s">
        <v>328</v>
      </c>
      <c r="E3" s="261" t="s">
        <v>332</v>
      </c>
      <c r="F3" s="261" t="s">
        <v>338</v>
      </c>
      <c r="G3" s="261" t="s">
        <v>340</v>
      </c>
      <c r="H3" s="261" t="s">
        <v>347</v>
      </c>
      <c r="I3" s="261" t="s">
        <v>349</v>
      </c>
      <c r="J3" s="261" t="s">
        <v>352</v>
      </c>
      <c r="K3" s="261" t="s">
        <v>354</v>
      </c>
      <c r="L3" s="261" t="s">
        <v>362</v>
      </c>
      <c r="M3" s="261" t="s">
        <v>365</v>
      </c>
      <c r="N3" s="261" t="s">
        <v>366</v>
      </c>
      <c r="O3" s="261" t="s">
        <v>370</v>
      </c>
      <c r="P3" s="261" t="s">
        <v>372</v>
      </c>
      <c r="Q3" s="261" t="s">
        <v>388</v>
      </c>
      <c r="R3" s="261" t="s">
        <v>389</v>
      </c>
      <c r="S3" s="261" t="s">
        <v>392</v>
      </c>
      <c r="T3" s="261" t="s">
        <v>395</v>
      </c>
      <c r="U3" s="261" t="s">
        <v>400</v>
      </c>
      <c r="V3" s="261" t="s">
        <v>410</v>
      </c>
      <c r="W3" s="261" t="s">
        <v>413</v>
      </c>
      <c r="X3" s="261" t="s">
        <v>416</v>
      </c>
      <c r="Y3" s="261" t="s">
        <v>586</v>
      </c>
      <c r="Z3" s="261" t="s">
        <v>596</v>
      </c>
      <c r="AA3" s="261" t="s">
        <v>599</v>
      </c>
      <c r="AB3" s="261" t="s">
        <v>602</v>
      </c>
      <c r="AC3" s="261" t="s">
        <v>610</v>
      </c>
      <c r="AD3" s="261" t="s">
        <v>616</v>
      </c>
      <c r="AE3" s="261" t="s">
        <v>631</v>
      </c>
      <c r="AF3" s="261" t="s">
        <v>633</v>
      </c>
      <c r="AG3" s="261" t="s">
        <v>638</v>
      </c>
      <c r="AH3" s="261" t="s">
        <v>642</v>
      </c>
      <c r="AI3" s="261" t="s">
        <v>649</v>
      </c>
      <c r="AJ3" s="261" t="s">
        <v>654</v>
      </c>
      <c r="AK3" s="261" t="s">
        <v>661</v>
      </c>
      <c r="AL3" s="261" t="s">
        <v>664</v>
      </c>
      <c r="AM3" s="261" t="s">
        <v>665</v>
      </c>
      <c r="AN3" s="261" t="s">
        <v>670</v>
      </c>
      <c r="AO3" s="261" t="s">
        <v>674</v>
      </c>
      <c r="AP3" s="261" t="s">
        <v>681</v>
      </c>
      <c r="AQ3" s="311" t="s">
        <v>683</v>
      </c>
      <c r="AR3" s="312" t="s">
        <v>685</v>
      </c>
    </row>
    <row r="4" spans="2:44" ht="14">
      <c r="B4" s="265" t="s">
        <v>76</v>
      </c>
      <c r="C4" s="262">
        <v>0.16045578614350919</v>
      </c>
      <c r="D4" s="262">
        <v>0.13690255206590596</v>
      </c>
      <c r="E4" s="262">
        <v>0.11385839062707914</v>
      </c>
      <c r="F4" s="262">
        <v>8.3312358652637419E-2</v>
      </c>
      <c r="G4" s="262">
        <v>8.5895957137940959E-2</v>
      </c>
      <c r="H4" s="262">
        <v>0.12938485422437207</v>
      </c>
      <c r="I4" s="262">
        <v>7.9229616219292698E-2</v>
      </c>
      <c r="J4" s="262">
        <v>7.2728168631616352E-2</v>
      </c>
      <c r="K4" s="262">
        <v>5.6118534406873533E-2</v>
      </c>
      <c r="L4" s="262">
        <v>6.0881153751854766E-2</v>
      </c>
      <c r="M4" s="262">
        <v>4.1489425583892015E-2</v>
      </c>
      <c r="N4" s="262">
        <v>3.7604905372572661E-2</v>
      </c>
      <c r="O4" s="262">
        <v>3.1676741605102032E-2</v>
      </c>
      <c r="P4" s="262">
        <v>3.4711984312152389E-2</v>
      </c>
      <c r="Q4" s="262">
        <v>2.0281316969353647E-2</v>
      </c>
      <c r="R4" s="262">
        <v>8.3531411797443944E-4</v>
      </c>
      <c r="S4" s="262">
        <v>1.7902306125104017E-2</v>
      </c>
      <c r="T4" s="262">
        <v>3.60268573276874E-2</v>
      </c>
      <c r="U4" s="262">
        <v>-2.9295141870594454E-3</v>
      </c>
      <c r="V4" s="262">
        <v>-4.3589155184360684E-2</v>
      </c>
      <c r="W4" s="262">
        <v>-5.4592591890113118E-2</v>
      </c>
      <c r="X4" s="262">
        <v>-5.0789702166877393E-2</v>
      </c>
      <c r="Y4" s="262">
        <v>-2.7628778620505834E-2</v>
      </c>
      <c r="Z4" s="262">
        <v>-1.7912476370145147E-2</v>
      </c>
      <c r="AA4" s="262">
        <v>-1.5223947830401263E-2</v>
      </c>
      <c r="AB4" s="262">
        <v>-3.1711567202683533E-3</v>
      </c>
      <c r="AC4" s="262">
        <v>-0.02</v>
      </c>
      <c r="AD4" s="262">
        <v>4.1581043805380968E-3</v>
      </c>
      <c r="AE4" s="262">
        <v>1.5311389965817046E-2</v>
      </c>
      <c r="AF4" s="262">
        <v>3.669838691853422E-2</v>
      </c>
      <c r="AG4" s="262">
        <v>1.2328656335505839E-2</v>
      </c>
      <c r="AH4" s="262">
        <v>4.1051599307721842E-2</v>
      </c>
      <c r="AI4" s="262">
        <v>5.6044613368922747E-2</v>
      </c>
      <c r="AJ4" s="262">
        <v>2.9678289623744192E-2</v>
      </c>
      <c r="AK4" s="262">
        <v>2.9676814552204389E-2</v>
      </c>
      <c r="AL4" s="262">
        <v>4.923475221785889E-2</v>
      </c>
      <c r="AM4" s="262">
        <v>0.12522417964882382</v>
      </c>
      <c r="AN4" s="262">
        <v>7.0077423042943288E-2</v>
      </c>
      <c r="AO4" s="262">
        <v>7.6613138617730447E-2</v>
      </c>
      <c r="AP4" s="262">
        <v>8.1512570508873727E-2</v>
      </c>
      <c r="AQ4" s="262">
        <v>4.6624469115536415E-2</v>
      </c>
      <c r="AR4" s="313">
        <v>3.765904189864E-2</v>
      </c>
    </row>
    <row r="5" spans="2:44" ht="14">
      <c r="B5" s="265" t="s">
        <v>144</v>
      </c>
      <c r="C5" s="262">
        <v>6.3680805820047759E-2</v>
      </c>
      <c r="D5" s="262">
        <v>6.336037737380984E-2</v>
      </c>
      <c r="E5" s="262">
        <v>5.3785899041122187E-2</v>
      </c>
      <c r="F5" s="262">
        <v>7.8278413343807474E-2</v>
      </c>
      <c r="G5" s="262">
        <v>8.7932138865925324E-2</v>
      </c>
      <c r="H5" s="262">
        <v>8.3034319016285441E-2</v>
      </c>
      <c r="I5" s="262">
        <v>6.8807146901599836E-2</v>
      </c>
      <c r="J5" s="262">
        <v>5.3169751116920683E-2</v>
      </c>
      <c r="K5" s="262">
        <v>3.8048621297654739E-2</v>
      </c>
      <c r="L5" s="262">
        <v>6.6424792028790147E-2</v>
      </c>
      <c r="M5" s="262">
        <v>6.6611006393547667E-2</v>
      </c>
      <c r="N5" s="262">
        <v>4.7197685667591749E-2</v>
      </c>
      <c r="O5" s="262">
        <v>4.6507699380416767E-2</v>
      </c>
      <c r="P5" s="262">
        <v>4.1274782486443673E-2</v>
      </c>
      <c r="Q5" s="262">
        <v>4.6302242164721896E-2</v>
      </c>
      <c r="R5" s="262">
        <v>2.1706525373792473E-3</v>
      </c>
      <c r="S5" s="262">
        <v>2.1706525373792473E-3</v>
      </c>
      <c r="T5" s="262">
        <v>0.10757511021432964</v>
      </c>
      <c r="U5" s="262">
        <v>0.10632014385134902</v>
      </c>
      <c r="V5" s="262">
        <v>0.10632014385134902</v>
      </c>
      <c r="W5" s="262" t="s">
        <v>156</v>
      </c>
      <c r="X5" s="262" t="s">
        <v>156</v>
      </c>
      <c r="Y5" s="262" t="s">
        <v>156</v>
      </c>
      <c r="Z5" s="262" t="s">
        <v>156</v>
      </c>
      <c r="AA5" s="262" t="s">
        <v>156</v>
      </c>
      <c r="AB5" s="262" t="s">
        <v>156</v>
      </c>
      <c r="AC5" s="262">
        <v>3.0000000000000001E-3</v>
      </c>
      <c r="AD5" s="262">
        <v>2.6365969531501499E-2</v>
      </c>
      <c r="AE5" s="262">
        <v>4.4848435658944474E-2</v>
      </c>
      <c r="AF5" s="262">
        <v>4.0918698118939556E-2</v>
      </c>
      <c r="AG5" s="262">
        <v>4.6117957247709729E-2</v>
      </c>
      <c r="AH5" s="262">
        <v>4.1266572451537531E-2</v>
      </c>
      <c r="AI5" s="262">
        <v>4.0462904613485673E-2</v>
      </c>
      <c r="AJ5" s="262">
        <v>4.8475188314249795E-3</v>
      </c>
      <c r="AK5" s="262">
        <v>-1.6494367811339394E-3</v>
      </c>
      <c r="AL5" s="262">
        <v>4.3861913767245131E-2</v>
      </c>
      <c r="AM5" s="262">
        <v>2.5378651024523302E-2</v>
      </c>
      <c r="AN5" s="262">
        <v>5.5481938010022436E-2</v>
      </c>
      <c r="AO5" s="262">
        <v>9.3784633508646742E-2</v>
      </c>
      <c r="AP5" s="262">
        <v>0.11431206212870104</v>
      </c>
      <c r="AQ5" s="262">
        <v>0.17630522823899497</v>
      </c>
      <c r="AR5" s="313">
        <v>2.2937103575735973E-2</v>
      </c>
    </row>
    <row r="6" spans="2:44" ht="14">
      <c r="B6" s="265" t="s">
        <v>142</v>
      </c>
      <c r="C6" s="262">
        <v>0.2083909029962745</v>
      </c>
      <c r="D6" s="262">
        <v>5.0808526086635997E-2</v>
      </c>
      <c r="E6" s="262">
        <v>5.1208008064714372E-2</v>
      </c>
      <c r="F6" s="262">
        <v>5.1309688033261525E-2</v>
      </c>
      <c r="G6" s="262">
        <v>5.3600560322312418E-2</v>
      </c>
      <c r="H6" s="262">
        <v>6.4771415871835325E-2</v>
      </c>
      <c r="I6" s="262">
        <v>6.5772594642607984E-2</v>
      </c>
      <c r="J6" s="262">
        <v>6.5689590385878516E-2</v>
      </c>
      <c r="K6" s="262">
        <v>5.8839626658895972E-2</v>
      </c>
      <c r="L6" s="262">
        <v>6.2490398743856534E-2</v>
      </c>
      <c r="M6" s="262">
        <v>2.3966734913789534E-2</v>
      </c>
      <c r="N6" s="262">
        <v>5.9948213881857226E-2</v>
      </c>
      <c r="O6" s="262">
        <v>7.7746281223220359E-2</v>
      </c>
      <c r="P6" s="262">
        <v>5.2520794353694278E-2</v>
      </c>
      <c r="Q6" s="262">
        <v>8.5980055050588478E-2</v>
      </c>
      <c r="R6" s="262" t="s">
        <v>156</v>
      </c>
      <c r="S6" s="262" t="s">
        <v>156</v>
      </c>
      <c r="T6" s="262" t="s">
        <v>156</v>
      </c>
      <c r="U6" s="262" t="s">
        <v>156</v>
      </c>
      <c r="V6" s="262" t="s">
        <v>156</v>
      </c>
      <c r="W6" s="262" t="s">
        <v>156</v>
      </c>
      <c r="X6" s="262" t="s">
        <v>156</v>
      </c>
      <c r="Y6" s="262" t="s">
        <v>156</v>
      </c>
      <c r="Z6" s="262" t="s">
        <v>156</v>
      </c>
      <c r="AA6" s="262" t="s">
        <v>156</v>
      </c>
      <c r="AB6" s="262" t="s">
        <v>156</v>
      </c>
      <c r="AC6" s="262" t="s">
        <v>156</v>
      </c>
      <c r="AD6" s="262" t="s">
        <v>156</v>
      </c>
      <c r="AE6" s="262" t="s">
        <v>156</v>
      </c>
      <c r="AF6" s="262" t="s">
        <v>156</v>
      </c>
      <c r="AG6" s="262" t="s">
        <v>156</v>
      </c>
      <c r="AH6" s="262" t="s">
        <v>156</v>
      </c>
      <c r="AI6" s="262" t="s">
        <v>156</v>
      </c>
      <c r="AJ6" s="262" t="s">
        <v>156</v>
      </c>
      <c r="AK6" s="262" t="s">
        <v>156</v>
      </c>
      <c r="AL6" s="262" t="s">
        <v>156</v>
      </c>
      <c r="AM6" s="262" t="s">
        <v>156</v>
      </c>
      <c r="AN6" s="262" t="s">
        <v>156</v>
      </c>
      <c r="AO6" s="262" t="s">
        <v>156</v>
      </c>
      <c r="AP6" s="262" t="s">
        <v>156</v>
      </c>
      <c r="AQ6" s="262" t="s">
        <v>156</v>
      </c>
      <c r="AR6" s="313" t="s">
        <v>156</v>
      </c>
    </row>
    <row r="7" spans="2:44" ht="14">
      <c r="B7" s="266" t="s">
        <v>214</v>
      </c>
      <c r="C7" s="263">
        <v>0.124410652273508</v>
      </c>
      <c r="D7" s="263">
        <v>9.8539912288231113E-2</v>
      </c>
      <c r="E7" s="263">
        <v>8.3485395321061695E-2</v>
      </c>
      <c r="F7" s="263">
        <v>7.8769868756488171E-2</v>
      </c>
      <c r="G7" s="263">
        <v>8.431918260714566E-2</v>
      </c>
      <c r="H7" s="263">
        <v>0.1093866318142378</v>
      </c>
      <c r="I7" s="263">
        <v>7.5087243431947837E-2</v>
      </c>
      <c r="J7" s="263">
        <v>6.6619312564872413E-2</v>
      </c>
      <c r="K7" s="263">
        <v>5.1106544900183737E-2</v>
      </c>
      <c r="L7" s="263">
        <v>6.1521938812816535E-2</v>
      </c>
      <c r="M7" s="263">
        <v>4.3431275952720005E-2</v>
      </c>
      <c r="N7" s="263">
        <v>3.8729340060833728E-2</v>
      </c>
      <c r="O7" s="263">
        <v>3.3537923589649132E-2</v>
      </c>
      <c r="P7" s="263">
        <v>3.5503496662083966E-2</v>
      </c>
      <c r="Q7" s="263">
        <v>2.3542245333280087E-2</v>
      </c>
      <c r="R7" s="263">
        <v>8.9142028031008458E-4</v>
      </c>
      <c r="S7" s="263">
        <v>1.7240977020667403E-2</v>
      </c>
      <c r="T7" s="263">
        <v>3.89302705284027E-2</v>
      </c>
      <c r="U7" s="263">
        <v>0</v>
      </c>
      <c r="V7" s="263">
        <v>-3.9649254157859026E-2</v>
      </c>
      <c r="W7" s="263">
        <v>-5.4592591890113118E-2</v>
      </c>
      <c r="X7" s="263">
        <v>-5.0789702166877393E-2</v>
      </c>
      <c r="Y7" s="263">
        <v>-2.7628778620505834E-2</v>
      </c>
      <c r="Z7" s="263">
        <v>-1.7912476370145147E-2</v>
      </c>
      <c r="AA7" s="263">
        <v>-1.5223947830401263E-2</v>
      </c>
      <c r="AB7" s="263">
        <v>-3.1711567202683533E-3</v>
      </c>
      <c r="AC7" s="263">
        <v>-0.02</v>
      </c>
      <c r="AD7" s="263">
        <v>4.3328764335734959E-3</v>
      </c>
      <c r="AE7" s="263">
        <v>1.5722914129146393E-2</v>
      </c>
      <c r="AF7" s="263">
        <v>3.6795911866422282E-2</v>
      </c>
      <c r="AG7" s="263">
        <v>1.3269759092631395E-2</v>
      </c>
      <c r="AH7" s="263">
        <v>4.1061559763908795E-2</v>
      </c>
      <c r="AI7" s="263">
        <v>5.5319233277647095E-2</v>
      </c>
      <c r="AJ7" s="263">
        <v>2.8512906037375219E-2</v>
      </c>
      <c r="AK7" s="263">
        <v>2.8182618877686139E-2</v>
      </c>
      <c r="AL7" s="263">
        <v>4.8939742222683602E-2</v>
      </c>
      <c r="AM7" s="263">
        <v>0.12136531717906651</v>
      </c>
      <c r="AN7" s="263">
        <v>6.9523984734515043E-2</v>
      </c>
      <c r="AO7" s="263">
        <v>7.6914712128110185E-2</v>
      </c>
      <c r="AP7" s="263">
        <v>8.2157495723340634E-2</v>
      </c>
      <c r="AQ7" s="263">
        <v>4.8977299561148824E-2</v>
      </c>
      <c r="AR7" s="314">
        <v>3.7355294466665301E-2</v>
      </c>
    </row>
    <row r="8" spans="2:44" ht="14">
      <c r="B8" s="265" t="s">
        <v>311</v>
      </c>
      <c r="C8" s="262">
        <v>5.2399919361243219E-2</v>
      </c>
      <c r="D8" s="262">
        <v>4.9154252835474477E-2</v>
      </c>
      <c r="E8" s="262">
        <v>5.2822033772001786E-2</v>
      </c>
      <c r="F8" s="262">
        <v>5.8385947181474496E-2</v>
      </c>
      <c r="G8" s="262">
        <v>6.588765923358908E-2</v>
      </c>
      <c r="H8" s="262">
        <v>6.6959158358983917E-2</v>
      </c>
      <c r="I8" s="262">
        <v>5.858620748231913E-2</v>
      </c>
      <c r="J8" s="262">
        <v>5.910683255331084E-2</v>
      </c>
      <c r="K8" s="262">
        <v>6.1528910091982913E-2</v>
      </c>
      <c r="L8" s="262">
        <v>6.5232836013692452E-2</v>
      </c>
      <c r="M8" s="262">
        <v>6.7464743152562567E-2</v>
      </c>
      <c r="N8" s="262">
        <v>6.4074707959081545E-2</v>
      </c>
      <c r="O8" s="262">
        <v>8.1285046609104405E-2</v>
      </c>
      <c r="P8" s="262">
        <v>8.894429960185124E-2</v>
      </c>
      <c r="Q8" s="262">
        <v>9.4927892083663146E-2</v>
      </c>
      <c r="R8" s="262">
        <v>0.1067302813397506</v>
      </c>
      <c r="S8" s="262">
        <v>9.3863723708620617E-2</v>
      </c>
      <c r="T8" s="262">
        <v>8.8437473175281056E-2</v>
      </c>
      <c r="U8" s="262">
        <v>8.4759686232872333E-2</v>
      </c>
      <c r="V8" s="262">
        <v>6.2879882132213849E-2</v>
      </c>
      <c r="W8" s="262">
        <v>4.5711051156818838E-2</v>
      </c>
      <c r="X8" s="262">
        <v>2.9985569924055655E-2</v>
      </c>
      <c r="Y8" s="262">
        <v>2.5376909332922803E-2</v>
      </c>
      <c r="Z8" s="262">
        <v>2.9474213204347066E-2</v>
      </c>
      <c r="AA8" s="262">
        <v>2.6808027890636001E-2</v>
      </c>
      <c r="AB8" s="262">
        <v>4.3911039739087387E-2</v>
      </c>
      <c r="AC8" s="262">
        <v>4.4999999999999998E-2</v>
      </c>
      <c r="AD8" s="262">
        <v>3.7455811701915476E-2</v>
      </c>
      <c r="AE8" s="262">
        <v>4.5752835314434748E-2</v>
      </c>
      <c r="AF8" s="262">
        <v>3.3662671524801624E-2</v>
      </c>
      <c r="AG8" s="262">
        <v>2.8934248931768991E-2</v>
      </c>
      <c r="AH8" s="262">
        <v>4.306151617159526E-2</v>
      </c>
      <c r="AI8" s="262">
        <v>3.303157719890204E-2</v>
      </c>
      <c r="AJ8" s="262">
        <v>2.1324173853674466E-2</v>
      </c>
      <c r="AK8" s="262">
        <v>3.1353293138274951E-2</v>
      </c>
      <c r="AL8" s="262">
        <v>4.517456886424509E-2</v>
      </c>
      <c r="AM8" s="262">
        <v>6.0994785444116184E-2</v>
      </c>
      <c r="AN8" s="262">
        <v>8.3470723655796775E-2</v>
      </c>
      <c r="AO8" s="262">
        <v>0.10246394955255722</v>
      </c>
      <c r="AP8" s="262">
        <v>0.10060982737443336</v>
      </c>
      <c r="AQ8" s="262">
        <v>0.11299412129585251</v>
      </c>
      <c r="AR8" s="313">
        <v>3.2007960732282958E-2</v>
      </c>
    </row>
    <row r="9" spans="2:44" ht="14">
      <c r="B9" s="265" t="s">
        <v>359</v>
      </c>
      <c r="C9" s="262">
        <v>3.234044951858972E-2</v>
      </c>
      <c r="D9" s="262">
        <v>5.1412060810010596E-2</v>
      </c>
      <c r="E9" s="262">
        <v>8.0663148355455849E-2</v>
      </c>
      <c r="F9" s="262">
        <v>7.818244825167131E-2</v>
      </c>
      <c r="G9" s="262">
        <v>8.0560140791236634E-2</v>
      </c>
      <c r="H9" s="262">
        <v>6.3093078211581277E-2</v>
      </c>
      <c r="I9" s="262">
        <v>4.3963741406934487E-2</v>
      </c>
      <c r="J9" s="262">
        <v>5.5106104434671455E-2</v>
      </c>
      <c r="K9" s="262">
        <v>7.3001170008901495E-2</v>
      </c>
      <c r="L9" s="262">
        <v>6.2411273747815965E-2</v>
      </c>
      <c r="M9" s="262">
        <v>3.5446100343045073E-2</v>
      </c>
      <c r="N9" s="262">
        <v>3.6857551498040264E-2</v>
      </c>
      <c r="O9" s="262">
        <v>3.1605525940657797E-2</v>
      </c>
      <c r="P9" s="262">
        <v>5.5927434122497566E-2</v>
      </c>
      <c r="Q9" s="262">
        <v>8.3540967327992322E-2</v>
      </c>
      <c r="R9" s="262">
        <v>0.10539166948817</v>
      </c>
      <c r="S9" s="262">
        <v>0.11555546971569863</v>
      </c>
      <c r="T9" s="262">
        <v>0.12207224918913262</v>
      </c>
      <c r="U9" s="262">
        <v>0.10661617301711912</v>
      </c>
      <c r="V9" s="262">
        <v>7.1729082528960708E-2</v>
      </c>
      <c r="W9" s="262">
        <v>4.8552842610911418E-2</v>
      </c>
      <c r="X9" s="262">
        <v>-7.7842863613548641E-3</v>
      </c>
      <c r="Y9" s="262">
        <v>-1.4452864541311117E-2</v>
      </c>
      <c r="Z9" s="262">
        <v>-5.2094044493907754E-3</v>
      </c>
      <c r="AA9" s="262">
        <v>1.9919032958719551E-3</v>
      </c>
      <c r="AB9" s="262">
        <v>6.9212487797054134E-2</v>
      </c>
      <c r="AC9" s="262">
        <v>0.1</v>
      </c>
      <c r="AD9" s="262">
        <v>7.5368734029632511E-2</v>
      </c>
      <c r="AE9" s="262">
        <v>8.2668188709319912E-2</v>
      </c>
      <c r="AF9" s="262">
        <v>6.5101465915270218E-2</v>
      </c>
      <c r="AG9" s="262">
        <v>3.3674774310648914E-2</v>
      </c>
      <c r="AH9" s="262">
        <v>7.3039306458065001E-2</v>
      </c>
      <c r="AI9" s="262">
        <v>6.8078764976678086E-2</v>
      </c>
      <c r="AJ9" s="262">
        <v>7.313984840626131E-2</v>
      </c>
      <c r="AK9" s="262">
        <v>0.17936829983078972</v>
      </c>
      <c r="AL9" s="262">
        <v>0.23138351126052559</v>
      </c>
      <c r="AM9" s="262">
        <v>0.31096970105245703</v>
      </c>
      <c r="AN9" s="262">
        <v>0.35751341760586741</v>
      </c>
      <c r="AO9" s="262">
        <v>0.24857157990976941</v>
      </c>
      <c r="AP9" s="262">
        <v>0.17783212339450416</v>
      </c>
      <c r="AQ9" s="262">
        <v>0.14770521805468251</v>
      </c>
      <c r="AR9" s="313">
        <v>5.4887065072461994E-2</v>
      </c>
    </row>
    <row r="10" spans="2:44" ht="28.5" thickBot="1">
      <c r="B10" s="267" t="s">
        <v>686</v>
      </c>
      <c r="C10" s="263">
        <v>3.695412758240002E-2</v>
      </c>
      <c r="D10" s="263">
        <v>5.0892764975867283E-2</v>
      </c>
      <c r="E10" s="263">
        <v>7.4259692001261424E-2</v>
      </c>
      <c r="F10" s="263">
        <v>7.3629253005526044E-2</v>
      </c>
      <c r="G10" s="263">
        <v>7.7185470032977696E-2</v>
      </c>
      <c r="H10" s="263">
        <v>6.3982276645483893E-2</v>
      </c>
      <c r="I10" s="263">
        <v>4.7326908604272952E-2</v>
      </c>
      <c r="J10" s="263">
        <v>5.6026271901958517E-2</v>
      </c>
      <c r="K10" s="263">
        <v>7.0362550228010232E-2</v>
      </c>
      <c r="L10" s="263">
        <v>6.3060233068967561E-2</v>
      </c>
      <c r="M10" s="263">
        <v>4.3130574617329276E-2</v>
      </c>
      <c r="N10" s="263">
        <v>4.3934012177911E-2</v>
      </c>
      <c r="O10" s="263">
        <v>4.4025406107769449E-2</v>
      </c>
      <c r="P10" s="263">
        <v>6.4181650492335984E-2</v>
      </c>
      <c r="Q10" s="263">
        <v>8.6729306259580155E-2</v>
      </c>
      <c r="R10" s="263">
        <v>0.10567277797700211</v>
      </c>
      <c r="S10" s="263">
        <v>0.1136032125750616</v>
      </c>
      <c r="T10" s="263">
        <v>0.1193814671080245</v>
      </c>
      <c r="U10" s="263">
        <v>0.10552334867790678</v>
      </c>
      <c r="V10" s="263">
        <v>7.1375114513090837E-2</v>
      </c>
      <c r="W10" s="263">
        <v>4.8410753038206786E-2</v>
      </c>
      <c r="X10" s="263">
        <v>-6.2734921099384423E-3</v>
      </c>
      <c r="Y10" s="263">
        <v>-1.285967358634176E-2</v>
      </c>
      <c r="Z10" s="263">
        <v>-3.8220597432412611E-3</v>
      </c>
      <c r="AA10" s="263">
        <f>(AA8*7%)+(AA9*93%)</f>
        <v>3.7290320175054383E-3</v>
      </c>
      <c r="AB10" s="263">
        <v>6.7441386432996464E-2</v>
      </c>
      <c r="AC10" s="263">
        <v>9.7000000000000003E-2</v>
      </c>
      <c r="AD10" s="263">
        <v>7.2714829466692332E-2</v>
      </c>
      <c r="AE10" s="263">
        <v>8.0084113971677959E-2</v>
      </c>
      <c r="AF10" s="263">
        <v>6.2900750307937417E-2</v>
      </c>
      <c r="AG10" s="263">
        <v>3.3342937534127315E-2</v>
      </c>
      <c r="AH10" s="263">
        <v>7.0940861138012123E-2</v>
      </c>
      <c r="AI10" s="263">
        <v>6.4223574321122717E-2</v>
      </c>
      <c r="AJ10" s="263">
        <v>6.6921967459950896E-2</v>
      </c>
      <c r="AK10" s="263">
        <v>0.16160649902768795</v>
      </c>
      <c r="AL10" s="263">
        <v>0.20717634874900914</v>
      </c>
      <c r="AM10" s="263">
        <v>0.26347446708687228</v>
      </c>
      <c r="AN10" s="263">
        <v>0.29174317105785047</v>
      </c>
      <c r="AO10" s="263">
        <v>0.20327821449903363</v>
      </c>
      <c r="AP10" s="263">
        <v>0.15389321162828221</v>
      </c>
      <c r="AQ10" s="263">
        <v>0.13034966967526751</v>
      </c>
      <c r="AR10" s="315">
        <v>4.3447512902372476E-2</v>
      </c>
    </row>
    <row r="11" spans="2:44" ht="13.5" thickTop="1">
      <c r="B11" s="20" t="s">
        <v>360</v>
      </c>
    </row>
    <row r="12" spans="2:44">
      <c r="B12" s="20" t="s">
        <v>415</v>
      </c>
      <c r="AR12" s="269"/>
    </row>
    <row r="13" spans="2:44">
      <c r="B13" s="20" t="s">
        <v>361</v>
      </c>
    </row>
    <row r="14" spans="2:44">
      <c r="B14" s="20" t="s">
        <v>371</v>
      </c>
    </row>
    <row r="15" spans="2:44">
      <c r="B15" s="20" t="s">
        <v>641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H75"/>
  <sheetViews>
    <sheetView showGridLines="0" topLeftCell="A55" zoomScale="80" zoomScaleNormal="80" workbookViewId="0">
      <selection activeCell="AB45" sqref="AB45"/>
    </sheetView>
  </sheetViews>
  <sheetFormatPr defaultColWidth="9.1796875" defaultRowHeight="14" outlineLevelCol="1"/>
  <cols>
    <col min="1" max="1" width="6.453125" style="200" customWidth="1"/>
    <col min="2" max="2" width="58.81640625" style="200" bestFit="1" customWidth="1"/>
    <col min="3" max="6" width="9.1796875" style="200" hidden="1" customWidth="1" outlineLevel="1"/>
    <col min="7" max="7" width="9.1796875" style="200" collapsed="1"/>
    <col min="8" max="11" width="9.1796875" style="200" hidden="1" customWidth="1" outlineLevel="1"/>
    <col min="12" max="12" width="9.1796875" style="200" collapsed="1"/>
    <col min="13" max="16" width="9.1796875" style="200" hidden="1" customWidth="1" outlineLevel="1"/>
    <col min="17" max="17" width="9.1796875" style="200" collapsed="1"/>
    <col min="18" max="21" width="9.1796875" style="200" hidden="1" customWidth="1" outlineLevel="1"/>
    <col min="22" max="22" width="9.1796875" style="200" collapsed="1"/>
    <col min="23" max="26" width="9.1796875" style="200" customWidth="1" outlineLevel="1"/>
    <col min="27" max="27" width="9.1796875" style="200"/>
    <col min="28" max="28" width="9.1796875" style="200" outlineLevel="1"/>
    <col min="29" max="16384" width="9.1796875" style="200"/>
  </cols>
  <sheetData>
    <row r="1" spans="1:34">
      <c r="A1" s="198" t="s">
        <v>425</v>
      </c>
      <c r="B1" s="199" t="s">
        <v>426</v>
      </c>
      <c r="C1" s="198" t="s">
        <v>413</v>
      </c>
      <c r="D1" s="198" t="s">
        <v>416</v>
      </c>
      <c r="E1" s="198" t="s">
        <v>586</v>
      </c>
      <c r="F1" s="198" t="s">
        <v>596</v>
      </c>
      <c r="G1" s="198">
        <v>2017</v>
      </c>
      <c r="H1" s="198" t="s">
        <v>599</v>
      </c>
      <c r="I1" s="198" t="s">
        <v>602</v>
      </c>
      <c r="J1" s="198" t="s">
        <v>610</v>
      </c>
      <c r="K1" s="198" t="s">
        <v>616</v>
      </c>
      <c r="L1" s="198">
        <v>2018</v>
      </c>
      <c r="M1" s="198" t="s">
        <v>631</v>
      </c>
      <c r="N1" s="198" t="s">
        <v>633</v>
      </c>
      <c r="O1" s="198" t="s">
        <v>635</v>
      </c>
      <c r="P1" s="198" t="s">
        <v>639</v>
      </c>
      <c r="Q1" s="198">
        <v>2019</v>
      </c>
      <c r="R1" s="198" t="s">
        <v>644</v>
      </c>
      <c r="S1" s="198" t="s">
        <v>650</v>
      </c>
      <c r="T1" s="198" t="s">
        <v>656</v>
      </c>
      <c r="U1" s="198" t="s">
        <v>658</v>
      </c>
      <c r="V1" s="198">
        <v>2020</v>
      </c>
      <c r="W1" s="198" t="s">
        <v>665</v>
      </c>
      <c r="X1" s="198" t="s">
        <v>670</v>
      </c>
      <c r="Y1" s="198" t="s">
        <v>674</v>
      </c>
      <c r="Z1" s="198" t="s">
        <v>681</v>
      </c>
      <c r="AA1" s="198">
        <v>2021</v>
      </c>
      <c r="AB1" s="198" t="s">
        <v>683</v>
      </c>
    </row>
    <row r="2" spans="1:34">
      <c r="A2" s="201" t="s">
        <v>427</v>
      </c>
      <c r="B2" s="202" t="s">
        <v>178</v>
      </c>
      <c r="C2" s="203">
        <f t="shared" ref="C2:L2" si="0">SUM(C3,C6:C6)</f>
        <v>125663.41201000004</v>
      </c>
      <c r="D2" s="203">
        <f t="shared" si="0"/>
        <v>116553.30530499996</v>
      </c>
      <c r="E2" s="203">
        <f t="shared" si="0"/>
        <v>124509.62410499994</v>
      </c>
      <c r="F2" s="203">
        <f t="shared" si="0"/>
        <v>125088.63351500021</v>
      </c>
      <c r="G2" s="203">
        <f t="shared" si="0"/>
        <v>491814.97493500018</v>
      </c>
      <c r="H2" s="203">
        <f t="shared" si="0"/>
        <v>130202.41490999999</v>
      </c>
      <c r="I2" s="203">
        <f t="shared" si="0"/>
        <v>123330.12925999999</v>
      </c>
      <c r="J2" s="203">
        <f t="shared" si="0"/>
        <v>134631.47180000006</v>
      </c>
      <c r="K2" s="203">
        <f t="shared" si="0"/>
        <v>118437.92490499993</v>
      </c>
      <c r="L2" s="203">
        <f t="shared" si="0"/>
        <v>506601.94087499997</v>
      </c>
      <c r="M2" s="203">
        <f t="shared" ref="M2:Q2" si="1">SUM(M3,M6:M6)</f>
        <v>121870.79642500002</v>
      </c>
      <c r="N2" s="203">
        <f t="shared" si="1"/>
        <v>123389.50363999998</v>
      </c>
      <c r="O2" s="203">
        <f t="shared" si="1"/>
        <v>120629.19534500009</v>
      </c>
      <c r="P2" s="203">
        <f t="shared" si="1"/>
        <v>108819.62020499998</v>
      </c>
      <c r="Q2" s="203">
        <f t="shared" si="1"/>
        <v>474709.11561500013</v>
      </c>
      <c r="R2" s="203">
        <f t="shared" ref="R2:S2" si="2">SUM(R3,R6:R6)</f>
        <v>93798.800125000009</v>
      </c>
      <c r="S2" s="203">
        <f t="shared" si="2"/>
        <v>93205.329729999998</v>
      </c>
      <c r="T2" s="203">
        <f t="shared" ref="T2:W2" si="3">SUM(T3,T6:T6)</f>
        <v>97315.375690000044</v>
      </c>
      <c r="U2" s="203">
        <f t="shared" si="3"/>
        <v>103403.15332999996</v>
      </c>
      <c r="V2" s="203">
        <f>SUM(V3,V6:V6)</f>
        <v>387722.65887500002</v>
      </c>
      <c r="W2" s="203">
        <f t="shared" si="3"/>
        <v>106879.40371</v>
      </c>
      <c r="X2" s="203">
        <f t="shared" ref="X2:Y2" si="4">SUM(X3,X6:X6)</f>
        <v>98068.039209999988</v>
      </c>
      <c r="Y2" s="203">
        <f t="shared" si="4"/>
        <v>105543.83350000001</v>
      </c>
      <c r="Z2" s="203">
        <f t="shared" ref="Z2" si="5">SUM(Z3,Z6:Z6)</f>
        <v>104651.35618999995</v>
      </c>
      <c r="AA2" s="203">
        <f>SUM(AA3,AA6:AA6)</f>
        <v>415142.63260999991</v>
      </c>
      <c r="AB2" s="203">
        <f t="shared" ref="AB2" si="6">SUM(AB3,AB6:AB6)</f>
        <v>108497.94544000001</v>
      </c>
    </row>
    <row r="3" spans="1:34">
      <c r="A3" s="204" t="s">
        <v>428</v>
      </c>
      <c r="B3" s="205" t="s">
        <v>429</v>
      </c>
      <c r="C3" s="206">
        <f t="shared" ref="C3:Y3" si="7">SUM(C4:C5)</f>
        <v>121268.95109000005</v>
      </c>
      <c r="D3" s="206">
        <f t="shared" si="7"/>
        <v>111746.14710499995</v>
      </c>
      <c r="E3" s="206">
        <f t="shared" si="7"/>
        <v>119799.06054499994</v>
      </c>
      <c r="F3" s="206">
        <f t="shared" si="7"/>
        <v>120374.22078500022</v>
      </c>
      <c r="G3" s="206">
        <f t="shared" si="7"/>
        <v>473188.37952500017</v>
      </c>
      <c r="H3" s="206">
        <f t="shared" si="7"/>
        <v>125720.56206</v>
      </c>
      <c r="I3" s="206">
        <f t="shared" si="7"/>
        <v>118750.18524999999</v>
      </c>
      <c r="J3" s="206">
        <f t="shared" si="7"/>
        <v>129932.89642000006</v>
      </c>
      <c r="K3" s="206">
        <f t="shared" si="7"/>
        <v>113754.52890499994</v>
      </c>
      <c r="L3" s="206">
        <f t="shared" si="7"/>
        <v>488158.17263499997</v>
      </c>
      <c r="M3" s="206">
        <f t="shared" si="7"/>
        <v>117305.81184500002</v>
      </c>
      <c r="N3" s="206">
        <f t="shared" si="7"/>
        <v>118704.64093999998</v>
      </c>
      <c r="O3" s="206">
        <f t="shared" si="7"/>
        <v>115974.52212500009</v>
      </c>
      <c r="P3" s="206">
        <f t="shared" si="7"/>
        <v>103881.65078499999</v>
      </c>
      <c r="Q3" s="206">
        <f t="shared" si="7"/>
        <v>455866.62569500011</v>
      </c>
      <c r="R3" s="206">
        <f t="shared" si="7"/>
        <v>88554.658555000002</v>
      </c>
      <c r="S3" s="206">
        <f t="shared" si="7"/>
        <v>89156.128169999996</v>
      </c>
      <c r="T3" s="206">
        <f t="shared" si="7"/>
        <v>93568.342300000048</v>
      </c>
      <c r="U3" s="206">
        <f t="shared" si="7"/>
        <v>99451.505219999963</v>
      </c>
      <c r="V3" s="206">
        <f t="shared" si="7"/>
        <v>370730.63424500002</v>
      </c>
      <c r="W3" s="206">
        <f t="shared" si="7"/>
        <v>103016.04449</v>
      </c>
      <c r="X3" s="206">
        <f t="shared" si="7"/>
        <v>94172.986059999996</v>
      </c>
      <c r="Y3" s="206">
        <f t="shared" si="7"/>
        <v>101487.30778</v>
      </c>
      <c r="Z3" s="206">
        <f>SUM(Z4:Z5)</f>
        <v>100471.85595999994</v>
      </c>
      <c r="AA3" s="206">
        <f t="shared" ref="AA3" si="8">SUM(AA4:AA5)</f>
        <v>399148.1942899999</v>
      </c>
      <c r="AB3" s="206">
        <f t="shared" ref="AB3" si="9">SUM(AB4:AB5)</f>
        <v>104374.34611000001</v>
      </c>
    </row>
    <row r="4" spans="1:34">
      <c r="A4" s="207" t="s">
        <v>430</v>
      </c>
      <c r="B4" s="208" t="s">
        <v>431</v>
      </c>
      <c r="C4" s="209">
        <v>119868.99433000005</v>
      </c>
      <c r="D4" s="209">
        <v>111746.14710499995</v>
      </c>
      <c r="E4" s="209">
        <v>119291.10753499994</v>
      </c>
      <c r="F4" s="209">
        <v>119760.71910500021</v>
      </c>
      <c r="G4" s="209">
        <v>470666.96807500016</v>
      </c>
      <c r="H4" s="209">
        <v>124756.16666999999</v>
      </c>
      <c r="I4" s="209">
        <v>116533.76350999999</v>
      </c>
      <c r="J4" s="209">
        <v>127660.08652000006</v>
      </c>
      <c r="K4" s="209">
        <v>111455.84444499994</v>
      </c>
      <c r="L4" s="209">
        <f>SUM(H4:K4)</f>
        <v>480405.86114499997</v>
      </c>
      <c r="M4" s="209">
        <v>114781.18104500002</v>
      </c>
      <c r="N4" s="209">
        <v>116062.08295999999</v>
      </c>
      <c r="O4" s="209">
        <v>113276.9490250001</v>
      </c>
      <c r="P4" s="209">
        <v>101287.90314499999</v>
      </c>
      <c r="Q4" s="209">
        <f>SUM(M4:P4)</f>
        <v>445408.11617500009</v>
      </c>
      <c r="R4" s="209">
        <v>84863.399275000003</v>
      </c>
      <c r="S4" s="209">
        <v>85937.906829999993</v>
      </c>
      <c r="T4" s="209">
        <v>90139.52164000005</v>
      </c>
      <c r="U4" s="209">
        <v>95659.602089999971</v>
      </c>
      <c r="V4" s="209">
        <f>SUM(R4:U4)</f>
        <v>356600.42983500002</v>
      </c>
      <c r="W4" s="209">
        <v>98824.682780000003</v>
      </c>
      <c r="X4" s="209">
        <v>89995.247759999998</v>
      </c>
      <c r="Y4" s="209">
        <v>97836.996570000003</v>
      </c>
      <c r="Z4" s="209">
        <v>97952.947199999937</v>
      </c>
      <c r="AA4" s="209">
        <f>SUM(W4:Z4)</f>
        <v>384609.87430999993</v>
      </c>
      <c r="AB4" s="209">
        <v>101705.80573000001</v>
      </c>
      <c r="AC4" s="210"/>
      <c r="AF4" s="210"/>
      <c r="AG4" s="210"/>
      <c r="AH4" s="210"/>
    </row>
    <row r="5" spans="1:34">
      <c r="A5" s="211" t="s">
        <v>432</v>
      </c>
      <c r="B5" s="180" t="s">
        <v>433</v>
      </c>
      <c r="C5" s="168">
        <v>1399.95676</v>
      </c>
      <c r="D5" s="168">
        <v>0</v>
      </c>
      <c r="E5" s="168">
        <v>507.95300999999995</v>
      </c>
      <c r="F5" s="168">
        <v>613.50168000000008</v>
      </c>
      <c r="G5" s="168">
        <v>2521.4114500000001</v>
      </c>
      <c r="H5" s="168">
        <v>964.39538999999991</v>
      </c>
      <c r="I5" s="168">
        <v>2216.4217399999998</v>
      </c>
      <c r="J5" s="168">
        <v>2272.8099000000007</v>
      </c>
      <c r="K5" s="168">
        <v>2298.6844599999995</v>
      </c>
      <c r="L5" s="168">
        <f t="shared" ref="L5:L6" si="10">SUM(H5:K5)</f>
        <v>7752.3114899999991</v>
      </c>
      <c r="M5" s="168">
        <v>2524.6307999999999</v>
      </c>
      <c r="N5" s="168">
        <v>2642.5579800000005</v>
      </c>
      <c r="O5" s="168">
        <v>2697.5730999999996</v>
      </c>
      <c r="P5" s="168">
        <v>2593.7476399999996</v>
      </c>
      <c r="Q5" s="168">
        <f>SUM(M5:P5)</f>
        <v>10458.50952</v>
      </c>
      <c r="R5" s="168">
        <v>3691.2592799999998</v>
      </c>
      <c r="S5" s="168">
        <v>3218.2213400000005</v>
      </c>
      <c r="T5" s="168">
        <v>3428.8206600000012</v>
      </c>
      <c r="U5" s="168">
        <v>3791.9031299999988</v>
      </c>
      <c r="V5" s="168">
        <f t="shared" ref="V5:V9" si="11">SUM(R5:U5)</f>
        <v>14130.20441</v>
      </c>
      <c r="W5" s="168">
        <v>4191.3617100000001</v>
      </c>
      <c r="X5" s="168">
        <v>4177.7383</v>
      </c>
      <c r="Y5" s="168">
        <v>3650.311209999998</v>
      </c>
      <c r="Z5" s="168">
        <v>2518.9087600000021</v>
      </c>
      <c r="AA5" s="168">
        <f>SUM(W5:Z5)</f>
        <v>14538.31998</v>
      </c>
      <c r="AB5" s="168">
        <v>2668.5403799999999</v>
      </c>
    </row>
    <row r="6" spans="1:34">
      <c r="A6" s="207" t="s">
        <v>434</v>
      </c>
      <c r="B6" s="208" t="s">
        <v>436</v>
      </c>
      <c r="C6" s="209">
        <v>4394.4609199999995</v>
      </c>
      <c r="D6" s="209">
        <v>4807.1582000000017</v>
      </c>
      <c r="E6" s="209">
        <v>4710.5635599999987</v>
      </c>
      <c r="F6" s="209">
        <v>4714.4127300000018</v>
      </c>
      <c r="G6" s="209">
        <v>18626.595410000002</v>
      </c>
      <c r="H6" s="209">
        <v>4481.8528500000002</v>
      </c>
      <c r="I6" s="209">
        <v>4579.9440099999965</v>
      </c>
      <c r="J6" s="209">
        <v>4698.575380000002</v>
      </c>
      <c r="K6" s="209">
        <v>4683.3959999999988</v>
      </c>
      <c r="L6" s="209">
        <f t="shared" si="10"/>
        <v>18443.768239999998</v>
      </c>
      <c r="M6" s="209">
        <v>4564.9845800000003</v>
      </c>
      <c r="N6" s="209">
        <v>4684.8627000000015</v>
      </c>
      <c r="O6" s="209">
        <v>4654.6732200000006</v>
      </c>
      <c r="P6" s="209">
        <v>4937.969419999994</v>
      </c>
      <c r="Q6" s="209">
        <f>SUM(M6:P6)</f>
        <v>18842.489919999996</v>
      </c>
      <c r="R6" s="209">
        <v>5244.1415700000007</v>
      </c>
      <c r="S6" s="209">
        <v>4049.2015599999986</v>
      </c>
      <c r="T6" s="209">
        <v>3747.0333900000005</v>
      </c>
      <c r="U6" s="209">
        <v>3951.6481100000001</v>
      </c>
      <c r="V6" s="209">
        <f t="shared" si="11"/>
        <v>16992.02463</v>
      </c>
      <c r="W6" s="209">
        <v>3863.3592199999998</v>
      </c>
      <c r="X6" s="209">
        <v>3895.0531499999993</v>
      </c>
      <c r="Y6" s="209">
        <v>4056.5257200000005</v>
      </c>
      <c r="Z6" s="209">
        <v>4179.5002299999996</v>
      </c>
      <c r="AA6" s="209">
        <f>SUM(W6:Z6)</f>
        <v>15994.438319999999</v>
      </c>
      <c r="AB6" s="209">
        <v>4123.59933</v>
      </c>
    </row>
    <row r="7" spans="1:34">
      <c r="A7" s="204" t="s">
        <v>435</v>
      </c>
      <c r="B7" s="205" t="s">
        <v>438</v>
      </c>
      <c r="C7" s="206">
        <f t="shared" ref="C7:L7" si="12">SUM(C8:C9)</f>
        <v>-11632.907764999998</v>
      </c>
      <c r="D7" s="206">
        <f t="shared" si="12"/>
        <v>-11875.790585000001</v>
      </c>
      <c r="E7" s="206">
        <f t="shared" si="12"/>
        <v>-18273.421129999992</v>
      </c>
      <c r="F7" s="206">
        <f t="shared" si="12"/>
        <v>-19583.314069999997</v>
      </c>
      <c r="G7" s="206">
        <f t="shared" si="12"/>
        <v>-61365.433549999987</v>
      </c>
      <c r="H7" s="206">
        <f t="shared" si="12"/>
        <v>-22754.633105000004</v>
      </c>
      <c r="I7" s="206">
        <f t="shared" si="12"/>
        <v>-18734.870000000006</v>
      </c>
      <c r="J7" s="206">
        <f t="shared" si="12"/>
        <v>-21175.439364999998</v>
      </c>
      <c r="K7" s="206">
        <f t="shared" si="12"/>
        <v>-22619.543914999987</v>
      </c>
      <c r="L7" s="206">
        <f t="shared" si="12"/>
        <v>-85284.486384999997</v>
      </c>
      <c r="M7" s="206">
        <f t="shared" ref="M7:Q7" si="13">SUM(M8:M9)</f>
        <v>-23560.974025000003</v>
      </c>
      <c r="N7" s="206">
        <f t="shared" si="13"/>
        <v>-25248.382894999981</v>
      </c>
      <c r="O7" s="206">
        <f t="shared" si="13"/>
        <v>-25325.711460000002</v>
      </c>
      <c r="P7" s="206">
        <f t="shared" si="13"/>
        <v>-21322.183819999998</v>
      </c>
      <c r="Q7" s="206">
        <f t="shared" si="13"/>
        <v>-95457.252199999988</v>
      </c>
      <c r="R7" s="206">
        <f t="shared" ref="R7:S7" si="14">SUM(R8:R9)</f>
        <v>-17788.433904999998</v>
      </c>
      <c r="S7" s="206">
        <f t="shared" si="14"/>
        <v>-17731.700489999999</v>
      </c>
      <c r="T7" s="206">
        <f t="shared" ref="T7:X7" si="15">SUM(T8:T9)</f>
        <v>-18697.22210499999</v>
      </c>
      <c r="U7" s="206">
        <f t="shared" si="15"/>
        <v>-19917.090270000037</v>
      </c>
      <c r="V7" s="206">
        <f t="shared" si="15"/>
        <v>-74134.446770000024</v>
      </c>
      <c r="W7" s="206">
        <f t="shared" si="15"/>
        <v>-24531.053399999997</v>
      </c>
      <c r="X7" s="206">
        <f t="shared" si="15"/>
        <v>-19451.118620000001</v>
      </c>
      <c r="Y7" s="206">
        <f>SUM(Y8:Y9)</f>
        <v>-22047.347520000003</v>
      </c>
      <c r="Z7" s="206">
        <f>SUM(Z8:Z9)</f>
        <v>-22782.043859999994</v>
      </c>
      <c r="AA7" s="206">
        <f>SUM(AA8:AA9)</f>
        <v>-88811.563399999999</v>
      </c>
      <c r="AB7" s="206">
        <f t="shared" ref="AB7" si="16">SUM(AB8:AB9)</f>
        <v>-25408.317660000001</v>
      </c>
    </row>
    <row r="8" spans="1:34">
      <c r="A8" s="207" t="s">
        <v>437</v>
      </c>
      <c r="B8" s="208" t="s">
        <v>440</v>
      </c>
      <c r="C8" s="209">
        <v>-9820.1562349999986</v>
      </c>
      <c r="D8" s="209">
        <v>-7514.4411350000009</v>
      </c>
      <c r="E8" s="209">
        <v>-10151.293569999991</v>
      </c>
      <c r="F8" s="209">
        <v>-10370.676599999999</v>
      </c>
      <c r="G8" s="209">
        <v>-37856.567539999989</v>
      </c>
      <c r="H8" s="209">
        <v>-10429.188020000001</v>
      </c>
      <c r="I8" s="209">
        <v>-9106.213125000002</v>
      </c>
      <c r="J8" s="209">
        <v>-10824.94138</v>
      </c>
      <c r="K8" s="209">
        <v>-8919.8729349999958</v>
      </c>
      <c r="L8" s="209">
        <f t="shared" ref="L8:L9" si="17">SUM(H8:K8)</f>
        <v>-39280.215459999999</v>
      </c>
      <c r="M8" s="209">
        <v>-8982.0165400000024</v>
      </c>
      <c r="N8" s="209">
        <v>-9409.8419299999932</v>
      </c>
      <c r="O8" s="209">
        <v>-8843.5471450000005</v>
      </c>
      <c r="P8" s="209">
        <v>-7514.884904999999</v>
      </c>
      <c r="Q8" s="209">
        <f>SUM(M8:P8)</f>
        <v>-34750.290519999995</v>
      </c>
      <c r="R8" s="209">
        <v>-5486.1175250000006</v>
      </c>
      <c r="S8" s="209">
        <v>-5639.3184699999993</v>
      </c>
      <c r="T8" s="209">
        <v>-6537.8757049999986</v>
      </c>
      <c r="U8" s="209">
        <v>-7367.1933099999951</v>
      </c>
      <c r="V8" s="209">
        <f t="shared" si="11"/>
        <v>-25030.505009999993</v>
      </c>
      <c r="W8" s="209">
        <v>-7736.0789300000015</v>
      </c>
      <c r="X8" s="209">
        <v>-7060.074779999999</v>
      </c>
      <c r="Y8" s="209">
        <v>-7526.9242200000026</v>
      </c>
      <c r="Z8" s="209">
        <v>-7985.5306500000042</v>
      </c>
      <c r="AA8" s="209">
        <f>SUM(W8:Z8)</f>
        <v>-30308.608580000007</v>
      </c>
      <c r="AB8" s="209">
        <v>-8258.1087500000012</v>
      </c>
    </row>
    <row r="9" spans="1:34">
      <c r="A9" s="211" t="s">
        <v>439</v>
      </c>
      <c r="B9" s="180" t="s">
        <v>442</v>
      </c>
      <c r="C9" s="168">
        <v>-1812.75153</v>
      </c>
      <c r="D9" s="168">
        <v>-4361.3494499999997</v>
      </c>
      <c r="E9" s="168">
        <v>-8122.1275599999999</v>
      </c>
      <c r="F9" s="168">
        <v>-9212.6374699999978</v>
      </c>
      <c r="G9" s="168">
        <v>-23508.866009999998</v>
      </c>
      <c r="H9" s="168">
        <v>-12325.445085000003</v>
      </c>
      <c r="I9" s="168">
        <v>-9628.6568750000042</v>
      </c>
      <c r="J9" s="168">
        <v>-10350.497984999998</v>
      </c>
      <c r="K9" s="168">
        <v>-13699.670979999992</v>
      </c>
      <c r="L9" s="168">
        <f t="shared" si="17"/>
        <v>-46004.270924999997</v>
      </c>
      <c r="M9" s="168">
        <v>-14578.957485000003</v>
      </c>
      <c r="N9" s="168">
        <v>-15838.540964999989</v>
      </c>
      <c r="O9" s="168">
        <v>-16482.164315000002</v>
      </c>
      <c r="P9" s="168">
        <v>-13807.298914999999</v>
      </c>
      <c r="Q9" s="168">
        <f>SUM(M9:P9)</f>
        <v>-60706.961679999993</v>
      </c>
      <c r="R9" s="168">
        <v>-12302.316379999998</v>
      </c>
      <c r="S9" s="168">
        <v>-12092.382019999999</v>
      </c>
      <c r="T9" s="168">
        <v>-12159.346399999991</v>
      </c>
      <c r="U9" s="168">
        <v>-12549.896960000042</v>
      </c>
      <c r="V9" s="168">
        <f t="shared" si="11"/>
        <v>-49103.941760000031</v>
      </c>
      <c r="W9" s="168">
        <v>-16794.974469999997</v>
      </c>
      <c r="X9" s="168">
        <v>-12391.043840000002</v>
      </c>
      <c r="Y9" s="168">
        <v>-14520.423300000002</v>
      </c>
      <c r="Z9" s="168">
        <v>-14796.51320999999</v>
      </c>
      <c r="AA9" s="168">
        <f>SUM(W9:Z9)</f>
        <v>-58502.954819999992</v>
      </c>
      <c r="AB9" s="168">
        <v>-17150.208910000001</v>
      </c>
      <c r="AC9" s="274"/>
      <c r="AD9" s="274"/>
      <c r="AE9" s="274"/>
      <c r="AF9" s="274"/>
      <c r="AG9" s="274"/>
    </row>
    <row r="10" spans="1:34">
      <c r="A10" s="212" t="s">
        <v>441</v>
      </c>
      <c r="B10" s="213" t="s">
        <v>182</v>
      </c>
      <c r="C10" s="214">
        <f t="shared" ref="C10" si="18">C2+C7</f>
        <v>114030.50424500005</v>
      </c>
      <c r="D10" s="214">
        <f t="shared" ref="D10" si="19">D2+D7</f>
        <v>104677.51471999996</v>
      </c>
      <c r="E10" s="214">
        <f t="shared" ref="E10:L10" si="20">E2+E7</f>
        <v>106236.20297499995</v>
      </c>
      <c r="F10" s="214">
        <f t="shared" si="20"/>
        <v>105505.31944500022</v>
      </c>
      <c r="G10" s="214">
        <f t="shared" si="20"/>
        <v>430449.54138500022</v>
      </c>
      <c r="H10" s="214">
        <f t="shared" si="20"/>
        <v>107447.78180499999</v>
      </c>
      <c r="I10" s="214">
        <f t="shared" si="20"/>
        <v>104595.25925999998</v>
      </c>
      <c r="J10" s="214">
        <f t="shared" si="20"/>
        <v>113456.03243500006</v>
      </c>
      <c r="K10" s="214">
        <f t="shared" si="20"/>
        <v>95818.380989999947</v>
      </c>
      <c r="L10" s="214">
        <f t="shared" si="20"/>
        <v>421317.45448999997</v>
      </c>
      <c r="M10" s="214">
        <f t="shared" ref="M10:Q10" si="21">M2+M7</f>
        <v>98309.822400000019</v>
      </c>
      <c r="N10" s="214">
        <f t="shared" si="21"/>
        <v>98141.120744999993</v>
      </c>
      <c r="O10" s="214">
        <f t="shared" si="21"/>
        <v>95303.483885000082</v>
      </c>
      <c r="P10" s="214">
        <f t="shared" si="21"/>
        <v>87497.436384999979</v>
      </c>
      <c r="Q10" s="214">
        <f t="shared" si="21"/>
        <v>379251.86341500015</v>
      </c>
      <c r="R10" s="214">
        <f t="shared" ref="R10:S10" si="22">R2+R7</f>
        <v>76010.366220000011</v>
      </c>
      <c r="S10" s="214">
        <f t="shared" si="22"/>
        <v>75473.629239999995</v>
      </c>
      <c r="T10" s="214">
        <f t="shared" ref="T10:W10" si="23">T2+T7</f>
        <v>78618.153585000051</v>
      </c>
      <c r="U10" s="214">
        <f t="shared" si="23"/>
        <v>83486.063059999928</v>
      </c>
      <c r="V10" s="214">
        <f t="shared" si="23"/>
        <v>313588.21210499998</v>
      </c>
      <c r="W10" s="214">
        <f t="shared" si="23"/>
        <v>82348.350310000009</v>
      </c>
      <c r="X10" s="214">
        <f t="shared" ref="X10" si="24">X2+X7</f>
        <v>78616.920589999994</v>
      </c>
      <c r="Y10" s="214">
        <f>Y2+Y7</f>
        <v>83496.485979999998</v>
      </c>
      <c r="Z10" s="214">
        <f>Z2+Z7</f>
        <v>81869.312329999957</v>
      </c>
      <c r="AA10" s="214">
        <f>AA2+AA7</f>
        <v>326331.06920999993</v>
      </c>
      <c r="AB10" s="214">
        <f t="shared" ref="AB10" si="25">AB2+AB7</f>
        <v>83089.62778000001</v>
      </c>
    </row>
    <row r="11" spans="1:34">
      <c r="A11" s="215" t="s">
        <v>443</v>
      </c>
      <c r="B11" s="180" t="s">
        <v>445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0</v>
      </c>
      <c r="P11" s="216">
        <v>0</v>
      </c>
      <c r="Q11" s="216">
        <v>0</v>
      </c>
      <c r="R11" s="216">
        <v>0</v>
      </c>
      <c r="S11" s="216">
        <v>0</v>
      </c>
      <c r="T11" s="216">
        <v>0</v>
      </c>
      <c r="U11" s="216">
        <v>0</v>
      </c>
      <c r="V11" s="216">
        <v>0</v>
      </c>
      <c r="W11" s="216">
        <v>0</v>
      </c>
      <c r="X11" s="216">
        <v>0</v>
      </c>
      <c r="Y11" s="216">
        <v>0</v>
      </c>
      <c r="Z11" s="216">
        <v>0</v>
      </c>
      <c r="AA11" s="216">
        <v>0</v>
      </c>
      <c r="AB11" s="216">
        <v>0</v>
      </c>
    </row>
    <row r="12" spans="1:34">
      <c r="A12" s="212" t="s">
        <v>444</v>
      </c>
      <c r="B12" s="213" t="s">
        <v>447</v>
      </c>
      <c r="C12" s="214">
        <f t="shared" ref="C12" si="26">C10+C11</f>
        <v>114030.50424500005</v>
      </c>
      <c r="D12" s="214">
        <f t="shared" ref="D12" si="27">D10+D11</f>
        <v>104677.51471999996</v>
      </c>
      <c r="E12" s="214">
        <f t="shared" ref="E12:L12" si="28">E10+E11</f>
        <v>106236.20297499995</v>
      </c>
      <c r="F12" s="214">
        <f t="shared" si="28"/>
        <v>105505.31944500022</v>
      </c>
      <c r="G12" s="214">
        <f t="shared" si="28"/>
        <v>430449.54138500022</v>
      </c>
      <c r="H12" s="214">
        <f t="shared" si="28"/>
        <v>107447.78180499999</v>
      </c>
      <c r="I12" s="214">
        <f t="shared" si="28"/>
        <v>104595.25925999998</v>
      </c>
      <c r="J12" s="214">
        <f t="shared" si="28"/>
        <v>113456.03243500006</v>
      </c>
      <c r="K12" s="214">
        <f t="shared" si="28"/>
        <v>95818.380989999947</v>
      </c>
      <c r="L12" s="214">
        <f t="shared" si="28"/>
        <v>421317.45448999997</v>
      </c>
      <c r="M12" s="214">
        <f t="shared" ref="M12:Q12" si="29">M10+M11</f>
        <v>98309.822400000019</v>
      </c>
      <c r="N12" s="214">
        <f t="shared" si="29"/>
        <v>98141.120744999993</v>
      </c>
      <c r="O12" s="214">
        <f t="shared" si="29"/>
        <v>95303.483885000082</v>
      </c>
      <c r="P12" s="214">
        <f t="shared" si="29"/>
        <v>87497.436384999979</v>
      </c>
      <c r="Q12" s="214">
        <f t="shared" si="29"/>
        <v>379251.86341500015</v>
      </c>
      <c r="R12" s="214">
        <f t="shared" ref="R12:S12" si="30">R10+R11</f>
        <v>76010.366220000011</v>
      </c>
      <c r="S12" s="214">
        <f t="shared" si="30"/>
        <v>75473.629239999995</v>
      </c>
      <c r="T12" s="214">
        <f t="shared" ref="T12:W12" si="31">T10+T11</f>
        <v>78618.153585000051</v>
      </c>
      <c r="U12" s="214">
        <f t="shared" si="31"/>
        <v>83486.063059999928</v>
      </c>
      <c r="V12" s="214">
        <f t="shared" si="31"/>
        <v>313588.21210499998</v>
      </c>
      <c r="W12" s="214">
        <f t="shared" si="31"/>
        <v>82348.350310000009</v>
      </c>
      <c r="X12" s="214">
        <f>X10+X11</f>
        <v>78616.920589999994</v>
      </c>
      <c r="Y12" s="214">
        <f>Y10+Y11</f>
        <v>83496.485979999998</v>
      </c>
      <c r="Z12" s="214">
        <f>Z10+Z11</f>
        <v>81869.312329999957</v>
      </c>
      <c r="AA12" s="214">
        <f>AA10+AA11</f>
        <v>326331.06920999993</v>
      </c>
      <c r="AB12" s="214">
        <f t="shared" ref="AB12" si="32">AB10+AB11</f>
        <v>83089.62778000001</v>
      </c>
    </row>
    <row r="13" spans="1:34">
      <c r="A13" s="217" t="s">
        <v>446</v>
      </c>
      <c r="B13" s="205" t="s">
        <v>449</v>
      </c>
      <c r="C13" s="218">
        <f t="shared" ref="C13:L13" si="33">SUM(C14:C19)</f>
        <v>-59086.472069999996</v>
      </c>
      <c r="D13" s="218">
        <f t="shared" si="33"/>
        <v>-29524.043850000009</v>
      </c>
      <c r="E13" s="218">
        <f t="shared" si="33"/>
        <v>-29826.473404999982</v>
      </c>
      <c r="F13" s="218">
        <f t="shared" si="33"/>
        <v>-22226.79619500001</v>
      </c>
      <c r="G13" s="218">
        <f t="shared" si="33"/>
        <v>-140663.78552</v>
      </c>
      <c r="H13" s="218">
        <f t="shared" si="33"/>
        <v>-27157.399190000004</v>
      </c>
      <c r="I13" s="218">
        <f t="shared" si="33"/>
        <v>-26819.008599999994</v>
      </c>
      <c r="J13" s="218">
        <f t="shared" si="33"/>
        <v>-25977.472754999995</v>
      </c>
      <c r="K13" s="218">
        <f t="shared" si="33"/>
        <v>-12455.855384999992</v>
      </c>
      <c r="L13" s="218">
        <f t="shared" si="33"/>
        <v>-92409.735929999995</v>
      </c>
      <c r="M13" s="218">
        <f t="shared" ref="M13:Q13" si="34">SUM(M14:M19)</f>
        <v>-28581.236020000008</v>
      </c>
      <c r="N13" s="218">
        <f t="shared" si="34"/>
        <v>-29787.568064999992</v>
      </c>
      <c r="O13" s="218">
        <f t="shared" si="34"/>
        <v>-36892.070135000002</v>
      </c>
      <c r="P13" s="218">
        <f t="shared" si="34"/>
        <v>-32481.085325000004</v>
      </c>
      <c r="Q13" s="218">
        <f t="shared" si="34"/>
        <v>-127741.95954500002</v>
      </c>
      <c r="R13" s="218">
        <f t="shared" ref="R13:S13" si="35">SUM(R14:R19)</f>
        <v>-23200.304710000011</v>
      </c>
      <c r="S13" s="218">
        <f t="shared" si="35"/>
        <v>-24098.695289999989</v>
      </c>
      <c r="T13" s="218">
        <f t="shared" ref="T13:W13" si="36">SUM(T14:T19)</f>
        <v>-24386.039040000029</v>
      </c>
      <c r="U13" s="218">
        <f t="shared" si="36"/>
        <v>-25679.622649999965</v>
      </c>
      <c r="V13" s="218">
        <f t="shared" si="36"/>
        <v>-97364.661689999979</v>
      </c>
      <c r="W13" s="218">
        <f t="shared" si="36"/>
        <v>-23671.089939999994</v>
      </c>
      <c r="X13" s="218">
        <f t="shared" ref="X13" si="37">SUM(X14:X19)</f>
        <v>-25868.481599999999</v>
      </c>
      <c r="Y13" s="218">
        <f>SUM(Y14:Y19)</f>
        <v>-28174.555090000009</v>
      </c>
      <c r="Z13" s="218">
        <f>SUM(Z14:Z19)</f>
        <v>-30662.183449999971</v>
      </c>
      <c r="AA13" s="218">
        <f t="shared" ref="AA13:AB13" si="38">SUM(AA14:AA19)</f>
        <v>-108376.31007999997</v>
      </c>
      <c r="AB13" s="218">
        <f t="shared" si="38"/>
        <v>-30979.510260000003</v>
      </c>
    </row>
    <row r="14" spans="1:34">
      <c r="A14" s="207" t="s">
        <v>448</v>
      </c>
      <c r="B14" s="208" t="s">
        <v>451</v>
      </c>
      <c r="C14" s="209">
        <v>-9327.9524450000008</v>
      </c>
      <c r="D14" s="209">
        <v>-11215.664150000002</v>
      </c>
      <c r="E14" s="209">
        <v>-8101.7104849999887</v>
      </c>
      <c r="F14" s="209">
        <v>-4153.0395950000202</v>
      </c>
      <c r="G14" s="209">
        <v>-32798.366675000012</v>
      </c>
      <c r="H14" s="209">
        <v>-6242.7662600000003</v>
      </c>
      <c r="I14" s="209">
        <v>-5439.2155149999999</v>
      </c>
      <c r="J14" s="209">
        <v>-5208.2145750000054</v>
      </c>
      <c r="K14" s="209">
        <v>13294.156730000024</v>
      </c>
      <c r="L14" s="209">
        <f>SUM(H14:K14)</f>
        <v>-3596.0396199999814</v>
      </c>
      <c r="M14" s="209">
        <v>-4412.5151300000052</v>
      </c>
      <c r="N14" s="209">
        <v>-5391.0420649999924</v>
      </c>
      <c r="O14" s="209">
        <v>-5420.0564500000146</v>
      </c>
      <c r="P14" s="209">
        <v>-7462.7957800000149</v>
      </c>
      <c r="Q14" s="209">
        <f t="shared" ref="Q14:Q19" si="39">SUM(M14:P14)</f>
        <v>-22686.409425000027</v>
      </c>
      <c r="R14" s="209">
        <v>-4622.4560400000082</v>
      </c>
      <c r="S14" s="209">
        <v>-7277.5439599999918</v>
      </c>
      <c r="T14" s="209">
        <v>-4842.5971850000242</v>
      </c>
      <c r="U14" s="209">
        <v>-4585.504969999969</v>
      </c>
      <c r="V14" s="209">
        <f t="shared" ref="V14:V28" si="40">SUM(R14:U14)</f>
        <v>-21328.102154999993</v>
      </c>
      <c r="W14" s="209">
        <v>-4515.9343699999954</v>
      </c>
      <c r="X14" s="209">
        <v>-4558.2375999999967</v>
      </c>
      <c r="Y14" s="209">
        <v>-6033.6454900000135</v>
      </c>
      <c r="Z14" s="209">
        <v>-4895.7671999999802</v>
      </c>
      <c r="AA14" s="209">
        <f>SUM(W14:Z14)</f>
        <v>-20003.584659999986</v>
      </c>
      <c r="AB14" s="209">
        <v>-4223.2792199999985</v>
      </c>
    </row>
    <row r="15" spans="1:34">
      <c r="A15" s="211" t="s">
        <v>450</v>
      </c>
      <c r="B15" s="180" t="s">
        <v>453</v>
      </c>
      <c r="C15" s="219">
        <v>-31095.115709999998</v>
      </c>
      <c r="D15" s="219">
        <v>996.79976499999611</v>
      </c>
      <c r="E15" s="219">
        <v>836.56510000000344</v>
      </c>
      <c r="F15" s="219">
        <v>730.02666499999759</v>
      </c>
      <c r="G15" s="219">
        <v>-28531.724180000001</v>
      </c>
      <c r="H15" s="219">
        <v>2349.4706849999998</v>
      </c>
      <c r="I15" s="219">
        <v>2618.1932450000008</v>
      </c>
      <c r="J15" s="219">
        <v>2767.8173750000024</v>
      </c>
      <c r="K15" s="219">
        <v>-5614.732450000005</v>
      </c>
      <c r="L15" s="219">
        <f t="shared" ref="L15:L28" si="41">SUM(H15:K15)</f>
        <v>2120.748854999998</v>
      </c>
      <c r="M15" s="219">
        <v>975.43999499999939</v>
      </c>
      <c r="N15" s="219">
        <v>1351.4247600000017</v>
      </c>
      <c r="O15" s="219">
        <v>-7465.4734400000034</v>
      </c>
      <c r="P15" s="219">
        <v>1890.5444100000018</v>
      </c>
      <c r="Q15" s="219">
        <f t="shared" si="39"/>
        <v>-3248.0642750000011</v>
      </c>
      <c r="R15" s="219">
        <v>1659.0215999999996</v>
      </c>
      <c r="S15" s="219">
        <v>1688.9784000000004</v>
      </c>
      <c r="T15" s="219">
        <v>-218.5975550000021</v>
      </c>
      <c r="U15" s="219">
        <v>-880.96906999999828</v>
      </c>
      <c r="V15" s="219">
        <f t="shared" si="40"/>
        <v>2248.4333749999996</v>
      </c>
      <c r="W15" s="219">
        <v>2402.3745500000005</v>
      </c>
      <c r="X15" s="219">
        <v>3299.2328399999988</v>
      </c>
      <c r="Y15" s="219">
        <v>2836.0540199999978</v>
      </c>
      <c r="Z15" s="219">
        <v>1730.4352999999992</v>
      </c>
      <c r="AA15" s="219">
        <f t="shared" ref="AA15:AA28" si="42">SUM(W15:Z15)</f>
        <v>10268.096709999996</v>
      </c>
      <c r="AB15" s="219">
        <v>1862.7110799999998</v>
      </c>
    </row>
    <row r="16" spans="1:34">
      <c r="A16" s="207" t="s">
        <v>452</v>
      </c>
      <c r="B16" s="208" t="s">
        <v>455</v>
      </c>
      <c r="C16" s="209">
        <v>-6436.571109999999</v>
      </c>
      <c r="D16" s="209">
        <v>-4548.2098099999985</v>
      </c>
      <c r="E16" s="209">
        <v>-6838.7312200000015</v>
      </c>
      <c r="F16" s="209">
        <v>-6776.9939899999954</v>
      </c>
      <c r="G16" s="209">
        <v>-24600.506129999994</v>
      </c>
      <c r="H16" s="209">
        <v>-7345.7937300000003</v>
      </c>
      <c r="I16" s="209">
        <v>-6396.9541400000007</v>
      </c>
      <c r="J16" s="209">
        <v>-6249.0929199999973</v>
      </c>
      <c r="K16" s="209">
        <v>-3897.7752100000034</v>
      </c>
      <c r="L16" s="209">
        <f t="shared" si="41"/>
        <v>-23889.616000000002</v>
      </c>
      <c r="M16" s="209">
        <v>-6196.3833000000004</v>
      </c>
      <c r="N16" s="209">
        <v>-6700.247910000001</v>
      </c>
      <c r="O16" s="209">
        <v>-6090.0929400000005</v>
      </c>
      <c r="P16" s="209">
        <v>-7879.1580500000018</v>
      </c>
      <c r="Q16" s="209">
        <f t="shared" si="39"/>
        <v>-26865.882200000004</v>
      </c>
      <c r="R16" s="209">
        <v>-6985.0556900000011</v>
      </c>
      <c r="S16" s="209">
        <v>-6704.9443099999989</v>
      </c>
      <c r="T16" s="209">
        <v>-6649.695550000004</v>
      </c>
      <c r="U16" s="209">
        <v>-6951.7325299999975</v>
      </c>
      <c r="V16" s="209">
        <f t="shared" si="40"/>
        <v>-27291.428080000002</v>
      </c>
      <c r="W16" s="209">
        <v>-6865.6112699999985</v>
      </c>
      <c r="X16" s="209">
        <v>-6796.4694400000017</v>
      </c>
      <c r="Y16" s="209">
        <v>-7033.6529899999969</v>
      </c>
      <c r="Z16" s="209">
        <v>-6661.0444799999968</v>
      </c>
      <c r="AA16" s="209">
        <f t="shared" si="42"/>
        <v>-27356.778179999994</v>
      </c>
      <c r="AB16" s="209">
        <v>-7993.471880000001</v>
      </c>
    </row>
    <row r="17" spans="1:28">
      <c r="A17" s="211" t="s">
        <v>454</v>
      </c>
      <c r="B17" s="180" t="s">
        <v>457</v>
      </c>
      <c r="C17" s="219">
        <v>-1122.37426</v>
      </c>
      <c r="D17" s="219">
        <v>-1739.1136799999999</v>
      </c>
      <c r="E17" s="219">
        <v>-1171.4932600000002</v>
      </c>
      <c r="F17" s="219">
        <v>-1145.6797400000005</v>
      </c>
      <c r="G17" s="219">
        <v>-5178.6609400000007</v>
      </c>
      <c r="H17" s="219">
        <v>-1131.1673599999999</v>
      </c>
      <c r="I17" s="219">
        <v>-1126.5965799999999</v>
      </c>
      <c r="J17" s="219">
        <v>-1211.7743399999999</v>
      </c>
      <c r="K17" s="219">
        <v>-1181.1962700000004</v>
      </c>
      <c r="L17" s="219">
        <f t="shared" si="41"/>
        <v>-4650.7345500000001</v>
      </c>
      <c r="M17" s="219">
        <v>-2211.1729200000004</v>
      </c>
      <c r="N17" s="219">
        <v>-2278.5226600000001</v>
      </c>
      <c r="O17" s="219">
        <v>-2307.7844600000008</v>
      </c>
      <c r="P17" s="219">
        <v>-4303.2059499999968</v>
      </c>
      <c r="Q17" s="219">
        <f t="shared" si="39"/>
        <v>-11100.685989999998</v>
      </c>
      <c r="R17" s="219">
        <v>-2845.8745899999999</v>
      </c>
      <c r="S17" s="219">
        <v>-2980.1254100000001</v>
      </c>
      <c r="T17" s="219">
        <v>-3067.42317</v>
      </c>
      <c r="U17" s="219">
        <v>-3106.549439999997</v>
      </c>
      <c r="V17" s="219">
        <f t="shared" si="40"/>
        <v>-11999.972609999997</v>
      </c>
      <c r="W17" s="219">
        <v>-2848.5640500000004</v>
      </c>
      <c r="X17" s="219">
        <v>-2694.9894699999991</v>
      </c>
      <c r="Y17" s="219">
        <v>-1988.4767800000009</v>
      </c>
      <c r="Z17" s="219">
        <v>-2769.8619399999989</v>
      </c>
      <c r="AA17" s="219">
        <f t="shared" si="42"/>
        <v>-10301.892239999999</v>
      </c>
      <c r="AB17" s="219">
        <v>-3135.3432400000002</v>
      </c>
    </row>
    <row r="18" spans="1:28">
      <c r="A18" s="207" t="s">
        <v>456</v>
      </c>
      <c r="B18" s="208" t="s">
        <v>459</v>
      </c>
      <c r="C18" s="209">
        <v>-2282.9918600000001</v>
      </c>
      <c r="D18" s="209">
        <v>-2282.9918700000007</v>
      </c>
      <c r="E18" s="209">
        <v>-2282.9918699999989</v>
      </c>
      <c r="F18" s="209">
        <v>782.94860999999946</v>
      </c>
      <c r="G18" s="209">
        <v>-6066.0269900000003</v>
      </c>
      <c r="H18" s="209">
        <v>-1673.9160100000001</v>
      </c>
      <c r="I18" s="209">
        <v>-1535.2282499999994</v>
      </c>
      <c r="J18" s="209">
        <v>-1552.0988900000007</v>
      </c>
      <c r="K18" s="209">
        <v>-1552.0988900000002</v>
      </c>
      <c r="L18" s="209">
        <f t="shared" si="41"/>
        <v>-6313.3420400000005</v>
      </c>
      <c r="M18" s="209">
        <v>-1518.3576099999998</v>
      </c>
      <c r="N18" s="209">
        <v>-1424.67228</v>
      </c>
      <c r="O18" s="209">
        <v>-1440.3280199999999</v>
      </c>
      <c r="P18" s="209">
        <v>-1440.3280199999999</v>
      </c>
      <c r="Q18" s="209">
        <f t="shared" si="39"/>
        <v>-5823.6859299999996</v>
      </c>
      <c r="R18" s="209">
        <v>-638.03693999999996</v>
      </c>
      <c r="S18" s="209">
        <v>-551.96306000000004</v>
      </c>
      <c r="T18" s="209">
        <v>-2298.7126600000001</v>
      </c>
      <c r="U18" s="209">
        <v>-2318.4541999999992</v>
      </c>
      <c r="V18" s="209">
        <f t="shared" si="40"/>
        <v>-5807.1668599999994</v>
      </c>
      <c r="W18" s="209">
        <v>-2268.0530299999996</v>
      </c>
      <c r="X18" s="209">
        <v>-2060.7014200000008</v>
      </c>
      <c r="Y18" s="209">
        <v>-2083.3464799999992</v>
      </c>
      <c r="Z18" s="209">
        <v>-2083.3464800000011</v>
      </c>
      <c r="AA18" s="209">
        <f t="shared" si="42"/>
        <v>-8495.4474100000007</v>
      </c>
      <c r="AB18" s="209">
        <v>-1742.1310900000001</v>
      </c>
    </row>
    <row r="19" spans="1:28">
      <c r="A19" s="211" t="s">
        <v>458</v>
      </c>
      <c r="B19" s="180" t="s">
        <v>461</v>
      </c>
      <c r="C19" s="219">
        <v>-8821.4666850000012</v>
      </c>
      <c r="D19" s="219">
        <v>-10734.864105000002</v>
      </c>
      <c r="E19" s="219">
        <v>-12268.111669999998</v>
      </c>
      <c r="F19" s="219">
        <v>-11664.058144999992</v>
      </c>
      <c r="G19" s="219">
        <v>-43488.500604999994</v>
      </c>
      <c r="H19" s="219">
        <v>-13113.226515000002</v>
      </c>
      <c r="I19" s="219">
        <v>-14939.207359999993</v>
      </c>
      <c r="J19" s="219">
        <v>-14524.109404999996</v>
      </c>
      <c r="K19" s="219">
        <v>-13504.209295000008</v>
      </c>
      <c r="L19" s="219">
        <f t="shared" si="41"/>
        <v>-56080.752574999999</v>
      </c>
      <c r="M19" s="219">
        <v>-15218.247055000002</v>
      </c>
      <c r="N19" s="219">
        <v>-15344.507910000002</v>
      </c>
      <c r="O19" s="219">
        <v>-14168.334824999987</v>
      </c>
      <c r="P19" s="219">
        <v>-13286.141934999992</v>
      </c>
      <c r="Q19" s="219">
        <f t="shared" si="39"/>
        <v>-58017.231724999983</v>
      </c>
      <c r="R19" s="219">
        <v>-9767.9030500000008</v>
      </c>
      <c r="S19" s="219">
        <v>-8273.0969499999992</v>
      </c>
      <c r="T19" s="219">
        <v>-7309.0129199999974</v>
      </c>
      <c r="U19" s="219">
        <v>-7836.4124400000037</v>
      </c>
      <c r="V19" s="219">
        <f t="shared" si="40"/>
        <v>-33186.425360000001</v>
      </c>
      <c r="W19" s="219">
        <v>-9575.3017700000019</v>
      </c>
      <c r="X19" s="219">
        <v>-13057.316510000001</v>
      </c>
      <c r="Y19" s="219">
        <v>-13871.487369999995</v>
      </c>
      <c r="Z19" s="219">
        <v>-15982.598649999993</v>
      </c>
      <c r="AA19" s="219">
        <f t="shared" si="42"/>
        <v>-52486.70429999999</v>
      </c>
      <c r="AB19" s="219">
        <v>-15747.99591</v>
      </c>
    </row>
    <row r="20" spans="1:28">
      <c r="A20" s="220" t="s">
        <v>460</v>
      </c>
      <c r="B20" s="221" t="s">
        <v>463</v>
      </c>
      <c r="C20" s="222">
        <f t="shared" ref="C20:L20" si="43">SUM(C21:C22)</f>
        <v>-8305.0043899999873</v>
      </c>
      <c r="D20" s="222">
        <f t="shared" si="43"/>
        <v>-88632.697195000073</v>
      </c>
      <c r="E20" s="222">
        <f t="shared" si="43"/>
        <v>-29495.764814999915</v>
      </c>
      <c r="F20" s="222">
        <f t="shared" si="43"/>
        <v>-87746.179039999988</v>
      </c>
      <c r="G20" s="222">
        <f t="shared" si="43"/>
        <v>-214179.64543999996</v>
      </c>
      <c r="H20" s="222">
        <f t="shared" si="43"/>
        <v>-69685.845705000029</v>
      </c>
      <c r="I20" s="222">
        <f t="shared" si="43"/>
        <v>-139734.37453000006</v>
      </c>
      <c r="J20" s="222">
        <f t="shared" si="43"/>
        <v>-101749.53105999986</v>
      </c>
      <c r="K20" s="222">
        <f t="shared" si="43"/>
        <v>-37579.762450000067</v>
      </c>
      <c r="L20" s="222">
        <f t="shared" si="43"/>
        <v>-348749.513745</v>
      </c>
      <c r="M20" s="222">
        <f t="shared" ref="M20:Q20" si="44">SUM(M21:M22)</f>
        <v>-68198.315495000003</v>
      </c>
      <c r="N20" s="222">
        <f t="shared" si="44"/>
        <v>-76401.009954999972</v>
      </c>
      <c r="O20" s="222">
        <f t="shared" si="44"/>
        <v>-59004.825310000015</v>
      </c>
      <c r="P20" s="222">
        <f t="shared" si="44"/>
        <v>-71392.107604999997</v>
      </c>
      <c r="Q20" s="222">
        <f t="shared" si="44"/>
        <v>-274996.25836499996</v>
      </c>
      <c r="R20" s="222">
        <f t="shared" ref="R20:T20" si="45">SUM(R21:R22)</f>
        <v>-7303.3460999999916</v>
      </c>
      <c r="S20" s="222">
        <f t="shared" si="45"/>
        <v>-5622.6136350000052</v>
      </c>
      <c r="T20" s="222">
        <f t="shared" si="45"/>
        <v>-9413.0411349999922</v>
      </c>
      <c r="U20" s="222">
        <f t="shared" ref="U20:X20" si="46">SUM(U21:U22)</f>
        <v>-14148.199820000009</v>
      </c>
      <c r="V20" s="222">
        <f t="shared" si="46"/>
        <v>-36487.200689999998</v>
      </c>
      <c r="W20" s="222">
        <f t="shared" si="46"/>
        <v>-17216.674769999998</v>
      </c>
      <c r="X20" s="222">
        <f t="shared" si="46"/>
        <v>-28470.003479999999</v>
      </c>
      <c r="Y20" s="222">
        <f>SUM(Y21:Y22)</f>
        <v>-38020.674680000026</v>
      </c>
      <c r="Z20" s="222">
        <f>SUM(Z21:Z22)</f>
        <v>-46036.31419999995</v>
      </c>
      <c r="AA20" s="222">
        <f t="shared" ref="AA20:AB20" si="47">SUM(AA21:AA22)</f>
        <v>-129743.66712999997</v>
      </c>
      <c r="AB20" s="222">
        <f t="shared" si="47"/>
        <v>-54865.063129999995</v>
      </c>
    </row>
    <row r="21" spans="1:28">
      <c r="A21" s="211" t="s">
        <v>462</v>
      </c>
      <c r="B21" s="180" t="s">
        <v>465</v>
      </c>
      <c r="C21" s="219">
        <v>112831.97703000001</v>
      </c>
      <c r="D21" s="219">
        <v>18460.644889999967</v>
      </c>
      <c r="E21" s="219">
        <v>53835.109855000017</v>
      </c>
      <c r="F21" s="219">
        <v>-264.79955999998492</v>
      </c>
      <c r="G21" s="219">
        <v>184862.93221500001</v>
      </c>
      <c r="H21" s="219">
        <v>26732.480024999997</v>
      </c>
      <c r="I21" s="219">
        <v>23989.184830000006</v>
      </c>
      <c r="J21" s="219">
        <v>22352.729115000002</v>
      </c>
      <c r="K21" s="219">
        <v>28997.131704999978</v>
      </c>
      <c r="L21" s="219">
        <f t="shared" si="41"/>
        <v>102071.52567499998</v>
      </c>
      <c r="M21" s="219">
        <v>36197.971485000002</v>
      </c>
      <c r="N21" s="219">
        <v>17255.130414999996</v>
      </c>
      <c r="O21" s="219">
        <v>14844.216484999994</v>
      </c>
      <c r="P21" s="219">
        <v>20398.191890000009</v>
      </c>
      <c r="Q21" s="219">
        <f t="shared" ref="Q21:Q24" si="48">SUM(M21:P21)</f>
        <v>88695.510275000008</v>
      </c>
      <c r="R21" s="219">
        <v>22605.891875000001</v>
      </c>
      <c r="S21" s="219">
        <v>16629.620175000004</v>
      </c>
      <c r="T21" s="219">
        <v>16696.886364999998</v>
      </c>
      <c r="U21" s="219">
        <v>16714.629110000009</v>
      </c>
      <c r="V21" s="219">
        <f t="shared" si="40"/>
        <v>72647.027525000012</v>
      </c>
      <c r="W21" s="219">
        <v>17992.245999999999</v>
      </c>
      <c r="X21" s="219">
        <v>9803.8857799999969</v>
      </c>
      <c r="Y21" s="219">
        <v>16480.069690000004</v>
      </c>
      <c r="Z21" s="219">
        <v>24907.089300000007</v>
      </c>
      <c r="AA21" s="219">
        <f t="shared" si="42"/>
        <v>69183.290770000007</v>
      </c>
      <c r="AB21" s="219">
        <v>31266.197820000001</v>
      </c>
    </row>
    <row r="22" spans="1:28">
      <c r="A22" s="207" t="s">
        <v>464</v>
      </c>
      <c r="B22" s="208" t="s">
        <v>467</v>
      </c>
      <c r="C22" s="209">
        <v>-121136.98142</v>
      </c>
      <c r="D22" s="209">
        <v>-107093.34208500004</v>
      </c>
      <c r="E22" s="209">
        <v>-83330.874669999932</v>
      </c>
      <c r="F22" s="209">
        <v>-87481.379480000003</v>
      </c>
      <c r="G22" s="209">
        <v>-399042.57765499997</v>
      </c>
      <c r="H22" s="209">
        <v>-96418.325730000026</v>
      </c>
      <c r="I22" s="209">
        <v>-163723.55936000007</v>
      </c>
      <c r="J22" s="209">
        <v>-124102.26017499986</v>
      </c>
      <c r="K22" s="209">
        <v>-66576.894155000045</v>
      </c>
      <c r="L22" s="209">
        <f t="shared" si="41"/>
        <v>-450821.03941999999</v>
      </c>
      <c r="M22" s="209">
        <v>-104396.28698</v>
      </c>
      <c r="N22" s="209">
        <v>-93656.140369999965</v>
      </c>
      <c r="O22" s="209">
        <v>-73849.041795000012</v>
      </c>
      <c r="P22" s="209">
        <v>-91790.299494999999</v>
      </c>
      <c r="Q22" s="209">
        <f t="shared" si="48"/>
        <v>-363691.76863999997</v>
      </c>
      <c r="R22" s="209">
        <v>-29909.237974999993</v>
      </c>
      <c r="S22" s="209">
        <v>-22252.233810000009</v>
      </c>
      <c r="T22" s="209">
        <v>-26109.927499999991</v>
      </c>
      <c r="U22" s="209">
        <v>-30862.828930000018</v>
      </c>
      <c r="V22" s="209">
        <f t="shared" si="40"/>
        <v>-109134.22821500001</v>
      </c>
      <c r="W22" s="209">
        <v>-35208.920769999997</v>
      </c>
      <c r="X22" s="209">
        <v>-38273.889259999996</v>
      </c>
      <c r="Y22" s="209">
        <v>-54500.744370000029</v>
      </c>
      <c r="Z22" s="209">
        <v>-70943.403499999957</v>
      </c>
      <c r="AA22" s="209">
        <f t="shared" si="42"/>
        <v>-198926.95789999998</v>
      </c>
      <c r="AB22" s="209">
        <v>-86131.260949999996</v>
      </c>
    </row>
    <row r="23" spans="1:28">
      <c r="A23" s="211" t="s">
        <v>466</v>
      </c>
      <c r="B23" s="180" t="s">
        <v>469</v>
      </c>
      <c r="C23" s="219">
        <v>18241.117055465995</v>
      </c>
      <c r="D23" s="219">
        <v>27.856729533999896</v>
      </c>
      <c r="E23" s="219">
        <v>0</v>
      </c>
      <c r="F23" s="219">
        <v>425.52982046601392</v>
      </c>
      <c r="G23" s="219">
        <v>18694.503605466009</v>
      </c>
      <c r="H23" s="219">
        <v>21.018909999999998</v>
      </c>
      <c r="I23" s="219">
        <v>-27.884129999998805</v>
      </c>
      <c r="J23" s="219">
        <v>21.526929999999702</v>
      </c>
      <c r="K23" s="219">
        <v>-8927.5801500000052</v>
      </c>
      <c r="L23" s="219">
        <f t="shared" si="41"/>
        <v>-8912.9184400000049</v>
      </c>
      <c r="M23" s="219">
        <v>-3637.6453600000023</v>
      </c>
      <c r="N23" s="219">
        <v>-9897.7301300000072</v>
      </c>
      <c r="O23" s="219">
        <v>-10978.413089999915</v>
      </c>
      <c r="P23" s="219">
        <v>-48855.87923000002</v>
      </c>
      <c r="Q23" s="219">
        <f t="shared" si="48"/>
        <v>-73369.667809999941</v>
      </c>
      <c r="R23" s="219">
        <v>1113.128825</v>
      </c>
      <c r="S23" s="219">
        <v>907.87117499999999</v>
      </c>
      <c r="T23" s="219">
        <v>-1113.6231649999995</v>
      </c>
      <c r="U23" s="219">
        <v>120.91361000000597</v>
      </c>
      <c r="V23" s="219">
        <f t="shared" si="40"/>
        <v>1028.2904450000065</v>
      </c>
      <c r="W23" s="219">
        <v>-12446.651549999846</v>
      </c>
      <c r="X23" s="219">
        <v>24.964399999971647</v>
      </c>
      <c r="Y23" s="219">
        <v>-8146.3034399999888</v>
      </c>
      <c r="Z23" s="219">
        <v>-2850.5192400000014</v>
      </c>
      <c r="AA23" s="219">
        <f t="shared" si="42"/>
        <v>-23418.509829999864</v>
      </c>
      <c r="AB23" s="219">
        <v>1908.4741099999992</v>
      </c>
    </row>
    <row r="24" spans="1:28">
      <c r="A24" s="207" t="s">
        <v>468</v>
      </c>
      <c r="B24" s="208" t="s">
        <v>471</v>
      </c>
      <c r="C24" s="209">
        <v>65422.506280000001</v>
      </c>
      <c r="D24" s="209">
        <v>0</v>
      </c>
      <c r="E24" s="209">
        <v>-2900</v>
      </c>
      <c r="F24" s="209">
        <v>0</v>
      </c>
      <c r="G24" s="209">
        <v>62522.506280000001</v>
      </c>
      <c r="H24" s="209">
        <v>1556.7655</v>
      </c>
      <c r="I24" s="209">
        <v>-3.0750900000000456</v>
      </c>
      <c r="J24" s="209">
        <v>0</v>
      </c>
      <c r="K24" s="209">
        <v>0</v>
      </c>
      <c r="L24" s="209">
        <f t="shared" si="41"/>
        <v>1553.6904099999999</v>
      </c>
      <c r="M24" s="209">
        <v>0</v>
      </c>
      <c r="N24" s="209">
        <v>2827.3880199999999</v>
      </c>
      <c r="O24" s="209">
        <v>23070.366370000003</v>
      </c>
      <c r="P24" s="209">
        <v>0</v>
      </c>
      <c r="Q24" s="209">
        <f t="shared" si="48"/>
        <v>25897.754390000002</v>
      </c>
      <c r="R24" s="209">
        <v>0</v>
      </c>
      <c r="S24" s="209">
        <v>0</v>
      </c>
      <c r="T24" s="209">
        <v>0</v>
      </c>
      <c r="U24" s="209">
        <v>0</v>
      </c>
      <c r="V24" s="209">
        <f t="shared" si="40"/>
        <v>0</v>
      </c>
      <c r="W24" s="209">
        <v>0</v>
      </c>
      <c r="X24" s="209">
        <v>0</v>
      </c>
      <c r="Y24" s="209">
        <v>0</v>
      </c>
      <c r="Z24" s="209">
        <v>0</v>
      </c>
      <c r="AA24" s="209">
        <f t="shared" si="42"/>
        <v>0</v>
      </c>
      <c r="AB24" s="209">
        <v>0</v>
      </c>
    </row>
    <row r="25" spans="1:28">
      <c r="A25" s="223" t="s">
        <v>470</v>
      </c>
      <c r="B25" s="180" t="s">
        <v>473</v>
      </c>
      <c r="C25" s="219">
        <v>0</v>
      </c>
      <c r="D25" s="219">
        <v>0</v>
      </c>
      <c r="E25" s="219">
        <v>0</v>
      </c>
      <c r="F25" s="219">
        <v>115737.475295</v>
      </c>
      <c r="G25" s="219">
        <v>115737.475295</v>
      </c>
      <c r="H25" s="219">
        <v>0</v>
      </c>
      <c r="I25" s="219">
        <v>0</v>
      </c>
      <c r="J25" s="219">
        <v>0</v>
      </c>
      <c r="K25" s="219">
        <v>198507.29210500003</v>
      </c>
      <c r="L25" s="219">
        <f t="shared" si="41"/>
        <v>198507.29210500003</v>
      </c>
      <c r="M25" s="219">
        <v>0</v>
      </c>
      <c r="N25" s="219">
        <v>0</v>
      </c>
      <c r="O25" s="219">
        <v>0</v>
      </c>
      <c r="P25" s="219">
        <v>570995.66319499991</v>
      </c>
      <c r="Q25" s="219">
        <f t="shared" ref="Q25:Q28" si="49">SUM(M25:P25)</f>
        <v>570995.66319499991</v>
      </c>
      <c r="R25" s="219">
        <v>0</v>
      </c>
      <c r="S25" s="219">
        <v>0</v>
      </c>
      <c r="T25" s="219">
        <v>0</v>
      </c>
      <c r="U25" s="219">
        <v>139883.25164999996</v>
      </c>
      <c r="V25" s="219">
        <f t="shared" si="40"/>
        <v>139883.25164999996</v>
      </c>
      <c r="W25" s="219">
        <v>-3281.96657</v>
      </c>
      <c r="X25" s="219">
        <v>51290.553250000004</v>
      </c>
      <c r="Y25" s="219">
        <v>4284.1160600000003</v>
      </c>
      <c r="Z25" s="219">
        <v>-66497.116010000012</v>
      </c>
      <c r="AA25" s="219">
        <f t="shared" si="42"/>
        <v>-14204.413270000005</v>
      </c>
      <c r="AB25" s="219">
        <v>0</v>
      </c>
    </row>
    <row r="26" spans="1:28">
      <c r="A26" s="212" t="s">
        <v>472</v>
      </c>
      <c r="B26" s="213" t="s">
        <v>475</v>
      </c>
      <c r="C26" s="214">
        <f t="shared" ref="C26:L26" si="50">SUM(C12:C13,C20,C23:C25)</f>
        <v>130302.65112046606</v>
      </c>
      <c r="D26" s="214">
        <f t="shared" si="50"/>
        <v>-13451.369595466113</v>
      </c>
      <c r="E26" s="214">
        <f t="shared" si="50"/>
        <v>44013.964755000052</v>
      </c>
      <c r="F26" s="214">
        <f t="shared" si="50"/>
        <v>111695.34932546623</v>
      </c>
      <c r="G26" s="214">
        <f t="shared" si="50"/>
        <v>272560.59560546622</v>
      </c>
      <c r="H26" s="214">
        <f t="shared" si="50"/>
        <v>12182.321319999952</v>
      </c>
      <c r="I26" s="214">
        <f t="shared" si="50"/>
        <v>-61989.083090000066</v>
      </c>
      <c r="J26" s="214">
        <f t="shared" si="50"/>
        <v>-14249.444449999799</v>
      </c>
      <c r="K26" s="214">
        <f t="shared" si="50"/>
        <v>235362.47510999991</v>
      </c>
      <c r="L26" s="214">
        <f t="shared" si="50"/>
        <v>171306.26888999998</v>
      </c>
      <c r="M26" s="214">
        <f t="shared" ref="M26:Q26" si="51">SUM(M12:M13,M20,M23:M25)</f>
        <v>-2107.3744749999969</v>
      </c>
      <c r="N26" s="214">
        <f t="shared" si="51"/>
        <v>-15117.799384999986</v>
      </c>
      <c r="O26" s="214">
        <f t="shared" si="51"/>
        <v>11498.541720000154</v>
      </c>
      <c r="P26" s="214">
        <f t="shared" si="51"/>
        <v>505764.02741999988</v>
      </c>
      <c r="Q26" s="214">
        <f t="shared" si="51"/>
        <v>500037.39528000017</v>
      </c>
      <c r="R26" s="214">
        <f t="shared" ref="R26:T26" si="52">SUM(R12:R13,R20,R23:R25)</f>
        <v>46619.844235000004</v>
      </c>
      <c r="S26" s="214">
        <f t="shared" si="52"/>
        <v>46660.191490000005</v>
      </c>
      <c r="T26" s="214">
        <f t="shared" si="52"/>
        <v>43705.450245000029</v>
      </c>
      <c r="U26" s="214">
        <f t="shared" ref="U26:AA26" si="53">SUM(U12:U13,U20,U23:U25)</f>
        <v>183662.40584999992</v>
      </c>
      <c r="V26" s="214">
        <f t="shared" si="53"/>
        <v>320647.89182000002</v>
      </c>
      <c r="W26" s="214">
        <f t="shared" si="53"/>
        <v>25731.967480000174</v>
      </c>
      <c r="X26" s="214">
        <f t="shared" si="53"/>
        <v>75593.953159999975</v>
      </c>
      <c r="Y26" s="214">
        <f t="shared" si="53"/>
        <v>13439.068829999975</v>
      </c>
      <c r="Z26" s="214">
        <f t="shared" si="53"/>
        <v>-64176.820569999974</v>
      </c>
      <c r="AA26" s="214">
        <f t="shared" si="53"/>
        <v>50588.168900000121</v>
      </c>
      <c r="AB26" s="214">
        <f t="shared" ref="AB26" si="54">SUM(AB12:AB13,AB20,AB23:AB25)</f>
        <v>-846.47149999998874</v>
      </c>
    </row>
    <row r="27" spans="1:28">
      <c r="A27" s="223" t="s">
        <v>474</v>
      </c>
      <c r="B27" s="180" t="s">
        <v>477</v>
      </c>
      <c r="C27" s="219">
        <v>-11076.265465</v>
      </c>
      <c r="D27" s="219">
        <v>3262.1639050000013</v>
      </c>
      <c r="E27" s="219">
        <v>-3580.041005000001</v>
      </c>
      <c r="F27" s="219">
        <v>-10916.75585</v>
      </c>
      <c r="G27" s="219">
        <v>-22310.898415</v>
      </c>
      <c r="H27" s="219">
        <v>-2374.9542650000003</v>
      </c>
      <c r="I27" s="219">
        <v>-1796.4488499999998</v>
      </c>
      <c r="J27" s="219">
        <v>-2120.7291700000005</v>
      </c>
      <c r="K27" s="219">
        <v>-2073.7966849999984</v>
      </c>
      <c r="L27" s="219">
        <f t="shared" si="41"/>
        <v>-8365.928969999999</v>
      </c>
      <c r="M27" s="219">
        <v>-2534.9742900000001</v>
      </c>
      <c r="N27" s="219">
        <v>-873.39946000000009</v>
      </c>
      <c r="O27" s="219">
        <v>-895.67923000000019</v>
      </c>
      <c r="P27" s="219">
        <v>-36799.158070000012</v>
      </c>
      <c r="Q27" s="219">
        <f t="shared" si="49"/>
        <v>-41103.211050000013</v>
      </c>
      <c r="R27" s="219">
        <v>-1114.2966899999999</v>
      </c>
      <c r="S27" s="219">
        <v>-792.7033100000001</v>
      </c>
      <c r="T27" s="219">
        <v>-605.77923500000043</v>
      </c>
      <c r="U27" s="219">
        <v>-418.91377999999986</v>
      </c>
      <c r="V27" s="219">
        <f t="shared" si="40"/>
        <v>-2931.6930150000003</v>
      </c>
      <c r="W27" s="219">
        <v>-430.88347999999996</v>
      </c>
      <c r="X27" s="219">
        <v>-457.00693999999999</v>
      </c>
      <c r="Y27" s="219">
        <v>-8160.0217599999996</v>
      </c>
      <c r="Z27" s="219">
        <v>7141.6105699999989</v>
      </c>
      <c r="AA27" s="219">
        <f t="shared" si="42"/>
        <v>-1906.3016100000004</v>
      </c>
      <c r="AB27" s="219">
        <v>-513.94715000000008</v>
      </c>
    </row>
    <row r="28" spans="1:28">
      <c r="A28" s="207" t="s">
        <v>476</v>
      </c>
      <c r="B28" s="208" t="s">
        <v>479</v>
      </c>
      <c r="C28" s="209">
        <v>63542.301059999998</v>
      </c>
      <c r="D28" s="209">
        <v>1399.5584100000124</v>
      </c>
      <c r="E28" s="209">
        <v>-27459.537295000016</v>
      </c>
      <c r="F28" s="209">
        <v>-10714.968004999962</v>
      </c>
      <c r="G28" s="209">
        <v>26767.354170000031</v>
      </c>
      <c r="H28" s="209">
        <v>-21391.037605000005</v>
      </c>
      <c r="I28" s="209">
        <v>2044.4775800000134</v>
      </c>
      <c r="J28" s="209">
        <v>-20732.693060000027</v>
      </c>
      <c r="K28" s="209">
        <v>-109155.78263999995</v>
      </c>
      <c r="L28" s="209">
        <f t="shared" si="41"/>
        <v>-149235.03572499997</v>
      </c>
      <c r="M28" s="209">
        <v>-163245.58654500003</v>
      </c>
      <c r="N28" s="209">
        <v>73065.788765000019</v>
      </c>
      <c r="O28" s="209">
        <v>14996.310800000021</v>
      </c>
      <c r="P28" s="209">
        <v>-72398.881130000023</v>
      </c>
      <c r="Q28" s="209">
        <f t="shared" si="49"/>
        <v>-147582.36811000001</v>
      </c>
      <c r="R28" s="209">
        <v>-31127.547540000003</v>
      </c>
      <c r="S28" s="209">
        <v>-25922.452459999997</v>
      </c>
      <c r="T28" s="209">
        <v>-26839.500229999991</v>
      </c>
      <c r="U28" s="209">
        <v>-27557.998530000026</v>
      </c>
      <c r="V28" s="209">
        <f t="shared" si="40"/>
        <v>-111447.49876000002</v>
      </c>
      <c r="W28" s="209">
        <v>-11875.23466</v>
      </c>
      <c r="X28" s="209">
        <v>-47371.165429999986</v>
      </c>
      <c r="Y28" s="209">
        <v>32983.496109999993</v>
      </c>
      <c r="Z28" s="209">
        <v>9597.3286799999842</v>
      </c>
      <c r="AA28" s="209">
        <f t="shared" si="42"/>
        <v>-16665.575300000011</v>
      </c>
      <c r="AB28" s="209">
        <v>-29351.696979999993</v>
      </c>
    </row>
    <row r="29" spans="1:28" ht="14.5" thickBot="1">
      <c r="A29" s="224" t="s">
        <v>478</v>
      </c>
      <c r="B29" s="225" t="s">
        <v>348</v>
      </c>
      <c r="C29" s="186">
        <f t="shared" ref="C29:L29" si="55">SUM(C26:C28)</f>
        <v>182768.68671546606</v>
      </c>
      <c r="D29" s="186">
        <f t="shared" si="55"/>
        <v>-8789.6472804660989</v>
      </c>
      <c r="E29" s="186">
        <f t="shared" si="55"/>
        <v>12974.386455000036</v>
      </c>
      <c r="F29" s="186">
        <f t="shared" si="55"/>
        <v>90063.625470466272</v>
      </c>
      <c r="G29" s="186">
        <f t="shared" si="55"/>
        <v>277017.05136046623</v>
      </c>
      <c r="H29" s="186">
        <f t="shared" si="55"/>
        <v>-11583.670550000053</v>
      </c>
      <c r="I29" s="186">
        <f t="shared" si="55"/>
        <v>-61741.054360000053</v>
      </c>
      <c r="J29" s="186">
        <f t="shared" si="55"/>
        <v>-37102.866679999825</v>
      </c>
      <c r="K29" s="186">
        <f t="shared" si="55"/>
        <v>124132.89578499996</v>
      </c>
      <c r="L29" s="186">
        <f t="shared" si="55"/>
        <v>13705.304195000004</v>
      </c>
      <c r="M29" s="186">
        <f t="shared" ref="M29:Q29" si="56">SUM(M26:M28)</f>
        <v>-167887.93531000003</v>
      </c>
      <c r="N29" s="186">
        <f t="shared" si="56"/>
        <v>57074.589920000035</v>
      </c>
      <c r="O29" s="186">
        <f t="shared" si="56"/>
        <v>25599.173290000173</v>
      </c>
      <c r="P29" s="186">
        <f t="shared" si="56"/>
        <v>396565.98821999982</v>
      </c>
      <c r="Q29" s="186">
        <f t="shared" si="56"/>
        <v>311351.81612000009</v>
      </c>
      <c r="R29" s="186">
        <f t="shared" ref="R29:S29" si="57">SUM(R26:R28)</f>
        <v>14378.000004999998</v>
      </c>
      <c r="S29" s="186">
        <f t="shared" si="57"/>
        <v>19945.035720000011</v>
      </c>
      <c r="T29" s="186">
        <f t="shared" ref="T29:W29" si="58">SUM(T26:T28)</f>
        <v>16260.170780000037</v>
      </c>
      <c r="U29" s="186">
        <f t="shared" si="58"/>
        <v>155685.49353999988</v>
      </c>
      <c r="V29" s="186">
        <f t="shared" si="58"/>
        <v>206268.70004499998</v>
      </c>
      <c r="W29" s="186">
        <f t="shared" si="58"/>
        <v>13425.849340000173</v>
      </c>
      <c r="X29" s="186">
        <f t="shared" ref="X29:AB29" si="59">SUM(X26:X28)</f>
        <v>27765.780789999983</v>
      </c>
      <c r="Y29" s="186">
        <f t="shared" si="59"/>
        <v>38262.543179999964</v>
      </c>
      <c r="Z29" s="186">
        <f t="shared" si="59"/>
        <v>-47437.881319999993</v>
      </c>
      <c r="AA29" s="186">
        <f t="shared" si="59"/>
        <v>32016.291990000107</v>
      </c>
      <c r="AB29" s="186">
        <f t="shared" si="59"/>
        <v>-30712.115629999982</v>
      </c>
    </row>
    <row r="30" spans="1:28" ht="14.5" thickTop="1">
      <c r="A30" s="223" t="s">
        <v>480</v>
      </c>
      <c r="B30" s="180" t="s">
        <v>343</v>
      </c>
      <c r="C30" s="219">
        <v>0</v>
      </c>
      <c r="D30" s="219">
        <v>0</v>
      </c>
      <c r="E30" s="219">
        <v>0</v>
      </c>
      <c r="F30" s="219">
        <v>0</v>
      </c>
      <c r="G30" s="219">
        <v>0</v>
      </c>
      <c r="H30" s="219">
        <v>0</v>
      </c>
      <c r="I30" s="219">
        <v>0</v>
      </c>
      <c r="J30" s="219">
        <v>0</v>
      </c>
      <c r="K30" s="219">
        <v>0</v>
      </c>
      <c r="L30" s="219">
        <v>0</v>
      </c>
      <c r="M30" s="219">
        <v>0</v>
      </c>
      <c r="N30" s="219">
        <v>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19">
        <v>0</v>
      </c>
      <c r="U30" s="219">
        <v>0</v>
      </c>
      <c r="V30" s="219">
        <v>0</v>
      </c>
      <c r="W30" s="219">
        <v>0</v>
      </c>
      <c r="X30" s="219">
        <v>0</v>
      </c>
      <c r="Y30" s="219">
        <v>0</v>
      </c>
      <c r="Z30" s="219">
        <v>0</v>
      </c>
      <c r="AA30" s="219">
        <v>0</v>
      </c>
      <c r="AB30" s="219">
        <v>0</v>
      </c>
    </row>
    <row r="31" spans="1:28" ht="14.5" thickBot="1">
      <c r="A31" s="224" t="s">
        <v>481</v>
      </c>
      <c r="B31" s="225" t="s">
        <v>483</v>
      </c>
      <c r="C31" s="186">
        <f t="shared" ref="C31" si="60">C29+C30</f>
        <v>182768.68671546606</v>
      </c>
      <c r="D31" s="186">
        <f t="shared" ref="D31" si="61">D29+D30</f>
        <v>-8789.6472804660989</v>
      </c>
      <c r="E31" s="186">
        <f t="shared" ref="E31:L31" si="62">E29+E30</f>
        <v>12974.386455000036</v>
      </c>
      <c r="F31" s="186">
        <f t="shared" si="62"/>
        <v>90063.625470466272</v>
      </c>
      <c r="G31" s="186">
        <f t="shared" si="62"/>
        <v>277017.05136046623</v>
      </c>
      <c r="H31" s="186">
        <f t="shared" si="62"/>
        <v>-11583.670550000053</v>
      </c>
      <c r="I31" s="186">
        <f t="shared" si="62"/>
        <v>-61741.054360000053</v>
      </c>
      <c r="J31" s="186">
        <f t="shared" si="62"/>
        <v>-37102.866679999825</v>
      </c>
      <c r="K31" s="186">
        <f t="shared" si="62"/>
        <v>124132.89578499996</v>
      </c>
      <c r="L31" s="186">
        <f t="shared" si="62"/>
        <v>13705.304195000004</v>
      </c>
      <c r="M31" s="186">
        <f t="shared" ref="M31:N31" si="63">M29+M30</f>
        <v>-167887.93531000003</v>
      </c>
      <c r="N31" s="186">
        <f t="shared" si="63"/>
        <v>57074.589920000035</v>
      </c>
      <c r="O31" s="186">
        <f t="shared" ref="O31:R31" si="64">O29+O30</f>
        <v>25599.173290000173</v>
      </c>
      <c r="P31" s="186">
        <f t="shared" si="64"/>
        <v>396565.98821999982</v>
      </c>
      <c r="Q31" s="186">
        <f t="shared" si="64"/>
        <v>311351.81612000009</v>
      </c>
      <c r="R31" s="186">
        <f t="shared" si="64"/>
        <v>14378.000004999998</v>
      </c>
      <c r="S31" s="186">
        <f t="shared" ref="S31:T31" si="65">S29+S30</f>
        <v>19945.035720000011</v>
      </c>
      <c r="T31" s="186">
        <f t="shared" si="65"/>
        <v>16260.170780000037</v>
      </c>
      <c r="U31" s="186">
        <f t="shared" ref="U31:W31" si="66">U29+U30</f>
        <v>155685.49353999988</v>
      </c>
      <c r="V31" s="186">
        <f t="shared" si="66"/>
        <v>206268.70004499998</v>
      </c>
      <c r="W31" s="186">
        <f t="shared" si="66"/>
        <v>13425.849340000173</v>
      </c>
      <c r="X31" s="186">
        <f t="shared" ref="X31:AB31" si="67">X29+X30</f>
        <v>27765.780789999983</v>
      </c>
      <c r="Y31" s="186">
        <f t="shared" si="67"/>
        <v>38262.543179999964</v>
      </c>
      <c r="Z31" s="186">
        <f t="shared" si="67"/>
        <v>-47437.881319999993</v>
      </c>
      <c r="AA31" s="186">
        <f t="shared" si="67"/>
        <v>32016.291990000107</v>
      </c>
      <c r="AB31" s="186">
        <f t="shared" si="67"/>
        <v>-30712.115629999982</v>
      </c>
    </row>
    <row r="32" spans="1:28" ht="14.5" thickTop="1">
      <c r="A32" s="226"/>
      <c r="B32" s="227"/>
      <c r="C32" s="226"/>
      <c r="D32" s="226"/>
      <c r="E32" s="226"/>
      <c r="F32" s="226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</row>
    <row r="33" spans="1:28">
      <c r="A33" s="198" t="s">
        <v>425</v>
      </c>
      <c r="B33" s="199" t="s">
        <v>484</v>
      </c>
      <c r="C33" s="198" t="str">
        <f>C1</f>
        <v>1T17</v>
      </c>
      <c r="D33" s="198" t="str">
        <f>D1</f>
        <v>2T17</v>
      </c>
      <c r="E33" s="198" t="s">
        <v>586</v>
      </c>
      <c r="F33" s="198" t="s">
        <v>596</v>
      </c>
      <c r="G33" s="198">
        <v>2017</v>
      </c>
      <c r="H33" s="198" t="s">
        <v>599</v>
      </c>
      <c r="I33" s="198" t="s">
        <v>602</v>
      </c>
      <c r="J33" s="198" t="s">
        <v>610</v>
      </c>
      <c r="K33" s="198" t="s">
        <v>616</v>
      </c>
      <c r="L33" s="198">
        <v>2018</v>
      </c>
      <c r="M33" s="198" t="s">
        <v>631</v>
      </c>
      <c r="N33" s="198" t="str">
        <f>N1</f>
        <v>2T19</v>
      </c>
      <c r="O33" s="198" t="str">
        <f>O1</f>
        <v>3T19</v>
      </c>
      <c r="P33" s="198" t="s">
        <v>639</v>
      </c>
      <c r="Q33" s="198">
        <v>2019</v>
      </c>
      <c r="R33" s="198" t="str">
        <f t="shared" ref="R33:W33" si="68">R1</f>
        <v>1T20</v>
      </c>
      <c r="S33" s="198" t="str">
        <f t="shared" si="68"/>
        <v>2T20</v>
      </c>
      <c r="T33" s="198" t="str">
        <f t="shared" si="68"/>
        <v>3T20</v>
      </c>
      <c r="U33" s="198" t="str">
        <f t="shared" si="68"/>
        <v>4T20</v>
      </c>
      <c r="V33" s="198">
        <f t="shared" si="68"/>
        <v>2020</v>
      </c>
      <c r="W33" s="198" t="str">
        <f t="shared" si="68"/>
        <v>1T21</v>
      </c>
      <c r="X33" s="198" t="str">
        <f t="shared" ref="X33" si="69">X1</f>
        <v>2T21</v>
      </c>
      <c r="Y33" s="198" t="s">
        <v>674</v>
      </c>
      <c r="Z33" s="198" t="str">
        <f>Z1</f>
        <v>4T21</v>
      </c>
      <c r="AA33" s="198">
        <f>AA1</f>
        <v>2021</v>
      </c>
      <c r="AB33" s="198" t="str">
        <f t="shared" ref="AB33" si="70">AB1</f>
        <v>1T22</v>
      </c>
    </row>
    <row r="34" spans="1:28">
      <c r="A34" s="229" t="s">
        <v>481</v>
      </c>
      <c r="B34" s="213" t="s">
        <v>483</v>
      </c>
      <c r="C34" s="214">
        <f t="shared" ref="C34:L34" si="71">C29</f>
        <v>182768.68671546606</v>
      </c>
      <c r="D34" s="214">
        <f t="shared" si="71"/>
        <v>-8789.6472804660989</v>
      </c>
      <c r="E34" s="214">
        <f t="shared" si="71"/>
        <v>12974.386455000036</v>
      </c>
      <c r="F34" s="214">
        <f t="shared" si="71"/>
        <v>90063.625470466272</v>
      </c>
      <c r="G34" s="214">
        <f t="shared" si="71"/>
        <v>277017.05136046623</v>
      </c>
      <c r="H34" s="214">
        <f t="shared" si="71"/>
        <v>-11583.670550000053</v>
      </c>
      <c r="I34" s="214">
        <f t="shared" si="71"/>
        <v>-61741.054360000053</v>
      </c>
      <c r="J34" s="214">
        <f t="shared" si="71"/>
        <v>-37102.866679999825</v>
      </c>
      <c r="K34" s="214">
        <f t="shared" si="71"/>
        <v>124132.89578499996</v>
      </c>
      <c r="L34" s="214">
        <f t="shared" si="71"/>
        <v>13705.304195000004</v>
      </c>
      <c r="M34" s="214">
        <f t="shared" ref="M34:Q34" si="72">M29</f>
        <v>-167887.93531000003</v>
      </c>
      <c r="N34" s="214">
        <f t="shared" si="72"/>
        <v>57074.589920000035</v>
      </c>
      <c r="O34" s="214">
        <f t="shared" si="72"/>
        <v>25599.173290000173</v>
      </c>
      <c r="P34" s="214">
        <f t="shared" si="72"/>
        <v>396565.98821999982</v>
      </c>
      <c r="Q34" s="214">
        <f t="shared" si="72"/>
        <v>311351.81612000009</v>
      </c>
      <c r="R34" s="214">
        <f t="shared" ref="R34:S34" si="73">R29</f>
        <v>14378.000004999998</v>
      </c>
      <c r="S34" s="214">
        <f t="shared" si="73"/>
        <v>19945.035720000011</v>
      </c>
      <c r="T34" s="214">
        <f t="shared" ref="T34:W34" si="74">T29</f>
        <v>16260.170780000037</v>
      </c>
      <c r="U34" s="214">
        <f t="shared" si="74"/>
        <v>155685.49353999988</v>
      </c>
      <c r="V34" s="214">
        <f t="shared" si="74"/>
        <v>206268.70004499998</v>
      </c>
      <c r="W34" s="214">
        <f t="shared" si="74"/>
        <v>13425.849340000173</v>
      </c>
      <c r="X34" s="214">
        <f t="shared" ref="X34:Y34" si="75">X29</f>
        <v>27765.780789999983</v>
      </c>
      <c r="Y34" s="214">
        <f t="shared" si="75"/>
        <v>38262.543179999964</v>
      </c>
      <c r="Z34" s="214">
        <f t="shared" ref="Z34:AB34" si="76">Z29</f>
        <v>-47437.881319999993</v>
      </c>
      <c r="AA34" s="214">
        <f t="shared" si="76"/>
        <v>32016.291990000107</v>
      </c>
      <c r="AB34" s="214">
        <f t="shared" si="76"/>
        <v>-30712.115629999982</v>
      </c>
    </row>
    <row r="35" spans="1:28">
      <c r="A35" s="230" t="s">
        <v>476</v>
      </c>
      <c r="B35" s="180" t="s">
        <v>485</v>
      </c>
      <c r="C35" s="219">
        <f>-C28</f>
        <v>-63542.301059999998</v>
      </c>
      <c r="D35" s="219">
        <f>-D28</f>
        <v>-1399.5584100000124</v>
      </c>
      <c r="E35" s="219">
        <v>27459.537295000016</v>
      </c>
      <c r="F35" s="219">
        <v>10714.968004999962</v>
      </c>
      <c r="G35" s="219">
        <v>-26767.354170000031</v>
      </c>
      <c r="H35" s="219">
        <v>21391.037605000005</v>
      </c>
      <c r="I35" s="219">
        <v>-2044.4775800000134</v>
      </c>
      <c r="J35" s="219">
        <v>20732.693060000027</v>
      </c>
      <c r="K35" s="219">
        <v>109155.78263999995</v>
      </c>
      <c r="L35" s="219">
        <f>SUM(H35:K35)</f>
        <v>149235.03572499997</v>
      </c>
      <c r="M35" s="231">
        <f>-M28</f>
        <v>163245.58654500003</v>
      </c>
      <c r="N35" s="231">
        <f>-N28</f>
        <v>-73065.788765000019</v>
      </c>
      <c r="O35" s="231">
        <f>-O28</f>
        <v>-14996.310800000021</v>
      </c>
      <c r="P35" s="231">
        <f>-P28</f>
        <v>72398.881130000023</v>
      </c>
      <c r="Q35" s="231">
        <f>SUM(M35:P35)</f>
        <v>147582.36811000001</v>
      </c>
      <c r="R35" s="231">
        <f>-R28</f>
        <v>31127.547540000003</v>
      </c>
      <c r="S35" s="231">
        <f>-S28</f>
        <v>25922.452459999997</v>
      </c>
      <c r="T35" s="231">
        <f>-T28</f>
        <v>26839.500229999991</v>
      </c>
      <c r="U35" s="231">
        <f>-U28</f>
        <v>27557.998530000026</v>
      </c>
      <c r="V35" s="231">
        <f>SUM(R35:U35)</f>
        <v>111447.49876000002</v>
      </c>
      <c r="W35" s="231">
        <f>-W28</f>
        <v>11875.23466</v>
      </c>
      <c r="X35" s="231">
        <f>-X28</f>
        <v>47371.165429999986</v>
      </c>
      <c r="Y35" s="231">
        <v>-32983.496109999993</v>
      </c>
      <c r="Z35" s="231">
        <v>-9597.3286799999842</v>
      </c>
      <c r="AA35" s="231">
        <f>SUM(W35:Z35)</f>
        <v>16665.575300000011</v>
      </c>
      <c r="AB35" s="231">
        <f>-AB28</f>
        <v>29351.696979999993</v>
      </c>
    </row>
    <row r="36" spans="1:28">
      <c r="A36" s="232" t="s">
        <v>474</v>
      </c>
      <c r="B36" s="208" t="s">
        <v>486</v>
      </c>
      <c r="C36" s="209">
        <v>11076.265465</v>
      </c>
      <c r="D36" s="209">
        <f>-D27</f>
        <v>-3262.1639050000013</v>
      </c>
      <c r="E36" s="209">
        <v>3580.041005000001</v>
      </c>
      <c r="F36" s="209">
        <v>10916.75585</v>
      </c>
      <c r="G36" s="209">
        <v>22310.898415</v>
      </c>
      <c r="H36" s="209">
        <v>2374.9542650000003</v>
      </c>
      <c r="I36" s="209">
        <v>1796.4488499999998</v>
      </c>
      <c r="J36" s="209">
        <v>2120.7291700000005</v>
      </c>
      <c r="K36" s="209">
        <v>2073.7966849999984</v>
      </c>
      <c r="L36" s="209">
        <f t="shared" ref="L36:L47" si="77">SUM(H36:K36)</f>
        <v>8365.928969999999</v>
      </c>
      <c r="M36" s="233">
        <f>-M27</f>
        <v>2534.9742900000001</v>
      </c>
      <c r="N36" s="233">
        <f>-N27</f>
        <v>873.39946000000009</v>
      </c>
      <c r="O36" s="233">
        <f>-O27</f>
        <v>895.67923000000019</v>
      </c>
      <c r="P36" s="233">
        <f>-P27</f>
        <v>36799.158070000012</v>
      </c>
      <c r="Q36" s="233">
        <f t="shared" ref="Q36:Q47" si="78">SUM(M36:P36)</f>
        <v>41103.211050000013</v>
      </c>
      <c r="R36" s="233">
        <f>-R27</f>
        <v>1114.2966899999999</v>
      </c>
      <c r="S36" s="233">
        <f>-S27</f>
        <v>792.7033100000001</v>
      </c>
      <c r="T36" s="233">
        <f>-T27</f>
        <v>605.77923500000043</v>
      </c>
      <c r="U36" s="233">
        <f>-U27</f>
        <v>418.91377999999986</v>
      </c>
      <c r="V36" s="233">
        <f t="shared" ref="V36:V47" si="79">SUM(R36:U36)</f>
        <v>2931.6930150000003</v>
      </c>
      <c r="W36" s="233">
        <f>-W27</f>
        <v>430.88347999999996</v>
      </c>
      <c r="X36" s="233">
        <f>-X27</f>
        <v>457.00693999999999</v>
      </c>
      <c r="Y36" s="233">
        <v>8160.0217599999996</v>
      </c>
      <c r="Z36" s="233">
        <v>-7141.6105699999989</v>
      </c>
      <c r="AA36" s="233">
        <f t="shared" ref="AA36:AA47" si="80">SUM(W36:Z36)</f>
        <v>1906.3016100000004</v>
      </c>
      <c r="AB36" s="233">
        <f>-AB27</f>
        <v>513.94715000000008</v>
      </c>
    </row>
    <row r="37" spans="1:28">
      <c r="A37" s="230" t="s">
        <v>470</v>
      </c>
      <c r="B37" s="180" t="s">
        <v>487</v>
      </c>
      <c r="C37" s="219">
        <v>0</v>
      </c>
      <c r="D37" s="219">
        <f>-D25</f>
        <v>0</v>
      </c>
      <c r="E37" s="219">
        <v>0</v>
      </c>
      <c r="F37" s="219">
        <v>-115737.475295</v>
      </c>
      <c r="G37" s="219">
        <v>-115737.475295</v>
      </c>
      <c r="H37" s="219">
        <v>0</v>
      </c>
      <c r="I37" s="219">
        <v>0</v>
      </c>
      <c r="J37" s="219">
        <v>0</v>
      </c>
      <c r="K37" s="219">
        <v>-198507.29210500003</v>
      </c>
      <c r="L37" s="219">
        <f t="shared" si="77"/>
        <v>-198507.29210500003</v>
      </c>
      <c r="M37" s="231">
        <f>-M25</f>
        <v>0</v>
      </c>
      <c r="N37" s="231">
        <f>-N25</f>
        <v>0</v>
      </c>
      <c r="O37" s="231">
        <f>-O25</f>
        <v>0</v>
      </c>
      <c r="P37" s="231">
        <f>-P25</f>
        <v>-570995.66319499991</v>
      </c>
      <c r="Q37" s="231">
        <f t="shared" si="78"/>
        <v>-570995.66319499991</v>
      </c>
      <c r="R37" s="231">
        <f>-R25</f>
        <v>0</v>
      </c>
      <c r="S37" s="231">
        <f>-S25</f>
        <v>0</v>
      </c>
      <c r="T37" s="231">
        <f>-T25</f>
        <v>0</v>
      </c>
      <c r="U37" s="231">
        <f>-U25</f>
        <v>-139883.25164999996</v>
      </c>
      <c r="V37" s="231">
        <f t="shared" si="79"/>
        <v>-139883.25164999996</v>
      </c>
      <c r="W37" s="231">
        <f>-W25</f>
        <v>3281.96657</v>
      </c>
      <c r="X37" s="231">
        <f>-X25</f>
        <v>-51290.553250000004</v>
      </c>
      <c r="Y37" s="231">
        <v>-4284.1160600000003</v>
      </c>
      <c r="Z37" s="231">
        <v>66497.116010000012</v>
      </c>
      <c r="AA37" s="231">
        <f t="shared" si="80"/>
        <v>14204.413270000005</v>
      </c>
      <c r="AB37" s="231">
        <f>-AB25</f>
        <v>0</v>
      </c>
    </row>
    <row r="38" spans="1:28">
      <c r="A38" s="232" t="s">
        <v>468</v>
      </c>
      <c r="B38" s="208" t="s">
        <v>488</v>
      </c>
      <c r="C38" s="209">
        <v>-65422.506280000001</v>
      </c>
      <c r="D38" s="209">
        <f>-D24</f>
        <v>0</v>
      </c>
      <c r="E38" s="209">
        <v>2900</v>
      </c>
      <c r="F38" s="209">
        <v>0</v>
      </c>
      <c r="G38" s="209">
        <v>-62522.506280000001</v>
      </c>
      <c r="H38" s="209">
        <v>-1556.7655</v>
      </c>
      <c r="I38" s="209">
        <v>3.0750900000000456</v>
      </c>
      <c r="J38" s="209">
        <v>0</v>
      </c>
      <c r="K38" s="209">
        <v>0</v>
      </c>
      <c r="L38" s="209">
        <f t="shared" si="77"/>
        <v>-1553.6904099999999</v>
      </c>
      <c r="M38" s="233">
        <f>-M24</f>
        <v>0</v>
      </c>
      <c r="N38" s="233">
        <f>-N24</f>
        <v>-2827.3880199999999</v>
      </c>
      <c r="O38" s="233">
        <f>-O24</f>
        <v>-23070.366370000003</v>
      </c>
      <c r="P38" s="233">
        <f>-P24</f>
        <v>0</v>
      </c>
      <c r="Q38" s="233">
        <f t="shared" si="78"/>
        <v>-25897.754390000002</v>
      </c>
      <c r="R38" s="233">
        <f>-R24</f>
        <v>0</v>
      </c>
      <c r="S38" s="233">
        <f>-S24</f>
        <v>0</v>
      </c>
      <c r="T38" s="233">
        <f>-T24</f>
        <v>0</v>
      </c>
      <c r="U38" s="233">
        <f>-U24</f>
        <v>0</v>
      </c>
      <c r="V38" s="233">
        <f t="shared" si="79"/>
        <v>0</v>
      </c>
      <c r="W38" s="233">
        <f>-W24</f>
        <v>0</v>
      </c>
      <c r="X38" s="233">
        <f>-X24</f>
        <v>0</v>
      </c>
      <c r="Y38" s="233">
        <v>0</v>
      </c>
      <c r="Z38" s="233">
        <v>0</v>
      </c>
      <c r="AA38" s="233">
        <f t="shared" si="80"/>
        <v>0</v>
      </c>
      <c r="AB38" s="233">
        <f>-AB24</f>
        <v>0</v>
      </c>
    </row>
    <row r="39" spans="1:28">
      <c r="A39" s="230" t="s">
        <v>466</v>
      </c>
      <c r="B39" s="180" t="s">
        <v>489</v>
      </c>
      <c r="C39" s="219">
        <v>-18241.117055465995</v>
      </c>
      <c r="D39" s="219">
        <f>-D23</f>
        <v>-27.856729533999896</v>
      </c>
      <c r="E39" s="219">
        <v>0</v>
      </c>
      <c r="F39" s="219">
        <v>-425.52982046601392</v>
      </c>
      <c r="G39" s="219">
        <v>-18694.503605466009</v>
      </c>
      <c r="H39" s="219">
        <v>-21.018909999999998</v>
      </c>
      <c r="I39" s="219">
        <v>27.884129999998805</v>
      </c>
      <c r="J39" s="219">
        <v>-21.526929999999702</v>
      </c>
      <c r="K39" s="219">
        <v>8927.5801500000052</v>
      </c>
      <c r="L39" s="219">
        <f t="shared" si="77"/>
        <v>8912.9184400000049</v>
      </c>
      <c r="M39" s="231">
        <f>-M23</f>
        <v>3637.6453600000023</v>
      </c>
      <c r="N39" s="231">
        <f>-N23</f>
        <v>9897.7301300000072</v>
      </c>
      <c r="O39" s="231">
        <f>-O23</f>
        <v>10978.413089999915</v>
      </c>
      <c r="P39" s="231">
        <f>-P23</f>
        <v>48855.87923000002</v>
      </c>
      <c r="Q39" s="231">
        <f t="shared" si="78"/>
        <v>73369.667809999941</v>
      </c>
      <c r="R39" s="231">
        <f>-R23</f>
        <v>-1113.128825</v>
      </c>
      <c r="S39" s="231">
        <f>-S23</f>
        <v>-907.87117499999999</v>
      </c>
      <c r="T39" s="231">
        <f>-T23</f>
        <v>1113.6231649999995</v>
      </c>
      <c r="U39" s="231">
        <f>-U23</f>
        <v>-120.91361000000597</v>
      </c>
      <c r="V39" s="231">
        <f t="shared" si="79"/>
        <v>-1028.2904450000065</v>
      </c>
      <c r="W39" s="231">
        <f>-W23</f>
        <v>12446.651549999846</v>
      </c>
      <c r="X39" s="231">
        <f>-X23</f>
        <v>-24.964399999971647</v>
      </c>
      <c r="Y39" s="231">
        <v>8146.3034399999888</v>
      </c>
      <c r="Z39" s="231">
        <v>2850.5192400000014</v>
      </c>
      <c r="AA39" s="231">
        <f t="shared" si="80"/>
        <v>23418.509829999864</v>
      </c>
      <c r="AB39" s="231">
        <f>-AB23</f>
        <v>-1908.4741099999992</v>
      </c>
    </row>
    <row r="40" spans="1:28">
      <c r="A40" s="232" t="s">
        <v>460</v>
      </c>
      <c r="B40" s="208" t="s">
        <v>490</v>
      </c>
      <c r="C40" s="209">
        <v>8305.0043899999873</v>
      </c>
      <c r="D40" s="209">
        <f>-D20</f>
        <v>88632.697195000073</v>
      </c>
      <c r="E40" s="209">
        <v>29495.764814999915</v>
      </c>
      <c r="F40" s="209">
        <v>87746.179039999988</v>
      </c>
      <c r="G40" s="209">
        <v>214179.64543999996</v>
      </c>
      <c r="H40" s="209">
        <v>69685.845705000029</v>
      </c>
      <c r="I40" s="209">
        <v>139734.37453000006</v>
      </c>
      <c r="J40" s="209">
        <v>101749.53105999986</v>
      </c>
      <c r="K40" s="209">
        <v>37579.762450000067</v>
      </c>
      <c r="L40" s="209">
        <f t="shared" si="77"/>
        <v>348749.513745</v>
      </c>
      <c r="M40" s="233">
        <f>-M20</f>
        <v>68198.315495000003</v>
      </c>
      <c r="N40" s="233">
        <f>-N20</f>
        <v>76401.009954999972</v>
      </c>
      <c r="O40" s="233">
        <f>-O20</f>
        <v>59004.825310000015</v>
      </c>
      <c r="P40" s="233">
        <f>-P20</f>
        <v>71392.107604999997</v>
      </c>
      <c r="Q40" s="233">
        <f t="shared" si="78"/>
        <v>274996.25836500002</v>
      </c>
      <c r="R40" s="233">
        <f>-R20</f>
        <v>7303.3460999999916</v>
      </c>
      <c r="S40" s="233">
        <f>-S20</f>
        <v>5622.6136350000052</v>
      </c>
      <c r="T40" s="233">
        <f>-T20</f>
        <v>9413.0411349999922</v>
      </c>
      <c r="U40" s="233">
        <f>-U20</f>
        <v>14148.199820000009</v>
      </c>
      <c r="V40" s="233">
        <f t="shared" si="79"/>
        <v>36487.200689999998</v>
      </c>
      <c r="W40" s="233">
        <f>-W20</f>
        <v>17216.674769999998</v>
      </c>
      <c r="X40" s="233">
        <f>-X20</f>
        <v>28470.003479999999</v>
      </c>
      <c r="Y40" s="233">
        <v>38020.674680000026</v>
      </c>
      <c r="Z40" s="233">
        <v>46036.31419999995</v>
      </c>
      <c r="AA40" s="233">
        <f t="shared" si="80"/>
        <v>129743.66712999997</v>
      </c>
      <c r="AB40" s="233">
        <f>-AB20</f>
        <v>54865.063129999995</v>
      </c>
    </row>
    <row r="41" spans="1:28">
      <c r="A41" s="230" t="s">
        <v>456</v>
      </c>
      <c r="B41" s="180" t="s">
        <v>491</v>
      </c>
      <c r="C41" s="219">
        <v>2282.9918600000001</v>
      </c>
      <c r="D41" s="219">
        <f>-D18</f>
        <v>2282.9918700000007</v>
      </c>
      <c r="E41" s="219">
        <v>2282.9918699999989</v>
      </c>
      <c r="F41" s="219">
        <v>-782.94860999999946</v>
      </c>
      <c r="G41" s="219">
        <v>6066.0269900000003</v>
      </c>
      <c r="H41" s="219">
        <v>1673.9160100000001</v>
      </c>
      <c r="I41" s="219">
        <v>1535.2282499999994</v>
      </c>
      <c r="J41" s="219">
        <v>1552.0988900000007</v>
      </c>
      <c r="K41" s="219">
        <v>1552.0988900000002</v>
      </c>
      <c r="L41" s="219">
        <f t="shared" si="77"/>
        <v>6313.3420400000005</v>
      </c>
      <c r="M41" s="231">
        <f>-M18</f>
        <v>1518.3576099999998</v>
      </c>
      <c r="N41" s="231">
        <f>-N18</f>
        <v>1424.67228</v>
      </c>
      <c r="O41" s="231">
        <f>-O18</f>
        <v>1440.3280199999999</v>
      </c>
      <c r="P41" s="231">
        <f>-P18</f>
        <v>1440.3280199999999</v>
      </c>
      <c r="Q41" s="231">
        <f t="shared" si="78"/>
        <v>5823.6859299999996</v>
      </c>
      <c r="R41" s="231">
        <f>-R18</f>
        <v>638.03693999999996</v>
      </c>
      <c r="S41" s="231">
        <f>-S18</f>
        <v>551.96306000000004</v>
      </c>
      <c r="T41" s="231">
        <f>-T18</f>
        <v>2298.7126600000001</v>
      </c>
      <c r="U41" s="231">
        <f>-U18</f>
        <v>2318.4541999999992</v>
      </c>
      <c r="V41" s="231">
        <f t="shared" si="79"/>
        <v>5807.1668599999994</v>
      </c>
      <c r="W41" s="231">
        <f>-W18</f>
        <v>2268.0530299999996</v>
      </c>
      <c r="X41" s="231">
        <f>-X18</f>
        <v>2060.7014200000008</v>
      </c>
      <c r="Y41" s="231">
        <v>2083.3464799999992</v>
      </c>
      <c r="Z41" s="231">
        <v>2083.3464800000011</v>
      </c>
      <c r="AA41" s="231">
        <f t="shared" si="80"/>
        <v>8495.4474100000007</v>
      </c>
      <c r="AB41" s="231">
        <f>-AB18</f>
        <v>1742.1310900000001</v>
      </c>
    </row>
    <row r="42" spans="1:28">
      <c r="A42" s="232" t="s">
        <v>450</v>
      </c>
      <c r="B42" s="208" t="s">
        <v>492</v>
      </c>
      <c r="C42" s="209">
        <v>2291.7283432500003</v>
      </c>
      <c r="D42" s="209">
        <v>0</v>
      </c>
      <c r="E42" s="209">
        <v>0</v>
      </c>
      <c r="F42" s="209">
        <v>0</v>
      </c>
      <c r="G42" s="209">
        <v>2291.7283432500003</v>
      </c>
      <c r="H42" s="209">
        <v>0</v>
      </c>
      <c r="I42" s="209">
        <v>0</v>
      </c>
      <c r="J42" s="209">
        <v>0</v>
      </c>
      <c r="K42" s="209">
        <v>0</v>
      </c>
      <c r="L42" s="209">
        <f t="shared" si="77"/>
        <v>0</v>
      </c>
      <c r="M42" s="209">
        <v>0</v>
      </c>
      <c r="N42" s="209">
        <v>0</v>
      </c>
      <c r="O42" s="209">
        <v>0</v>
      </c>
      <c r="P42" s="209">
        <v>0</v>
      </c>
      <c r="Q42" s="209">
        <f t="shared" si="78"/>
        <v>0</v>
      </c>
      <c r="R42" s="209">
        <v>0</v>
      </c>
      <c r="S42" s="209">
        <v>0</v>
      </c>
      <c r="T42" s="209">
        <v>0</v>
      </c>
      <c r="U42" s="209">
        <v>0</v>
      </c>
      <c r="V42" s="209">
        <f t="shared" si="79"/>
        <v>0</v>
      </c>
      <c r="W42" s="209">
        <v>0</v>
      </c>
      <c r="X42" s="209">
        <v>0</v>
      </c>
      <c r="Y42" s="209">
        <v>0</v>
      </c>
      <c r="Z42" s="209">
        <v>0</v>
      </c>
      <c r="AA42" s="209">
        <f t="shared" si="80"/>
        <v>0</v>
      </c>
      <c r="AB42" s="209">
        <v>0</v>
      </c>
    </row>
    <row r="43" spans="1:28">
      <c r="A43" s="230" t="s">
        <v>450</v>
      </c>
      <c r="B43" s="180" t="s">
        <v>493</v>
      </c>
      <c r="C43" s="219">
        <v>29661.840359999998</v>
      </c>
      <c r="D43" s="219">
        <v>0</v>
      </c>
      <c r="E43" s="219">
        <v>0</v>
      </c>
      <c r="F43" s="219">
        <v>0</v>
      </c>
      <c r="G43" s="219">
        <v>29661.840359999998</v>
      </c>
      <c r="H43" s="219">
        <v>0</v>
      </c>
      <c r="I43" s="219">
        <v>0</v>
      </c>
      <c r="J43" s="219">
        <v>0</v>
      </c>
      <c r="K43" s="219">
        <v>0</v>
      </c>
      <c r="L43" s="219">
        <f t="shared" si="77"/>
        <v>0</v>
      </c>
      <c r="M43" s="219">
        <v>0</v>
      </c>
      <c r="N43" s="219">
        <v>0</v>
      </c>
      <c r="O43" s="219">
        <v>0</v>
      </c>
      <c r="P43" s="219">
        <v>0</v>
      </c>
      <c r="Q43" s="219">
        <f t="shared" si="78"/>
        <v>0</v>
      </c>
      <c r="R43" s="219">
        <v>0</v>
      </c>
      <c r="S43" s="219">
        <v>0</v>
      </c>
      <c r="T43" s="219">
        <v>0</v>
      </c>
      <c r="U43" s="219">
        <v>0</v>
      </c>
      <c r="V43" s="219">
        <f t="shared" si="79"/>
        <v>0</v>
      </c>
      <c r="W43" s="219">
        <v>0</v>
      </c>
      <c r="X43" s="219">
        <v>0</v>
      </c>
      <c r="Y43" s="219">
        <v>0</v>
      </c>
      <c r="Z43" s="219">
        <v>0</v>
      </c>
      <c r="AA43" s="219">
        <f t="shared" si="80"/>
        <v>0</v>
      </c>
      <c r="AB43" s="219">
        <v>0</v>
      </c>
    </row>
    <row r="44" spans="1:28">
      <c r="A44" s="232" t="s">
        <v>450</v>
      </c>
      <c r="B44" s="208" t="s">
        <v>617</v>
      </c>
      <c r="C44" s="209">
        <v>0</v>
      </c>
      <c r="D44" s="209">
        <v>0</v>
      </c>
      <c r="E44" s="209">
        <v>0</v>
      </c>
      <c r="F44" s="209">
        <v>0</v>
      </c>
      <c r="G44" s="209">
        <v>0</v>
      </c>
      <c r="H44" s="209">
        <v>0</v>
      </c>
      <c r="I44" s="209">
        <v>0</v>
      </c>
      <c r="J44" s="209">
        <v>0</v>
      </c>
      <c r="K44" s="209">
        <v>8188.39005</v>
      </c>
      <c r="L44" s="209">
        <f t="shared" si="77"/>
        <v>8188.39005</v>
      </c>
      <c r="M44" s="209">
        <v>1409.4021699999998</v>
      </c>
      <c r="N44" s="209">
        <v>954.10195999999996</v>
      </c>
      <c r="O44" s="209">
        <v>9982.32</v>
      </c>
      <c r="P44" s="209">
        <v>0</v>
      </c>
      <c r="Q44" s="209">
        <f t="shared" si="78"/>
        <v>12345.824129999999</v>
      </c>
      <c r="R44" s="209">
        <v>0</v>
      </c>
      <c r="S44" s="209">
        <v>0</v>
      </c>
      <c r="T44" s="209">
        <v>2023.4991</v>
      </c>
      <c r="U44" s="209">
        <v>2990.9999399999997</v>
      </c>
      <c r="V44" s="209">
        <f t="shared" si="79"/>
        <v>5014.4990399999997</v>
      </c>
      <c r="W44" s="209">
        <v>0</v>
      </c>
      <c r="X44" s="209">
        <v>0</v>
      </c>
      <c r="Y44" s="209">
        <v>0</v>
      </c>
      <c r="Z44" s="209">
        <v>0</v>
      </c>
      <c r="AA44" s="209">
        <f t="shared" si="80"/>
        <v>0</v>
      </c>
      <c r="AB44" s="209">
        <v>0</v>
      </c>
    </row>
    <row r="45" spans="1:28">
      <c r="A45" s="230" t="s">
        <v>448</v>
      </c>
      <c r="B45" s="180" t="s">
        <v>494</v>
      </c>
      <c r="C45" s="219">
        <v>106.64367</v>
      </c>
      <c r="D45" s="219">
        <v>150.16011000000003</v>
      </c>
      <c r="E45" s="219">
        <v>181.49354999999997</v>
      </c>
      <c r="F45" s="219">
        <v>107.64130999999998</v>
      </c>
      <c r="G45" s="219">
        <v>545.93863999999996</v>
      </c>
      <c r="H45" s="219">
        <v>104.49135000000001</v>
      </c>
      <c r="I45" s="219">
        <v>111.29597999999999</v>
      </c>
      <c r="J45" s="219">
        <v>122.32884999999999</v>
      </c>
      <c r="K45" s="219">
        <v>133.91293000000002</v>
      </c>
      <c r="L45" s="219">
        <f t="shared" si="77"/>
        <v>472.02911</v>
      </c>
      <c r="M45" s="219">
        <v>129.37085000000002</v>
      </c>
      <c r="N45" s="219">
        <v>131.09668999999997</v>
      </c>
      <c r="O45" s="219">
        <v>133.03230000000002</v>
      </c>
      <c r="P45" s="219">
        <v>148.5295999999999</v>
      </c>
      <c r="Q45" s="219">
        <f t="shared" si="78"/>
        <v>542.02943999999991</v>
      </c>
      <c r="R45" s="219">
        <v>161.52017000000498</v>
      </c>
      <c r="S45" s="219">
        <v>153.03966999999702</v>
      </c>
      <c r="T45" s="219">
        <v>158.38117000002035</v>
      </c>
      <c r="U45" s="219">
        <v>386.77870999997396</v>
      </c>
      <c r="V45" s="219">
        <f t="shared" si="79"/>
        <v>859.7197199999963</v>
      </c>
      <c r="W45" s="219">
        <v>192.18826000000001</v>
      </c>
      <c r="X45" s="219">
        <v>190.04879</v>
      </c>
      <c r="Y45" s="219">
        <v>850.01188000000002</v>
      </c>
      <c r="Z45" s="219">
        <v>500.11990999999989</v>
      </c>
      <c r="AA45" s="219">
        <f t="shared" si="80"/>
        <v>1732.3688399999999</v>
      </c>
      <c r="AB45" s="219">
        <v>284</v>
      </c>
    </row>
    <row r="46" spans="1:28">
      <c r="A46" s="232" t="s">
        <v>448</v>
      </c>
      <c r="B46" s="208" t="s">
        <v>618</v>
      </c>
      <c r="C46" s="209">
        <v>0</v>
      </c>
      <c r="D46" s="209">
        <v>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-27252</v>
      </c>
      <c r="L46" s="209">
        <f t="shared" si="77"/>
        <v>-27252</v>
      </c>
      <c r="M46" s="209">
        <v>0</v>
      </c>
      <c r="N46" s="209">
        <v>0</v>
      </c>
      <c r="O46" s="209">
        <v>0</v>
      </c>
      <c r="P46" s="209">
        <v>0</v>
      </c>
      <c r="Q46" s="209">
        <f t="shared" si="78"/>
        <v>0</v>
      </c>
      <c r="R46" s="209">
        <v>0</v>
      </c>
      <c r="S46" s="209">
        <v>0</v>
      </c>
      <c r="T46" s="209">
        <v>0</v>
      </c>
      <c r="U46" s="209">
        <v>0</v>
      </c>
      <c r="V46" s="209">
        <f t="shared" si="79"/>
        <v>0</v>
      </c>
      <c r="W46" s="209">
        <v>0</v>
      </c>
      <c r="X46" s="209">
        <v>0</v>
      </c>
      <c r="Y46" s="209">
        <v>0</v>
      </c>
      <c r="Z46" s="209">
        <v>0</v>
      </c>
      <c r="AA46" s="209">
        <f t="shared" si="80"/>
        <v>0</v>
      </c>
      <c r="AB46" s="209">
        <v>0</v>
      </c>
    </row>
    <row r="47" spans="1:28">
      <c r="A47" s="230" t="s">
        <v>448</v>
      </c>
      <c r="B47" s="180" t="s">
        <v>619</v>
      </c>
      <c r="C47" s="219">
        <v>0</v>
      </c>
      <c r="D47" s="219">
        <v>5382.9242800000002</v>
      </c>
      <c r="E47" s="219">
        <v>1526</v>
      </c>
      <c r="F47" s="219">
        <v>-5429.0839148450004</v>
      </c>
      <c r="G47" s="219">
        <v>1479.8403651549997</v>
      </c>
      <c r="H47" s="219">
        <v>0</v>
      </c>
      <c r="I47" s="219">
        <v>0</v>
      </c>
      <c r="J47" s="219">
        <v>0</v>
      </c>
      <c r="K47" s="219">
        <v>0</v>
      </c>
      <c r="L47" s="219">
        <f t="shared" si="77"/>
        <v>0</v>
      </c>
      <c r="M47" s="219">
        <v>0</v>
      </c>
      <c r="N47" s="219">
        <v>0</v>
      </c>
      <c r="O47" s="219">
        <v>0</v>
      </c>
      <c r="P47" s="219">
        <v>0</v>
      </c>
      <c r="Q47" s="219">
        <f t="shared" si="78"/>
        <v>0</v>
      </c>
      <c r="R47" s="219">
        <v>0</v>
      </c>
      <c r="S47" s="219">
        <v>0</v>
      </c>
      <c r="T47" s="219">
        <v>0</v>
      </c>
      <c r="U47" s="219">
        <v>0</v>
      </c>
      <c r="V47" s="219">
        <f t="shared" si="79"/>
        <v>0</v>
      </c>
      <c r="W47" s="219">
        <v>0</v>
      </c>
      <c r="X47" s="219">
        <v>0</v>
      </c>
      <c r="Y47" s="219">
        <v>0</v>
      </c>
      <c r="Z47" s="219">
        <v>0</v>
      </c>
      <c r="AA47" s="219">
        <f t="shared" si="80"/>
        <v>0</v>
      </c>
      <c r="AB47" s="219">
        <v>0</v>
      </c>
    </row>
    <row r="48" spans="1:28">
      <c r="A48" s="234" t="s">
        <v>482</v>
      </c>
      <c r="B48" s="235" t="s">
        <v>496</v>
      </c>
      <c r="C48" s="236">
        <f t="shared" ref="C48:L48" si="81">SUM(C34:C47)</f>
        <v>89287.236408250057</v>
      </c>
      <c r="D48" s="236">
        <f t="shared" si="81"/>
        <v>82969.547129999963</v>
      </c>
      <c r="E48" s="236">
        <f t="shared" si="81"/>
        <v>80400.214989999964</v>
      </c>
      <c r="F48" s="236">
        <f t="shared" si="81"/>
        <v>77174.132035155213</v>
      </c>
      <c r="G48" s="236">
        <f t="shared" si="81"/>
        <v>329831.13056340505</v>
      </c>
      <c r="H48" s="236">
        <f t="shared" si="81"/>
        <v>82068.789974999978</v>
      </c>
      <c r="I48" s="236">
        <f t="shared" si="81"/>
        <v>79422.774889999986</v>
      </c>
      <c r="J48" s="236">
        <f t="shared" si="81"/>
        <v>89152.987420000063</v>
      </c>
      <c r="K48" s="236">
        <f t="shared" si="81"/>
        <v>65984.92747499996</v>
      </c>
      <c r="L48" s="236">
        <f t="shared" si="81"/>
        <v>316629.47975999996</v>
      </c>
      <c r="M48" s="236">
        <f t="shared" ref="M48:N48" si="82">SUM(M34:M47)</f>
        <v>72785.717010000022</v>
      </c>
      <c r="N48" s="236">
        <f t="shared" si="82"/>
        <v>70863.423609999998</v>
      </c>
      <c r="O48" s="236">
        <f t="shared" ref="O48:R48" si="83">SUM(O34:O47)</f>
        <v>69967.094070000094</v>
      </c>
      <c r="P48" s="236">
        <f t="shared" si="83"/>
        <v>56605.208679999931</v>
      </c>
      <c r="Q48" s="236">
        <f t="shared" si="83"/>
        <v>270221.44337000023</v>
      </c>
      <c r="R48" s="236">
        <f t="shared" si="83"/>
        <v>53609.618620000001</v>
      </c>
      <c r="S48" s="236">
        <f t="shared" ref="S48:T48" si="84">SUM(S34:S47)</f>
        <v>52079.936680000006</v>
      </c>
      <c r="T48" s="236">
        <f t="shared" si="84"/>
        <v>58712.707475000039</v>
      </c>
      <c r="U48" s="236">
        <f>SUM(U34:U47)</f>
        <v>63502.673259999945</v>
      </c>
      <c r="V48" s="236">
        <f t="shared" ref="V48:W48" si="85">SUM(V34:V47)</f>
        <v>227904.93603500002</v>
      </c>
      <c r="W48" s="236">
        <f t="shared" si="85"/>
        <v>61137.501660000024</v>
      </c>
      <c r="X48" s="236">
        <f t="shared" ref="X48" si="86">SUM(X34:X47)</f>
        <v>54999.189199999993</v>
      </c>
      <c r="Y48" s="236">
        <f>SUM(Y34:Y47)</f>
        <v>58255.289249999987</v>
      </c>
      <c r="Z48" s="236">
        <f>SUM(Z34:Z47)</f>
        <v>53790.595269999991</v>
      </c>
      <c r="AA48" s="236">
        <f t="shared" ref="AA48:AB48" si="87">SUM(AA34:AA47)</f>
        <v>228182.57537999997</v>
      </c>
      <c r="AB48" s="236">
        <f t="shared" si="87"/>
        <v>54136.24861000001</v>
      </c>
    </row>
    <row r="49" spans="1:28">
      <c r="A49" s="237" t="s">
        <v>590</v>
      </c>
      <c r="B49" s="202" t="s">
        <v>497</v>
      </c>
      <c r="C49" s="238">
        <f t="shared" ref="C49:L49" si="88">C48/C10</f>
        <v>0.78301185283204677</v>
      </c>
      <c r="D49" s="238">
        <f t="shared" si="88"/>
        <v>0.79262052936520078</v>
      </c>
      <c r="E49" s="238">
        <f t="shared" si="88"/>
        <v>0.75680618036508851</v>
      </c>
      <c r="F49" s="238">
        <f t="shared" si="88"/>
        <v>0.73147147879482977</v>
      </c>
      <c r="G49" s="238">
        <f t="shared" si="88"/>
        <v>0.76624807056862299</v>
      </c>
      <c r="H49" s="238">
        <f t="shared" si="88"/>
        <v>0.7638016215536334</v>
      </c>
      <c r="I49" s="238">
        <f t="shared" si="88"/>
        <v>0.75933436612622252</v>
      </c>
      <c r="J49" s="238">
        <f t="shared" si="88"/>
        <v>0.78579327609641714</v>
      </c>
      <c r="K49" s="238">
        <f t="shared" si="88"/>
        <v>0.68864581923886248</v>
      </c>
      <c r="L49" s="238">
        <f t="shared" si="88"/>
        <v>0.7515223411365104</v>
      </c>
      <c r="M49" s="238">
        <f t="shared" ref="M49:N49" si="89">M48/M10</f>
        <v>0.74037075068503033</v>
      </c>
      <c r="N49" s="238">
        <f t="shared" si="89"/>
        <v>0.72205639259128074</v>
      </c>
      <c r="O49" s="238">
        <f t="shared" ref="O49:R49" si="90">O48/O10</f>
        <v>0.73415043414810877</v>
      </c>
      <c r="P49" s="238">
        <f t="shared" si="90"/>
        <v>0.64693562484424949</v>
      </c>
      <c r="Q49" s="238">
        <f t="shared" si="90"/>
        <v>0.71251184090902597</v>
      </c>
      <c r="R49" s="238">
        <f t="shared" si="90"/>
        <v>0.70529351831874376</v>
      </c>
      <c r="S49" s="238">
        <f t="shared" ref="S49:T49" si="91">S48/S10</f>
        <v>0.69004150462130354</v>
      </c>
      <c r="T49" s="238">
        <f t="shared" si="91"/>
        <v>0.74680852700923939</v>
      </c>
      <c r="U49" s="238">
        <f t="shared" ref="U49:W49" si="92">U48/U10</f>
        <v>0.7606380146870948</v>
      </c>
      <c r="V49" s="238">
        <f t="shared" si="92"/>
        <v>0.72676499701681929</v>
      </c>
      <c r="W49" s="238">
        <f t="shared" si="92"/>
        <v>0.74242533614636075</v>
      </c>
      <c r="X49" s="238">
        <f t="shared" ref="X49" si="93">X48/X10</f>
        <v>0.69958462869373494</v>
      </c>
      <c r="Y49" s="238">
        <f>Y48/Y10</f>
        <v>0.69769749668212311</v>
      </c>
      <c r="Z49" s="238">
        <f>Z48/Z10</f>
        <v>0.65703001209024592</v>
      </c>
      <c r="AA49" s="238">
        <f t="shared" ref="AA49:AB49" si="94">AA48/AA10</f>
        <v>0.69923644087091308</v>
      </c>
      <c r="AB49" s="238">
        <f t="shared" si="94"/>
        <v>0.65154039145943565</v>
      </c>
    </row>
    <row r="50" spans="1:28">
      <c r="A50" s="20"/>
      <c r="B50" s="20"/>
      <c r="C50" s="20"/>
      <c r="D50" s="20"/>
      <c r="E50" s="20"/>
      <c r="F50" s="20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>
      <c r="A51" s="198" t="s">
        <v>425</v>
      </c>
      <c r="B51" s="199" t="s">
        <v>498</v>
      </c>
      <c r="C51" s="198" t="str">
        <f>C1</f>
        <v>1T17</v>
      </c>
      <c r="D51" s="198" t="str">
        <f>D1</f>
        <v>2T17</v>
      </c>
      <c r="E51" s="198" t="s">
        <v>586</v>
      </c>
      <c r="F51" s="198" t="s">
        <v>596</v>
      </c>
      <c r="G51" s="198">
        <v>2017</v>
      </c>
      <c r="H51" s="198" t="s">
        <v>599</v>
      </c>
      <c r="I51" s="198" t="s">
        <v>602</v>
      </c>
      <c r="J51" s="198" t="s">
        <v>610</v>
      </c>
      <c r="K51" s="198" t="s">
        <v>616</v>
      </c>
      <c r="L51" s="198">
        <v>2018</v>
      </c>
      <c r="M51" s="198" t="s">
        <v>631</v>
      </c>
      <c r="N51" s="198" t="str">
        <f>N1</f>
        <v>2T19</v>
      </c>
      <c r="O51" s="198" t="str">
        <f>O1</f>
        <v>3T19</v>
      </c>
      <c r="P51" s="198" t="s">
        <v>639</v>
      </c>
      <c r="Q51" s="198">
        <v>2019</v>
      </c>
      <c r="R51" s="198" t="str">
        <f t="shared" ref="R51:W51" si="95">R1</f>
        <v>1T20</v>
      </c>
      <c r="S51" s="198" t="str">
        <f t="shared" si="95"/>
        <v>2T20</v>
      </c>
      <c r="T51" s="198" t="str">
        <f t="shared" si="95"/>
        <v>3T20</v>
      </c>
      <c r="U51" s="198" t="str">
        <f t="shared" si="95"/>
        <v>4T20</v>
      </c>
      <c r="V51" s="198">
        <f t="shared" si="95"/>
        <v>2020</v>
      </c>
      <c r="W51" s="198" t="str">
        <f t="shared" si="95"/>
        <v>1T21</v>
      </c>
      <c r="X51" s="198" t="str">
        <f t="shared" ref="X51" si="96">X1</f>
        <v>2T21</v>
      </c>
      <c r="Y51" s="198" t="s">
        <v>674</v>
      </c>
      <c r="Z51" s="198" t="str">
        <f>Z1</f>
        <v>4T21</v>
      </c>
      <c r="AA51" s="198">
        <f>AA1</f>
        <v>2021</v>
      </c>
      <c r="AB51" s="198" t="str">
        <f t="shared" ref="AB51" si="97">AB1</f>
        <v>1T22</v>
      </c>
    </row>
    <row r="52" spans="1:28">
      <c r="A52" s="239" t="str">
        <f>A31</f>
        <v>(30)</v>
      </c>
      <c r="B52" s="202" t="s">
        <v>483</v>
      </c>
      <c r="C52" s="240">
        <f t="shared" ref="C52:L52" si="98">C31</f>
        <v>182768.68671546606</v>
      </c>
      <c r="D52" s="240">
        <f t="shared" si="98"/>
        <v>-8789.6472804660989</v>
      </c>
      <c r="E52" s="240">
        <f t="shared" si="98"/>
        <v>12974.386455000036</v>
      </c>
      <c r="F52" s="240">
        <f t="shared" si="98"/>
        <v>90063.625470466272</v>
      </c>
      <c r="G52" s="240">
        <f t="shared" si="98"/>
        <v>277017.05136046623</v>
      </c>
      <c r="H52" s="240">
        <f t="shared" si="98"/>
        <v>-11583.670550000053</v>
      </c>
      <c r="I52" s="240">
        <f t="shared" si="98"/>
        <v>-61741.054360000053</v>
      </c>
      <c r="J52" s="240">
        <f t="shared" si="98"/>
        <v>-37102.866679999825</v>
      </c>
      <c r="K52" s="240">
        <f t="shared" si="98"/>
        <v>124132.89578499996</v>
      </c>
      <c r="L52" s="240">
        <f t="shared" si="98"/>
        <v>13705.304195000004</v>
      </c>
      <c r="M52" s="240">
        <f t="shared" ref="M52:N52" si="99">M31</f>
        <v>-167887.93531000003</v>
      </c>
      <c r="N52" s="240">
        <f t="shared" si="99"/>
        <v>57074.589920000035</v>
      </c>
      <c r="O52" s="240">
        <f t="shared" ref="O52:R52" si="100">O31</f>
        <v>25599.173290000173</v>
      </c>
      <c r="P52" s="240">
        <f t="shared" si="100"/>
        <v>396565.98821999982</v>
      </c>
      <c r="Q52" s="240">
        <f t="shared" si="100"/>
        <v>311351.81612000009</v>
      </c>
      <c r="R52" s="240">
        <f t="shared" si="100"/>
        <v>14378.000004999998</v>
      </c>
      <c r="S52" s="240">
        <f t="shared" ref="S52:T52" si="101">S31</f>
        <v>19945.035720000011</v>
      </c>
      <c r="T52" s="240">
        <f t="shared" si="101"/>
        <v>16260.170780000037</v>
      </c>
      <c r="U52" s="240">
        <f t="shared" ref="U52:W52" si="102">U31</f>
        <v>155685.49353999988</v>
      </c>
      <c r="V52" s="240">
        <f t="shared" si="102"/>
        <v>206268.70004499998</v>
      </c>
      <c r="W52" s="240">
        <f t="shared" si="102"/>
        <v>13425.849340000173</v>
      </c>
      <c r="X52" s="240">
        <f t="shared" ref="X52:Y52" si="103">X31</f>
        <v>27765.780789999983</v>
      </c>
      <c r="Y52" s="240">
        <f t="shared" si="103"/>
        <v>38262.543179999964</v>
      </c>
      <c r="Z52" s="240">
        <f t="shared" ref="Z52:AB52" si="104">Z31</f>
        <v>-47437.881319999993</v>
      </c>
      <c r="AA52" s="240">
        <f t="shared" si="104"/>
        <v>32016.291990000107</v>
      </c>
      <c r="AB52" s="240">
        <f t="shared" si="104"/>
        <v>-30712.115629999982</v>
      </c>
    </row>
    <row r="53" spans="1:28">
      <c r="A53" s="241" t="str">
        <f>A28</f>
        <v>(27)</v>
      </c>
      <c r="B53" s="242" t="s">
        <v>485</v>
      </c>
      <c r="C53" s="243">
        <f t="shared" ref="C53:K53" si="105">C35</f>
        <v>-63542.301059999998</v>
      </c>
      <c r="D53" s="243">
        <f t="shared" si="105"/>
        <v>-1399.5584100000124</v>
      </c>
      <c r="E53" s="243">
        <f t="shared" si="105"/>
        <v>27459.537295000016</v>
      </c>
      <c r="F53" s="243">
        <f t="shared" si="105"/>
        <v>10714.968004999962</v>
      </c>
      <c r="G53" s="243">
        <f t="shared" si="105"/>
        <v>-26767.354170000031</v>
      </c>
      <c r="H53" s="243">
        <f t="shared" si="105"/>
        <v>21391.037605000005</v>
      </c>
      <c r="I53" s="243">
        <f t="shared" si="105"/>
        <v>-2044.4775800000134</v>
      </c>
      <c r="J53" s="243">
        <f t="shared" si="105"/>
        <v>20732.693060000027</v>
      </c>
      <c r="K53" s="243">
        <f t="shared" si="105"/>
        <v>109155.78263999995</v>
      </c>
      <c r="L53" s="243">
        <f>L35</f>
        <v>149235.03572499997</v>
      </c>
      <c r="M53" s="243">
        <f t="shared" ref="M53:N53" si="106">M35</f>
        <v>163245.58654500003</v>
      </c>
      <c r="N53" s="243">
        <f t="shared" si="106"/>
        <v>-73065.788765000019</v>
      </c>
      <c r="O53" s="243">
        <v>-14996.310800000021</v>
      </c>
      <c r="P53" s="243">
        <f>P35</f>
        <v>72398.881130000023</v>
      </c>
      <c r="Q53" s="243">
        <f>SUM(M53:P53)</f>
        <v>147582.36811000001</v>
      </c>
      <c r="R53" s="243">
        <f t="shared" ref="R53:S53" si="107">R35</f>
        <v>31127.547540000003</v>
      </c>
      <c r="S53" s="243">
        <f t="shared" si="107"/>
        <v>25922.452459999997</v>
      </c>
      <c r="T53" s="243">
        <f t="shared" ref="T53:U53" si="108">T35</f>
        <v>26839.500229999991</v>
      </c>
      <c r="U53" s="243">
        <f t="shared" si="108"/>
        <v>27557.998530000026</v>
      </c>
      <c r="V53" s="243">
        <f>SUM(R53:U53)</f>
        <v>111447.49876000002</v>
      </c>
      <c r="W53" s="243">
        <f t="shared" ref="W53:X53" si="109">W35</f>
        <v>11875.23466</v>
      </c>
      <c r="X53" s="243">
        <f t="shared" si="109"/>
        <v>47371.165429999986</v>
      </c>
      <c r="Y53" s="243">
        <v>-32983.496109999993</v>
      </c>
      <c r="Z53" s="243">
        <v>-9597.3286799999842</v>
      </c>
      <c r="AA53" s="243">
        <f>SUM(W53:Z53)</f>
        <v>16665.575300000011</v>
      </c>
      <c r="AB53" s="243">
        <f t="shared" ref="AB53" si="110">AB35</f>
        <v>29351.696979999993</v>
      </c>
    </row>
    <row r="54" spans="1:28">
      <c r="A54" s="244" t="str">
        <f>A27</f>
        <v>(26)</v>
      </c>
      <c r="B54" s="245" t="s">
        <v>499</v>
      </c>
      <c r="C54" s="246">
        <v>22266.945013915458</v>
      </c>
      <c r="D54" s="246">
        <v>0</v>
      </c>
      <c r="E54" s="246">
        <v>0</v>
      </c>
      <c r="F54" s="246">
        <v>12063.271000000001</v>
      </c>
      <c r="G54" s="246">
        <v>34330.216013915458</v>
      </c>
      <c r="H54" s="246">
        <v>0</v>
      </c>
      <c r="I54" s="246">
        <v>0</v>
      </c>
      <c r="J54" s="246">
        <v>0</v>
      </c>
      <c r="K54" s="246">
        <v>0</v>
      </c>
      <c r="L54" s="246">
        <f>SUM(H54:K54)</f>
        <v>0</v>
      </c>
      <c r="M54" s="246">
        <v>0</v>
      </c>
      <c r="N54" s="246">
        <v>0</v>
      </c>
      <c r="O54" s="246">
        <v>0</v>
      </c>
      <c r="P54" s="246">
        <v>35908.633612278572</v>
      </c>
      <c r="Q54" s="246">
        <f t="shared" ref="Q54:Q71" si="111">SUM(M54:P54)</f>
        <v>35908.633612278572</v>
      </c>
      <c r="R54" s="246">
        <v>0</v>
      </c>
      <c r="S54" s="246">
        <v>0</v>
      </c>
      <c r="T54" s="246">
        <v>0</v>
      </c>
      <c r="U54" s="246">
        <v>0</v>
      </c>
      <c r="V54" s="246">
        <f t="shared" ref="V54:V71" si="112">SUM(R54:U54)</f>
        <v>0</v>
      </c>
      <c r="W54" s="246">
        <v>0</v>
      </c>
      <c r="X54" s="246">
        <v>0</v>
      </c>
      <c r="Y54" s="246">
        <v>7683.2751263000227</v>
      </c>
      <c r="Z54" s="246">
        <v>-7683.2751263000227</v>
      </c>
      <c r="AA54" s="246">
        <f t="shared" ref="AA54:AA71" si="113">SUM(W54:Z54)</f>
        <v>0</v>
      </c>
      <c r="AB54" s="246">
        <v>0</v>
      </c>
    </row>
    <row r="55" spans="1:28">
      <c r="A55" s="241" t="str">
        <f>A25</f>
        <v>(24)</v>
      </c>
      <c r="B55" s="242" t="s">
        <v>487</v>
      </c>
      <c r="C55" s="243">
        <f t="shared" ref="C55:E57" si="114">C37</f>
        <v>0</v>
      </c>
      <c r="D55" s="243">
        <f t="shared" si="114"/>
        <v>0</v>
      </c>
      <c r="E55" s="243">
        <f t="shared" si="114"/>
        <v>0</v>
      </c>
      <c r="F55" s="243">
        <f t="shared" ref="F55:L55" si="115">F37</f>
        <v>-115737.475295</v>
      </c>
      <c r="G55" s="243">
        <f t="shared" si="115"/>
        <v>-115737.475295</v>
      </c>
      <c r="H55" s="243">
        <f t="shared" si="115"/>
        <v>0</v>
      </c>
      <c r="I55" s="243">
        <f t="shared" si="115"/>
        <v>0</v>
      </c>
      <c r="J55" s="243">
        <f t="shared" si="115"/>
        <v>0</v>
      </c>
      <c r="K55" s="243">
        <f t="shared" si="115"/>
        <v>-198507.29210500003</v>
      </c>
      <c r="L55" s="243">
        <f t="shared" si="115"/>
        <v>-198507.29210500003</v>
      </c>
      <c r="M55" s="243">
        <f>-M25</f>
        <v>0</v>
      </c>
      <c r="N55" s="243">
        <f>-N25</f>
        <v>0</v>
      </c>
      <c r="O55" s="243">
        <v>0</v>
      </c>
      <c r="P55" s="243">
        <f>P37</f>
        <v>-570995.66319499991</v>
      </c>
      <c r="Q55" s="243">
        <f t="shared" si="111"/>
        <v>-570995.66319499991</v>
      </c>
      <c r="R55" s="243">
        <f>-R25</f>
        <v>0</v>
      </c>
      <c r="S55" s="243">
        <f>-S25</f>
        <v>0</v>
      </c>
      <c r="T55" s="243">
        <f>-T25</f>
        <v>0</v>
      </c>
      <c r="U55" s="243">
        <f>-U25</f>
        <v>-139883.25164999996</v>
      </c>
      <c r="V55" s="243">
        <f t="shared" si="112"/>
        <v>-139883.25164999996</v>
      </c>
      <c r="W55" s="243">
        <f>-W25</f>
        <v>3281.96657</v>
      </c>
      <c r="X55" s="243">
        <f>-X25</f>
        <v>-51290.553250000004</v>
      </c>
      <c r="Y55" s="243">
        <v>-4284.1160600000003</v>
      </c>
      <c r="Z55" s="243">
        <v>66497.116010000012</v>
      </c>
      <c r="AA55" s="243">
        <f t="shared" si="113"/>
        <v>14204.413270000005</v>
      </c>
      <c r="AB55" s="243">
        <f>-AB25</f>
        <v>0</v>
      </c>
    </row>
    <row r="56" spans="1:28">
      <c r="A56" s="244" t="str">
        <f>A24</f>
        <v>(23)</v>
      </c>
      <c r="B56" s="245" t="s">
        <v>488</v>
      </c>
      <c r="C56" s="246">
        <f t="shared" si="114"/>
        <v>-65422.506280000001</v>
      </c>
      <c r="D56" s="246">
        <f t="shared" si="114"/>
        <v>0</v>
      </c>
      <c r="E56" s="246">
        <f t="shared" si="114"/>
        <v>2900</v>
      </c>
      <c r="F56" s="246">
        <f t="shared" ref="F56:L56" si="116">F38</f>
        <v>0</v>
      </c>
      <c r="G56" s="246">
        <f t="shared" si="116"/>
        <v>-62522.506280000001</v>
      </c>
      <c r="H56" s="246">
        <f t="shared" si="116"/>
        <v>-1556.7655</v>
      </c>
      <c r="I56" s="246">
        <f t="shared" si="116"/>
        <v>3.0750900000000456</v>
      </c>
      <c r="J56" s="246">
        <f t="shared" si="116"/>
        <v>0</v>
      </c>
      <c r="K56" s="246">
        <f t="shared" si="116"/>
        <v>0</v>
      </c>
      <c r="L56" s="246">
        <f t="shared" si="116"/>
        <v>-1553.6904099999999</v>
      </c>
      <c r="M56" s="246">
        <f>-M24</f>
        <v>0</v>
      </c>
      <c r="N56" s="246">
        <f>-N24</f>
        <v>-2827.3880199999999</v>
      </c>
      <c r="O56" s="246">
        <v>-23070.366370000003</v>
      </c>
      <c r="P56" s="246">
        <f>P38</f>
        <v>0</v>
      </c>
      <c r="Q56" s="246">
        <f t="shared" si="111"/>
        <v>-25897.754390000002</v>
      </c>
      <c r="R56" s="246">
        <f>-R24</f>
        <v>0</v>
      </c>
      <c r="S56" s="246">
        <f>-S24</f>
        <v>0</v>
      </c>
      <c r="T56" s="246">
        <f>-T24</f>
        <v>0</v>
      </c>
      <c r="U56" s="246">
        <f>-U24</f>
        <v>0</v>
      </c>
      <c r="V56" s="246">
        <f t="shared" si="112"/>
        <v>0</v>
      </c>
      <c r="W56" s="246">
        <f>-W24</f>
        <v>0</v>
      </c>
      <c r="X56" s="246">
        <f>-X24</f>
        <v>0</v>
      </c>
      <c r="Y56" s="246">
        <v>0</v>
      </c>
      <c r="Z56" s="246">
        <v>0</v>
      </c>
      <c r="AA56" s="246">
        <f t="shared" si="113"/>
        <v>0</v>
      </c>
      <c r="AB56" s="246">
        <f>-AB24</f>
        <v>0</v>
      </c>
    </row>
    <row r="57" spans="1:28">
      <c r="A57" s="241" t="str">
        <f>A23</f>
        <v>(22)</v>
      </c>
      <c r="B57" s="242" t="s">
        <v>500</v>
      </c>
      <c r="C57" s="243">
        <f t="shared" si="114"/>
        <v>-18241.117055465995</v>
      </c>
      <c r="D57" s="243">
        <f t="shared" si="114"/>
        <v>-27.856729533999896</v>
      </c>
      <c r="E57" s="243">
        <f t="shared" si="114"/>
        <v>0</v>
      </c>
      <c r="F57" s="243">
        <f t="shared" ref="F57:K57" si="117">F39</f>
        <v>-425.52982046601392</v>
      </c>
      <c r="G57" s="243">
        <f t="shared" si="117"/>
        <v>-18694.503605466009</v>
      </c>
      <c r="H57" s="243">
        <f t="shared" si="117"/>
        <v>-21.018909999999998</v>
      </c>
      <c r="I57" s="243">
        <f t="shared" si="117"/>
        <v>27.884129999998805</v>
      </c>
      <c r="J57" s="243">
        <f t="shared" si="117"/>
        <v>-21.526929999999702</v>
      </c>
      <c r="K57" s="243">
        <f t="shared" si="117"/>
        <v>8927.5801500000052</v>
      </c>
      <c r="L57" s="243">
        <f>L39</f>
        <v>8912.9184400000049</v>
      </c>
      <c r="M57" s="243">
        <f>-M23</f>
        <v>3637.6453600000023</v>
      </c>
      <c r="N57" s="243">
        <f>-N23</f>
        <v>9897.7301300000072</v>
      </c>
      <c r="O57" s="243">
        <v>10978.413089999915</v>
      </c>
      <c r="P57" s="243">
        <f>P39</f>
        <v>48855.87923000002</v>
      </c>
      <c r="Q57" s="243">
        <f t="shared" si="111"/>
        <v>73369.667809999941</v>
      </c>
      <c r="R57" s="243">
        <f>-R23</f>
        <v>-1113.128825</v>
      </c>
      <c r="S57" s="243">
        <f>-S23</f>
        <v>-907.87117499999999</v>
      </c>
      <c r="T57" s="243">
        <f>-T23</f>
        <v>1113.6231649999995</v>
      </c>
      <c r="U57" s="243">
        <f>-U23</f>
        <v>-120.91361000000597</v>
      </c>
      <c r="V57" s="243">
        <f t="shared" si="112"/>
        <v>-1028.2904450000065</v>
      </c>
      <c r="W57" s="243">
        <f>-W23</f>
        <v>12446.651549999846</v>
      </c>
      <c r="X57" s="243">
        <f>-X23</f>
        <v>-24.964399999971647</v>
      </c>
      <c r="Y57" s="243">
        <v>8146.3034399999888</v>
      </c>
      <c r="Z57" s="243">
        <v>2850.5192400000014</v>
      </c>
      <c r="AA57" s="243">
        <f t="shared" si="113"/>
        <v>23418.509829999864</v>
      </c>
      <c r="AB57" s="243">
        <f>-AB23</f>
        <v>-1908.4741099999992</v>
      </c>
    </row>
    <row r="58" spans="1:28">
      <c r="A58" s="244" t="s">
        <v>460</v>
      </c>
      <c r="B58" s="245" t="s">
        <v>620</v>
      </c>
      <c r="C58" s="246">
        <v>-16906.351859999999</v>
      </c>
      <c r="D58" s="246">
        <v>25976.304579999996</v>
      </c>
      <c r="E58" s="246">
        <v>-25921.225780000001</v>
      </c>
      <c r="F58" s="246">
        <v>26048.058140000001</v>
      </c>
      <c r="G58" s="246">
        <v>9196.7850799999997</v>
      </c>
      <c r="H58" s="246">
        <v>3135.1157100000009</v>
      </c>
      <c r="I58" s="246">
        <v>99307.952430000019</v>
      </c>
      <c r="J58" s="246">
        <v>28089.459149999981</v>
      </c>
      <c r="K58" s="246">
        <v>-23807.475569999995</v>
      </c>
      <c r="L58" s="246">
        <f>SUM(H58:K58)</f>
        <v>106725.05172</v>
      </c>
      <c r="M58" s="246">
        <v>-20112.03054</v>
      </c>
      <c r="N58" s="246">
        <v>0</v>
      </c>
      <c r="O58" s="246">
        <v>0</v>
      </c>
      <c r="P58" s="246">
        <v>0</v>
      </c>
      <c r="Q58" s="246">
        <f t="shared" si="111"/>
        <v>-20112.03054</v>
      </c>
      <c r="R58" s="246">
        <v>0</v>
      </c>
      <c r="S58" s="246">
        <v>0</v>
      </c>
      <c r="T58" s="246">
        <v>0</v>
      </c>
      <c r="U58" s="246">
        <v>0</v>
      </c>
      <c r="V58" s="246">
        <f t="shared" si="112"/>
        <v>0</v>
      </c>
      <c r="W58" s="246">
        <v>0</v>
      </c>
      <c r="X58" s="246">
        <v>0</v>
      </c>
      <c r="Y58" s="246">
        <v>0</v>
      </c>
      <c r="Z58" s="246">
        <v>0</v>
      </c>
      <c r="AA58" s="246">
        <f t="shared" si="113"/>
        <v>0</v>
      </c>
      <c r="AB58" s="246">
        <v>0</v>
      </c>
    </row>
    <row r="59" spans="1:28">
      <c r="A59" s="241" t="s">
        <v>460</v>
      </c>
      <c r="B59" s="242" t="s">
        <v>501</v>
      </c>
      <c r="C59" s="243">
        <v>-5224.8367400000006</v>
      </c>
      <c r="D59" s="243">
        <v>-2757.0524099999998</v>
      </c>
      <c r="E59" s="243">
        <v>936.85096000000067</v>
      </c>
      <c r="F59" s="243">
        <v>4460.1679400000003</v>
      </c>
      <c r="G59" s="243">
        <v>-2584.870249999999</v>
      </c>
      <c r="H59" s="243">
        <v>8001.6613399999997</v>
      </c>
      <c r="I59" s="243">
        <v>-168.64737</v>
      </c>
      <c r="J59" s="243">
        <v>-3475.5223300000016</v>
      </c>
      <c r="K59" s="243">
        <v>-14071.876769999999</v>
      </c>
      <c r="L59" s="243">
        <f t="shared" ref="L59:L63" si="118">SUM(H59:K59)</f>
        <v>-9714.3851300000006</v>
      </c>
      <c r="M59" s="243">
        <v>5044.4621099999995</v>
      </c>
      <c r="N59" s="243">
        <v>0</v>
      </c>
      <c r="O59" s="243">
        <v>0</v>
      </c>
      <c r="P59" s="243">
        <v>0</v>
      </c>
      <c r="Q59" s="243">
        <f t="shared" si="111"/>
        <v>5044.4621099999995</v>
      </c>
      <c r="R59" s="243">
        <v>0</v>
      </c>
      <c r="S59" s="243">
        <v>0</v>
      </c>
      <c r="T59" s="243">
        <v>0</v>
      </c>
      <c r="U59" s="243">
        <v>0</v>
      </c>
      <c r="V59" s="243">
        <f t="shared" si="112"/>
        <v>0</v>
      </c>
      <c r="W59" s="243">
        <v>0</v>
      </c>
      <c r="X59" s="243">
        <v>0</v>
      </c>
      <c r="Y59" s="243">
        <v>0</v>
      </c>
      <c r="Z59" s="243">
        <v>0</v>
      </c>
      <c r="AA59" s="243">
        <f t="shared" si="113"/>
        <v>0</v>
      </c>
      <c r="AB59" s="243">
        <v>0</v>
      </c>
    </row>
    <row r="60" spans="1:28">
      <c r="A60" s="244" t="s">
        <v>460</v>
      </c>
      <c r="B60" s="245" t="s">
        <v>621</v>
      </c>
      <c r="C60" s="246">
        <v>-49502.866740000005</v>
      </c>
      <c r="D60" s="246">
        <v>0</v>
      </c>
      <c r="E60" s="246">
        <v>0</v>
      </c>
      <c r="F60" s="246">
        <v>-1707.7908900000052</v>
      </c>
      <c r="G60" s="246">
        <v>-51210.71342</v>
      </c>
      <c r="H60" s="246">
        <v>0</v>
      </c>
      <c r="I60" s="246">
        <v>0</v>
      </c>
      <c r="J60" s="246">
        <v>0</v>
      </c>
      <c r="K60" s="246">
        <v>0</v>
      </c>
      <c r="L60" s="246">
        <f t="shared" si="118"/>
        <v>0</v>
      </c>
      <c r="M60" s="246">
        <v>0</v>
      </c>
      <c r="N60" s="246">
        <v>0</v>
      </c>
      <c r="O60" s="246">
        <v>0</v>
      </c>
      <c r="P60" s="246">
        <v>0</v>
      </c>
      <c r="Q60" s="246">
        <f t="shared" si="111"/>
        <v>0</v>
      </c>
      <c r="R60" s="246">
        <v>0</v>
      </c>
      <c r="S60" s="246">
        <v>0</v>
      </c>
      <c r="T60" s="246">
        <v>0</v>
      </c>
      <c r="U60" s="246">
        <v>0</v>
      </c>
      <c r="V60" s="246">
        <f t="shared" si="112"/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f t="shared" si="113"/>
        <v>0</v>
      </c>
      <c r="AB60" s="246">
        <v>0</v>
      </c>
    </row>
    <row r="61" spans="1:28">
      <c r="A61" s="241" t="s">
        <v>460</v>
      </c>
      <c r="B61" s="242" t="s">
        <v>608</v>
      </c>
      <c r="C61" s="243">
        <v>0</v>
      </c>
      <c r="D61" s="243">
        <v>0</v>
      </c>
      <c r="E61" s="243">
        <v>0</v>
      </c>
      <c r="F61" s="243">
        <v>0</v>
      </c>
      <c r="G61" s="243">
        <v>0</v>
      </c>
      <c r="H61" s="243">
        <v>0</v>
      </c>
      <c r="I61" s="243">
        <v>-31306.810175000002</v>
      </c>
      <c r="J61" s="243">
        <v>1710.3281000000061</v>
      </c>
      <c r="K61" s="243">
        <v>1969.8641549999993</v>
      </c>
      <c r="L61" s="243">
        <f t="shared" si="118"/>
        <v>-27626.617919999997</v>
      </c>
      <c r="M61" s="243">
        <v>1854.6633900000002</v>
      </c>
      <c r="N61" s="243">
        <v>1728.8941299999997</v>
      </c>
      <c r="O61" s="243">
        <v>8129.1534800000009</v>
      </c>
      <c r="P61" s="243">
        <v>15458.610329999998</v>
      </c>
      <c r="Q61" s="243">
        <f t="shared" si="111"/>
        <v>27171.321329999999</v>
      </c>
      <c r="R61" s="243">
        <v>455.29629</v>
      </c>
      <c r="S61" s="243">
        <v>0</v>
      </c>
      <c r="T61" s="243">
        <v>0</v>
      </c>
      <c r="U61" s="243">
        <v>0</v>
      </c>
      <c r="V61" s="243">
        <f t="shared" si="112"/>
        <v>455.29629</v>
      </c>
      <c r="W61" s="243">
        <v>0</v>
      </c>
      <c r="X61" s="243">
        <v>0</v>
      </c>
      <c r="Y61" s="243">
        <v>0</v>
      </c>
      <c r="Z61" s="243">
        <v>1404.24305</v>
      </c>
      <c r="AA61" s="243">
        <f t="shared" si="113"/>
        <v>1404.24305</v>
      </c>
      <c r="AB61" s="243">
        <v>-94</v>
      </c>
    </row>
    <row r="62" spans="1:28">
      <c r="A62" s="244" t="s">
        <v>460</v>
      </c>
      <c r="B62" s="245" t="s">
        <v>645</v>
      </c>
      <c r="C62" s="246">
        <v>0</v>
      </c>
      <c r="D62" s="246">
        <v>0</v>
      </c>
      <c r="E62" s="246">
        <v>0</v>
      </c>
      <c r="F62" s="246">
        <v>0</v>
      </c>
      <c r="G62" s="246">
        <v>0</v>
      </c>
      <c r="H62" s="246">
        <v>0</v>
      </c>
      <c r="I62" s="246">
        <v>0</v>
      </c>
      <c r="J62" s="246">
        <v>0</v>
      </c>
      <c r="K62" s="246">
        <v>2461.5093999999999</v>
      </c>
      <c r="L62" s="246">
        <f>SUM(H62:K62)</f>
        <v>2461.5093999999999</v>
      </c>
      <c r="M62" s="246">
        <v>0</v>
      </c>
      <c r="N62" s="246">
        <v>8458.94974</v>
      </c>
      <c r="O62" s="246">
        <v>2299.0190669999993</v>
      </c>
      <c r="P62" s="246">
        <v>13770.729604833394</v>
      </c>
      <c r="Q62" s="246">
        <f t="shared" si="111"/>
        <v>24528.698411833393</v>
      </c>
      <c r="R62" s="246">
        <v>503.49203</v>
      </c>
      <c r="S62" s="246">
        <v>0</v>
      </c>
      <c r="T62" s="246">
        <v>0</v>
      </c>
      <c r="U62" s="246">
        <v>0</v>
      </c>
      <c r="V62" s="246">
        <f t="shared" si="112"/>
        <v>503.49203</v>
      </c>
      <c r="W62" s="246">
        <v>0</v>
      </c>
      <c r="X62" s="246">
        <v>0</v>
      </c>
      <c r="Y62" s="246">
        <v>0</v>
      </c>
      <c r="Z62" s="246">
        <v>0</v>
      </c>
      <c r="AA62" s="246">
        <f t="shared" si="113"/>
        <v>0</v>
      </c>
      <c r="AB62" s="246">
        <v>0</v>
      </c>
    </row>
    <row r="63" spans="1:28">
      <c r="A63" s="241" t="s">
        <v>460</v>
      </c>
      <c r="B63" s="242" t="s">
        <v>622</v>
      </c>
      <c r="C63" s="243">
        <v>0</v>
      </c>
      <c r="D63" s="243">
        <v>0</v>
      </c>
      <c r="E63" s="243">
        <v>0</v>
      </c>
      <c r="F63" s="243">
        <v>0</v>
      </c>
      <c r="G63" s="243">
        <v>0</v>
      </c>
      <c r="H63" s="243">
        <v>0</v>
      </c>
      <c r="I63" s="243">
        <v>0</v>
      </c>
      <c r="J63" s="243">
        <v>0</v>
      </c>
      <c r="K63" s="243">
        <v>9379.5</v>
      </c>
      <c r="L63" s="243">
        <f t="shared" si="118"/>
        <v>9379.5</v>
      </c>
      <c r="M63" s="243">
        <v>20112.03054</v>
      </c>
      <c r="N63" s="243">
        <v>0</v>
      </c>
      <c r="O63" s="243">
        <v>0</v>
      </c>
      <c r="P63" s="243">
        <v>0</v>
      </c>
      <c r="Q63" s="243">
        <f t="shared" si="111"/>
        <v>20112.03054</v>
      </c>
      <c r="R63" s="243">
        <v>0</v>
      </c>
      <c r="S63" s="243">
        <v>0</v>
      </c>
      <c r="T63" s="243">
        <v>0</v>
      </c>
      <c r="U63" s="243">
        <v>0</v>
      </c>
      <c r="V63" s="243">
        <f t="shared" si="112"/>
        <v>0</v>
      </c>
      <c r="W63" s="243">
        <v>0</v>
      </c>
      <c r="X63" s="243">
        <v>0</v>
      </c>
      <c r="Y63" s="243">
        <v>0</v>
      </c>
      <c r="Z63" s="243">
        <v>0</v>
      </c>
      <c r="AA63" s="243">
        <f t="shared" si="113"/>
        <v>0</v>
      </c>
      <c r="AB63" s="243">
        <v>0</v>
      </c>
    </row>
    <row r="64" spans="1:28">
      <c r="A64" s="244" t="s">
        <v>460</v>
      </c>
      <c r="B64" s="245" t="s">
        <v>640</v>
      </c>
      <c r="C64" s="246">
        <v>0</v>
      </c>
      <c r="D64" s="246">
        <v>0</v>
      </c>
      <c r="E64" s="246">
        <v>0</v>
      </c>
      <c r="F64" s="246">
        <v>0</v>
      </c>
      <c r="G64" s="246">
        <v>0</v>
      </c>
      <c r="H64" s="246">
        <v>0</v>
      </c>
      <c r="I64" s="246">
        <v>0</v>
      </c>
      <c r="J64" s="246">
        <v>0</v>
      </c>
      <c r="K64" s="246">
        <v>0</v>
      </c>
      <c r="L64" s="246">
        <v>0</v>
      </c>
      <c r="M64" s="246">
        <v>0</v>
      </c>
      <c r="N64" s="246">
        <v>0</v>
      </c>
      <c r="O64" s="246">
        <v>0</v>
      </c>
      <c r="P64" s="246">
        <v>10014.580561317998</v>
      </c>
      <c r="Q64" s="246">
        <f t="shared" si="111"/>
        <v>10014.580561317998</v>
      </c>
      <c r="R64" s="246">
        <v>0</v>
      </c>
      <c r="S64" s="246">
        <v>0</v>
      </c>
      <c r="T64" s="246">
        <v>0</v>
      </c>
      <c r="U64" s="246">
        <v>0</v>
      </c>
      <c r="V64" s="246">
        <f t="shared" si="112"/>
        <v>0</v>
      </c>
      <c r="W64" s="246">
        <v>0</v>
      </c>
      <c r="X64" s="246">
        <v>0</v>
      </c>
      <c r="Y64" s="246">
        <v>0</v>
      </c>
      <c r="Z64" s="246">
        <v>0</v>
      </c>
      <c r="AA64" s="246">
        <f t="shared" si="113"/>
        <v>0</v>
      </c>
      <c r="AB64" s="246">
        <v>0</v>
      </c>
    </row>
    <row r="65" spans="1:28">
      <c r="A65" s="241" t="str">
        <f>A18</f>
        <v>(17)</v>
      </c>
      <c r="B65" s="242" t="s">
        <v>491</v>
      </c>
      <c r="C65" s="243">
        <f>C41</f>
        <v>2282.9918600000001</v>
      </c>
      <c r="D65" s="243">
        <f>D41</f>
        <v>2282.9918700000007</v>
      </c>
      <c r="E65" s="243">
        <f>E41</f>
        <v>2282.9918699999989</v>
      </c>
      <c r="F65" s="243">
        <f>F41</f>
        <v>-782.94860999999946</v>
      </c>
      <c r="G65" s="243">
        <f>G41</f>
        <v>6066.0269900000003</v>
      </c>
      <c r="H65" s="243">
        <f t="shared" ref="H65:L65" si="119">H41</f>
        <v>1673.9160100000001</v>
      </c>
      <c r="I65" s="243">
        <f t="shared" si="119"/>
        <v>1535.2282499999994</v>
      </c>
      <c r="J65" s="243">
        <f t="shared" si="119"/>
        <v>1552.0988900000007</v>
      </c>
      <c r="K65" s="243">
        <f t="shared" si="119"/>
        <v>1552.0988900000002</v>
      </c>
      <c r="L65" s="243">
        <f t="shared" si="119"/>
        <v>6313.3420400000005</v>
      </c>
      <c r="M65" s="243">
        <f t="shared" ref="M65:N65" si="120">M41</f>
        <v>1518.3576099999998</v>
      </c>
      <c r="N65" s="243">
        <f t="shared" si="120"/>
        <v>1424.67228</v>
      </c>
      <c r="O65" s="243">
        <v>1440.3280199999999</v>
      </c>
      <c r="P65" s="243">
        <f>P41</f>
        <v>1440.3280199999999</v>
      </c>
      <c r="Q65" s="243">
        <f t="shared" si="111"/>
        <v>5823.6859299999996</v>
      </c>
      <c r="R65" s="243">
        <f t="shared" ref="R65:S65" si="121">R41</f>
        <v>638.03693999999996</v>
      </c>
      <c r="S65" s="243">
        <f t="shared" si="121"/>
        <v>551.96306000000004</v>
      </c>
      <c r="T65" s="243">
        <f t="shared" ref="T65:U65" si="122">T41</f>
        <v>2298.7126600000001</v>
      </c>
      <c r="U65" s="243">
        <f t="shared" si="122"/>
        <v>2318.4541999999992</v>
      </c>
      <c r="V65" s="243">
        <f t="shared" si="112"/>
        <v>5807.1668599999994</v>
      </c>
      <c r="W65" s="243">
        <f t="shared" ref="W65:X65" si="123">W41</f>
        <v>2268.0530299999996</v>
      </c>
      <c r="X65" s="243">
        <f t="shared" si="123"/>
        <v>2060.7014200000008</v>
      </c>
      <c r="Y65" s="243">
        <v>2083.3464799999992</v>
      </c>
      <c r="Z65" s="243">
        <v>2083.3464799999992</v>
      </c>
      <c r="AA65" s="243">
        <f t="shared" si="113"/>
        <v>8495.4474099999989</v>
      </c>
      <c r="AB65" s="243">
        <f t="shared" ref="AB65" si="124">AB41</f>
        <v>1742.1310900000001</v>
      </c>
    </row>
    <row r="66" spans="1:28">
      <c r="A66" s="244" t="str">
        <f>A15</f>
        <v>(14)</v>
      </c>
      <c r="B66" s="245" t="s">
        <v>492</v>
      </c>
      <c r="C66" s="246">
        <v>2291.7283432500003</v>
      </c>
      <c r="D66" s="246">
        <v>0</v>
      </c>
      <c r="E66" s="246">
        <v>0</v>
      </c>
      <c r="F66" s="246">
        <v>0</v>
      </c>
      <c r="G66" s="246">
        <v>2291.7283432500003</v>
      </c>
      <c r="H66" s="246">
        <v>0</v>
      </c>
      <c r="I66" s="246">
        <v>0</v>
      </c>
      <c r="J66" s="246">
        <v>0</v>
      </c>
      <c r="K66" s="246">
        <v>0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6">
        <f t="shared" si="111"/>
        <v>0</v>
      </c>
      <c r="R66" s="246">
        <v>0</v>
      </c>
      <c r="S66" s="246">
        <v>0</v>
      </c>
      <c r="T66" s="246">
        <v>0</v>
      </c>
      <c r="U66" s="246">
        <v>0</v>
      </c>
      <c r="V66" s="246">
        <f t="shared" si="112"/>
        <v>0</v>
      </c>
      <c r="W66" s="246">
        <v>0</v>
      </c>
      <c r="X66" s="246">
        <v>0</v>
      </c>
      <c r="Y66" s="246">
        <v>0</v>
      </c>
      <c r="Z66" s="246">
        <v>0</v>
      </c>
      <c r="AA66" s="246">
        <f t="shared" si="113"/>
        <v>0</v>
      </c>
      <c r="AB66" s="246">
        <v>0</v>
      </c>
    </row>
    <row r="67" spans="1:28">
      <c r="A67" s="241" t="str">
        <f>A15</f>
        <v>(14)</v>
      </c>
      <c r="B67" s="242" t="s">
        <v>493</v>
      </c>
      <c r="C67" s="243">
        <v>29661.840359999998</v>
      </c>
      <c r="D67" s="243">
        <v>0</v>
      </c>
      <c r="E67" s="243">
        <v>0</v>
      </c>
      <c r="F67" s="243">
        <v>0</v>
      </c>
      <c r="G67" s="243">
        <v>29661.840359999998</v>
      </c>
      <c r="H67" s="243">
        <v>0</v>
      </c>
      <c r="I67" s="243">
        <v>0</v>
      </c>
      <c r="J67" s="243">
        <v>0</v>
      </c>
      <c r="K67" s="243">
        <v>0</v>
      </c>
      <c r="L67" s="243">
        <v>0</v>
      </c>
      <c r="M67" s="243">
        <v>0</v>
      </c>
      <c r="N67" s="243">
        <v>0</v>
      </c>
      <c r="O67" s="243">
        <v>0</v>
      </c>
      <c r="P67" s="243">
        <v>0</v>
      </c>
      <c r="Q67" s="243">
        <f t="shared" si="111"/>
        <v>0</v>
      </c>
      <c r="R67" s="243">
        <v>0</v>
      </c>
      <c r="S67" s="243">
        <v>0</v>
      </c>
      <c r="T67" s="243">
        <v>0</v>
      </c>
      <c r="U67" s="243">
        <v>0</v>
      </c>
      <c r="V67" s="243">
        <f t="shared" si="112"/>
        <v>0</v>
      </c>
      <c r="W67" s="243">
        <v>0</v>
      </c>
      <c r="X67" s="243">
        <v>0</v>
      </c>
      <c r="Y67" s="243">
        <v>0</v>
      </c>
      <c r="Z67" s="243">
        <v>0</v>
      </c>
      <c r="AA67" s="243">
        <f t="shared" si="113"/>
        <v>0</v>
      </c>
      <c r="AB67" s="243">
        <v>0</v>
      </c>
    </row>
    <row r="68" spans="1:28">
      <c r="A68" s="244" t="str">
        <f>A15</f>
        <v>(14)</v>
      </c>
      <c r="B68" s="245" t="s">
        <v>617</v>
      </c>
      <c r="C68" s="246">
        <f t="shared" ref="C68:E71" si="125">C44</f>
        <v>0</v>
      </c>
      <c r="D68" s="246">
        <f t="shared" si="125"/>
        <v>0</v>
      </c>
      <c r="E68" s="246">
        <f t="shared" si="125"/>
        <v>0</v>
      </c>
      <c r="F68" s="246">
        <f t="shared" ref="F68:L68" si="126">F44</f>
        <v>0</v>
      </c>
      <c r="G68" s="246">
        <f t="shared" si="126"/>
        <v>0</v>
      </c>
      <c r="H68" s="246">
        <f t="shared" si="126"/>
        <v>0</v>
      </c>
      <c r="I68" s="246">
        <f t="shared" si="126"/>
        <v>0</v>
      </c>
      <c r="J68" s="246">
        <f t="shared" si="126"/>
        <v>0</v>
      </c>
      <c r="K68" s="246">
        <f t="shared" si="126"/>
        <v>8188.39005</v>
      </c>
      <c r="L68" s="246">
        <f t="shared" si="126"/>
        <v>8188.39005</v>
      </c>
      <c r="M68" s="246">
        <f t="shared" ref="M68:N68" si="127">M44</f>
        <v>1409.4021699999998</v>
      </c>
      <c r="N68" s="246">
        <f t="shared" si="127"/>
        <v>954.10195999999996</v>
      </c>
      <c r="O68" s="246">
        <v>9982.32</v>
      </c>
      <c r="P68" s="246">
        <v>0</v>
      </c>
      <c r="Q68" s="246">
        <f t="shared" si="111"/>
        <v>12345.824129999999</v>
      </c>
      <c r="R68" s="246">
        <f t="shared" ref="R68:S68" si="128">R44</f>
        <v>0</v>
      </c>
      <c r="S68" s="246">
        <f t="shared" si="128"/>
        <v>0</v>
      </c>
      <c r="T68" s="246">
        <f>T44</f>
        <v>2023.4991</v>
      </c>
      <c r="U68" s="246">
        <f>U44</f>
        <v>2990.9999399999997</v>
      </c>
      <c r="V68" s="246">
        <f t="shared" si="112"/>
        <v>5014.4990399999997</v>
      </c>
      <c r="W68" s="246">
        <f t="shared" ref="W68:X68" si="129">W44</f>
        <v>0</v>
      </c>
      <c r="X68" s="246">
        <f t="shared" si="129"/>
        <v>0</v>
      </c>
      <c r="Y68" s="246">
        <v>0</v>
      </c>
      <c r="Z68" s="246">
        <v>0</v>
      </c>
      <c r="AA68" s="246">
        <f t="shared" si="113"/>
        <v>0</v>
      </c>
      <c r="AB68" s="246">
        <f t="shared" ref="AB68" si="130">AB44</f>
        <v>0</v>
      </c>
    </row>
    <row r="69" spans="1:28">
      <c r="A69" s="241" t="str">
        <f>A14</f>
        <v>(13)</v>
      </c>
      <c r="B69" s="242" t="s">
        <v>494</v>
      </c>
      <c r="C69" s="243">
        <f t="shared" si="125"/>
        <v>106.64367</v>
      </c>
      <c r="D69" s="243">
        <f t="shared" si="125"/>
        <v>150.16011000000003</v>
      </c>
      <c r="E69" s="243">
        <f t="shared" si="125"/>
        <v>181.49354999999997</v>
      </c>
      <c r="F69" s="243">
        <f t="shared" ref="F69:L71" si="131">F45</f>
        <v>107.64130999999998</v>
      </c>
      <c r="G69" s="243">
        <f t="shared" si="131"/>
        <v>545.93863999999996</v>
      </c>
      <c r="H69" s="243">
        <f t="shared" si="131"/>
        <v>104.49135000000001</v>
      </c>
      <c r="I69" s="243">
        <f t="shared" si="131"/>
        <v>111.29597999999999</v>
      </c>
      <c r="J69" s="243">
        <f t="shared" si="131"/>
        <v>122.32884999999999</v>
      </c>
      <c r="K69" s="243">
        <f t="shared" si="131"/>
        <v>133.91293000000002</v>
      </c>
      <c r="L69" s="243">
        <f t="shared" si="131"/>
        <v>472.02911</v>
      </c>
      <c r="M69" s="243">
        <f t="shared" ref="M69:N69" si="132">M45</f>
        <v>129.37085000000002</v>
      </c>
      <c r="N69" s="243">
        <f t="shared" si="132"/>
        <v>131.09668999999997</v>
      </c>
      <c r="O69" s="243">
        <v>133.03230000000002</v>
      </c>
      <c r="P69" s="243">
        <f>P45</f>
        <v>148.5295999999999</v>
      </c>
      <c r="Q69" s="243">
        <f t="shared" si="111"/>
        <v>542.02943999999991</v>
      </c>
      <c r="R69" s="243">
        <f t="shared" ref="R69:S69" si="133">R45</f>
        <v>161.52017000000498</v>
      </c>
      <c r="S69" s="243">
        <f t="shared" si="133"/>
        <v>153.03966999999702</v>
      </c>
      <c r="T69" s="243">
        <f t="shared" ref="T69:U69" si="134">T45</f>
        <v>158.38117000002035</v>
      </c>
      <c r="U69" s="243">
        <f t="shared" si="134"/>
        <v>386.77870999997396</v>
      </c>
      <c r="V69" s="243">
        <f t="shared" si="112"/>
        <v>859.7197199999963</v>
      </c>
      <c r="W69" s="243">
        <f t="shared" ref="W69:X69" si="135">W45</f>
        <v>192.18826000000001</v>
      </c>
      <c r="X69" s="243">
        <f t="shared" si="135"/>
        <v>190.04879</v>
      </c>
      <c r="Y69" s="243">
        <v>850.01188000000002</v>
      </c>
      <c r="Z69" s="243">
        <v>500.11990999999989</v>
      </c>
      <c r="AA69" s="243">
        <f t="shared" si="113"/>
        <v>1732.3688399999999</v>
      </c>
      <c r="AB69" s="243">
        <f t="shared" ref="AB69" si="136">AB45</f>
        <v>284</v>
      </c>
    </row>
    <row r="70" spans="1:28">
      <c r="A70" s="244" t="str">
        <f>A14</f>
        <v>(13)</v>
      </c>
      <c r="B70" s="245" t="s">
        <v>618</v>
      </c>
      <c r="C70" s="246">
        <f t="shared" si="125"/>
        <v>0</v>
      </c>
      <c r="D70" s="246">
        <f t="shared" si="125"/>
        <v>0</v>
      </c>
      <c r="E70" s="246">
        <f t="shared" si="125"/>
        <v>0</v>
      </c>
      <c r="F70" s="246">
        <f t="shared" ref="F70:K70" si="137">F46</f>
        <v>0</v>
      </c>
      <c r="G70" s="246">
        <f t="shared" si="137"/>
        <v>0</v>
      </c>
      <c r="H70" s="246">
        <f t="shared" si="137"/>
        <v>0</v>
      </c>
      <c r="I70" s="246">
        <f t="shared" si="137"/>
        <v>0</v>
      </c>
      <c r="J70" s="246">
        <f t="shared" si="137"/>
        <v>0</v>
      </c>
      <c r="K70" s="246">
        <f t="shared" si="137"/>
        <v>-27252</v>
      </c>
      <c r="L70" s="246">
        <f>L46</f>
        <v>-27252</v>
      </c>
      <c r="M70" s="246">
        <f t="shared" ref="M70:N70" si="138">M46</f>
        <v>0</v>
      </c>
      <c r="N70" s="246">
        <f t="shared" si="138"/>
        <v>0</v>
      </c>
      <c r="O70" s="246">
        <v>0</v>
      </c>
      <c r="P70" s="246">
        <v>0</v>
      </c>
      <c r="Q70" s="246">
        <f t="shared" si="111"/>
        <v>0</v>
      </c>
      <c r="R70" s="246">
        <f t="shared" ref="R70:S70" si="139">R46</f>
        <v>0</v>
      </c>
      <c r="S70" s="246">
        <f t="shared" si="139"/>
        <v>0</v>
      </c>
      <c r="T70" s="246">
        <f t="shared" ref="T70:U70" si="140">T46</f>
        <v>0</v>
      </c>
      <c r="U70" s="246">
        <f t="shared" si="140"/>
        <v>0</v>
      </c>
      <c r="V70" s="246">
        <f t="shared" si="112"/>
        <v>0</v>
      </c>
      <c r="W70" s="246">
        <f t="shared" ref="W70:X70" si="141">W46</f>
        <v>0</v>
      </c>
      <c r="X70" s="246">
        <f t="shared" si="141"/>
        <v>0</v>
      </c>
      <c r="Y70" s="246">
        <v>0</v>
      </c>
      <c r="Z70" s="246">
        <v>0</v>
      </c>
      <c r="AA70" s="246">
        <f t="shared" si="113"/>
        <v>0</v>
      </c>
      <c r="AB70" s="246">
        <f t="shared" ref="AB70" si="142">AB46</f>
        <v>0</v>
      </c>
    </row>
    <row r="71" spans="1:28">
      <c r="A71" s="241" t="str">
        <f>A14</f>
        <v>(13)</v>
      </c>
      <c r="B71" s="242" t="s">
        <v>619</v>
      </c>
      <c r="C71" s="243">
        <f t="shared" si="125"/>
        <v>0</v>
      </c>
      <c r="D71" s="243">
        <f t="shared" si="125"/>
        <v>5382.9242800000002</v>
      </c>
      <c r="E71" s="243">
        <f t="shared" si="125"/>
        <v>1526</v>
      </c>
      <c r="F71" s="243">
        <f t="shared" si="131"/>
        <v>-5429.0839148450004</v>
      </c>
      <c r="G71" s="243">
        <f t="shared" si="131"/>
        <v>1479.8403651549997</v>
      </c>
      <c r="H71" s="243">
        <f t="shared" si="131"/>
        <v>0</v>
      </c>
      <c r="I71" s="243">
        <f t="shared" si="131"/>
        <v>0</v>
      </c>
      <c r="J71" s="243">
        <f t="shared" si="131"/>
        <v>0</v>
      </c>
      <c r="K71" s="243">
        <f t="shared" si="131"/>
        <v>0</v>
      </c>
      <c r="L71" s="243">
        <f t="shared" si="131"/>
        <v>0</v>
      </c>
      <c r="M71" s="243">
        <f t="shared" ref="M71:N71" si="143">M47</f>
        <v>0</v>
      </c>
      <c r="N71" s="243">
        <f t="shared" si="143"/>
        <v>0</v>
      </c>
      <c r="O71" s="243">
        <v>0</v>
      </c>
      <c r="P71" s="243">
        <v>0</v>
      </c>
      <c r="Q71" s="243">
        <f t="shared" si="111"/>
        <v>0</v>
      </c>
      <c r="R71" s="243">
        <f t="shared" ref="R71:S71" si="144">R47</f>
        <v>0</v>
      </c>
      <c r="S71" s="243">
        <f t="shared" si="144"/>
        <v>0</v>
      </c>
      <c r="T71" s="243">
        <f t="shared" ref="T71:U71" si="145">T47</f>
        <v>0</v>
      </c>
      <c r="U71" s="243">
        <f t="shared" si="145"/>
        <v>0</v>
      </c>
      <c r="V71" s="243">
        <f t="shared" si="112"/>
        <v>0</v>
      </c>
      <c r="W71" s="243">
        <f t="shared" ref="W71:X71" si="146">W47</f>
        <v>0</v>
      </c>
      <c r="X71" s="243">
        <f t="shared" si="146"/>
        <v>0</v>
      </c>
      <c r="Y71" s="243">
        <v>0</v>
      </c>
      <c r="Z71" s="243">
        <v>0</v>
      </c>
      <c r="AA71" s="243">
        <f t="shared" si="113"/>
        <v>0</v>
      </c>
      <c r="AB71" s="243">
        <f t="shared" ref="AB71" si="147">AB47</f>
        <v>0</v>
      </c>
    </row>
    <row r="72" spans="1:28">
      <c r="A72" s="234" t="s">
        <v>591</v>
      </c>
      <c r="B72" s="235" t="s">
        <v>502</v>
      </c>
      <c r="C72" s="247">
        <f t="shared" ref="C72" si="148">SUM(C52:C71)</f>
        <v>20538.856227165521</v>
      </c>
      <c r="D72" s="247">
        <f>SUM(D52:D71)</f>
        <v>20818.266009999887</v>
      </c>
      <c r="E72" s="247">
        <f t="shared" ref="E72:Q72" si="149">SUM(E52:E71)</f>
        <v>22340.034350000049</v>
      </c>
      <c r="F72" s="247">
        <f t="shared" si="149"/>
        <v>19374.90333515521</v>
      </c>
      <c r="G72" s="247">
        <f t="shared" si="149"/>
        <v>83072.004132320624</v>
      </c>
      <c r="H72" s="247">
        <f t="shared" si="149"/>
        <v>21144.767054999953</v>
      </c>
      <c r="I72" s="247">
        <f t="shared" si="149"/>
        <v>5724.4463949999481</v>
      </c>
      <c r="J72" s="247">
        <f t="shared" si="149"/>
        <v>11606.992110000188</v>
      </c>
      <c r="K72" s="247">
        <f t="shared" si="149"/>
        <v>2262.8895549998851</v>
      </c>
      <c r="L72" s="247">
        <f>SUM(L52:L71)</f>
        <v>40739.09511499996</v>
      </c>
      <c r="M72" s="247">
        <f t="shared" si="149"/>
        <v>8951.5527249999996</v>
      </c>
      <c r="N72" s="247">
        <f t="shared" si="149"/>
        <v>3776.8580650000235</v>
      </c>
      <c r="O72" s="247">
        <f t="shared" si="149"/>
        <v>20494.762077000061</v>
      </c>
      <c r="P72" s="247">
        <f t="shared" si="149"/>
        <v>23566.497113429876</v>
      </c>
      <c r="Q72" s="247">
        <f t="shared" si="149"/>
        <v>56789.669980430102</v>
      </c>
      <c r="R72" s="247">
        <f t="shared" ref="R72:S72" si="150">SUM(R52:R71)</f>
        <v>46150.764150000003</v>
      </c>
      <c r="S72" s="247">
        <f t="shared" si="150"/>
        <v>45664.619735000007</v>
      </c>
      <c r="T72" s="247">
        <f t="shared" ref="T72:W72" si="151">SUM(T52:T71)</f>
        <v>48693.887105000045</v>
      </c>
      <c r="U72" s="247">
        <f t="shared" si="151"/>
        <v>48935.559659999934</v>
      </c>
      <c r="V72" s="247">
        <f t="shared" si="151"/>
        <v>189444.83064999999</v>
      </c>
      <c r="W72" s="247">
        <f t="shared" si="151"/>
        <v>43489.943410000022</v>
      </c>
      <c r="X72" s="247">
        <f t="shared" ref="X72:Y72" si="152">SUM(X52:X71)</f>
        <v>26072.178779999995</v>
      </c>
      <c r="Y72" s="247">
        <f t="shared" si="152"/>
        <v>19757.867936299983</v>
      </c>
      <c r="Z72" s="247">
        <f t="shared" ref="Z72:AB72" si="153">SUM(Z52:Z71)</f>
        <v>8616.8595637000108</v>
      </c>
      <c r="AA72" s="247">
        <f t="shared" si="153"/>
        <v>97936.849689999974</v>
      </c>
      <c r="AB72" s="247">
        <f t="shared" si="153"/>
        <v>-1336.7616699999878</v>
      </c>
    </row>
    <row r="73" spans="1:28">
      <c r="A73" s="237" t="s">
        <v>495</v>
      </c>
      <c r="B73" s="202" t="s">
        <v>503</v>
      </c>
      <c r="C73" s="238">
        <f t="shared" ref="C73" si="154">ROUND(C72/C10,2)</f>
        <v>0.18</v>
      </c>
      <c r="D73" s="238">
        <f t="shared" ref="D73" si="155">ROUND(D72/D10,2)</f>
        <v>0.2</v>
      </c>
      <c r="E73" s="238">
        <f t="shared" ref="E73:Q73" si="156">ROUND(E72/E10,2)</f>
        <v>0.21</v>
      </c>
      <c r="F73" s="238">
        <f t="shared" si="156"/>
        <v>0.18</v>
      </c>
      <c r="G73" s="238">
        <f t="shared" si="156"/>
        <v>0.19</v>
      </c>
      <c r="H73" s="238">
        <f t="shared" si="156"/>
        <v>0.2</v>
      </c>
      <c r="I73" s="238">
        <f t="shared" si="156"/>
        <v>0.05</v>
      </c>
      <c r="J73" s="238">
        <f t="shared" si="156"/>
        <v>0.1</v>
      </c>
      <c r="K73" s="238">
        <f t="shared" si="156"/>
        <v>0.02</v>
      </c>
      <c r="L73" s="303">
        <f t="shared" si="156"/>
        <v>0.1</v>
      </c>
      <c r="M73" s="303">
        <f t="shared" si="156"/>
        <v>0.09</v>
      </c>
      <c r="N73" s="303">
        <f t="shared" si="156"/>
        <v>0.04</v>
      </c>
      <c r="O73" s="303">
        <f t="shared" si="156"/>
        <v>0.22</v>
      </c>
      <c r="P73" s="303">
        <f t="shared" si="156"/>
        <v>0.27</v>
      </c>
      <c r="Q73" s="303">
        <f t="shared" si="156"/>
        <v>0.15</v>
      </c>
      <c r="R73" s="303">
        <f t="shared" ref="R73:S73" si="157">ROUND(R72/R10,2)</f>
        <v>0.61</v>
      </c>
      <c r="S73" s="303">
        <f t="shared" si="157"/>
        <v>0.61</v>
      </c>
      <c r="T73" s="303">
        <f t="shared" ref="T73:W73" si="158">ROUND(T72/T10,2)</f>
        <v>0.62</v>
      </c>
      <c r="U73" s="303">
        <f t="shared" si="158"/>
        <v>0.59</v>
      </c>
      <c r="V73" s="303">
        <f t="shared" si="158"/>
        <v>0.6</v>
      </c>
      <c r="W73" s="238">
        <f t="shared" si="158"/>
        <v>0.53</v>
      </c>
      <c r="X73" s="238">
        <f t="shared" ref="X73:Y73" si="159">ROUND(X72/X10,2)</f>
        <v>0.33</v>
      </c>
      <c r="Y73" s="238">
        <f t="shared" si="159"/>
        <v>0.24</v>
      </c>
      <c r="Z73" s="238">
        <f t="shared" ref="Z73:AB73" si="160">ROUND(Z72/Z10,2)</f>
        <v>0.11</v>
      </c>
      <c r="AA73" s="310">
        <f t="shared" si="160"/>
        <v>0.3</v>
      </c>
      <c r="AB73" s="238">
        <f t="shared" si="160"/>
        <v>-0.02</v>
      </c>
    </row>
    <row r="75" spans="1:28">
      <c r="C75" s="210"/>
    </row>
  </sheetData>
  <pageMargins left="0.511811024" right="0.511811024" top="0.78740157499999996" bottom="0.78740157499999996" header="0.31496062000000002" footer="0.31496062000000002"/>
  <ignoredErrors>
    <ignoredError sqref="E20 E26 F20:F26 T4:T6 R4:S6 J26:K26 J27:J31 L4:L6 K20 J6:J25 J5 H26:I26 H20:I20 G20:G26 G3:Z3 G32:K34 H21:I25 G6:I19 G5:I5 K5 K21:K25 K7 G4:K4 M4:Q4 M5:Q5 K6 M6:Q6 K10:K13 K8:K9 G27:I31 K29:K31 K14:K19 K27:K28 G48:K57 G35:K47 G62:K62 G58:K61 U4:Z4 U5:Z5 U6:Z6 G64:K73 G63:K63 AB3 AB20 AB26" formulaRange="1"/>
    <ignoredError sqref="A2 A32:A33 A3:A31 A34:A47 A48:A49 A72:A73 A58:A64" numberStoredAsText="1"/>
    <ignoredError sqref="M63:Z63 L64:Z73 U21:Z25 U26:Z26 U20:Z20 U27:Z28 U14:Z19 U29:Z31 U8:Z9 U10:Z13 U7:Z7 T32:Z34 Q21:Q25 Q26 Q20 M58:Z61 L62:Z62 M35:Z47 L48:Z57 M27:Q28 M21:N25 M14:Q19 L29:Q31 M8:Q9 L10:Q13 L7:Q7 L26 L20 L32:Q34 L8:L9 L14:L19 L21:L25 L27:L28 L35:L47 L58:L61 M20:N20 M26:N26 O20:P26 R7:S34 T7:T31 L63" formula="1" formulaRange="1"/>
    <ignoredError sqref="AA48:AA57 AA64:AA73 AA63 AA8:AA9 AA32:AA34 AA62 AA58:AA61 AA35:AA47 AA7 AA21:AA25 AA10:AA13 AA29:AA31 AA14:AA19 AA27:AA28 AA20 AA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BW71"/>
  <sheetViews>
    <sheetView showGridLines="0" zoomScale="74" zoomScaleNormal="74" workbookViewId="0">
      <pane xSplit="1" ySplit="3" topLeftCell="BB49" activePane="bottomRight" state="frozen"/>
      <selection pane="topRight" activeCell="B1" sqref="B1"/>
      <selection pane="bottomLeft" activeCell="A4" sqref="A4"/>
      <selection pane="bottomRight" activeCell="BW68" sqref="BW68"/>
    </sheetView>
  </sheetViews>
  <sheetFormatPr defaultColWidth="8.7265625" defaultRowHeight="13" outlineLevelCol="1"/>
  <cols>
    <col min="1" max="1" width="45" style="20" customWidth="1"/>
    <col min="2" max="2" width="1.81640625" style="20" customWidth="1"/>
    <col min="3" max="3" width="15.26953125" style="20" bestFit="1" customWidth="1"/>
    <col min="4" max="4" width="1.81640625" style="28" customWidth="1"/>
    <col min="5" max="7" width="15.26953125" style="20" hidden="1" customWidth="1" outlineLevel="1"/>
    <col min="8" max="8" width="15.26953125" style="20" bestFit="1" customWidth="1" collapsed="1"/>
    <col min="9" max="9" width="1.81640625" style="28" customWidth="1"/>
    <col min="10" max="12" width="15.26953125" style="20" hidden="1" customWidth="1" outlineLevel="1"/>
    <col min="13" max="13" width="15.26953125" style="20" customWidth="1" collapsed="1"/>
    <col min="14" max="14" width="1.81640625" style="28" customWidth="1"/>
    <col min="15" max="17" width="15.26953125" style="20" hidden="1" customWidth="1" outlineLevel="1"/>
    <col min="18" max="18" width="15.26953125" style="20" customWidth="1" collapsed="1"/>
    <col min="19" max="19" width="1.81640625" style="28" customWidth="1"/>
    <col min="20" max="22" width="15.26953125" style="20" hidden="1" customWidth="1" outlineLevel="1"/>
    <col min="23" max="23" width="15.26953125" style="20" customWidth="1" collapsed="1"/>
    <col min="24" max="24" width="1.81640625" style="28" customWidth="1"/>
    <col min="25" max="27" width="15.26953125" style="20" hidden="1" customWidth="1" outlineLevel="1"/>
    <col min="28" max="28" width="15.26953125" style="20" customWidth="1" collapsed="1"/>
    <col min="29" max="29" width="1.7265625" style="20" customWidth="1"/>
    <col min="30" max="30" width="15.26953125" style="49" hidden="1" customWidth="1" outlineLevel="1"/>
    <col min="31" max="32" width="15.26953125" style="20" hidden="1" customWidth="1" outlineLevel="1"/>
    <col min="33" max="33" width="15.26953125" style="20" customWidth="1" collapsed="1"/>
    <col min="34" max="34" width="1.7265625" style="20" customWidth="1"/>
    <col min="35" max="37" width="15.26953125" style="20" hidden="1" customWidth="1" outlineLevel="1"/>
    <col min="38" max="38" width="15.26953125" style="20" customWidth="1" collapsed="1"/>
    <col min="39" max="39" width="1.7265625" style="20" customWidth="1"/>
    <col min="40" max="42" width="15.26953125" style="20" hidden="1" customWidth="1" outlineLevel="1"/>
    <col min="43" max="43" width="15.26953125" style="20" customWidth="1" collapsed="1"/>
    <col min="44" max="44" width="1.7265625" style="20" customWidth="1"/>
    <col min="45" max="47" width="15.26953125" style="20" hidden="1" customWidth="1" outlineLevel="1"/>
    <col min="48" max="48" width="15.26953125" style="20" customWidth="1" collapsed="1"/>
    <col min="49" max="49" width="1.7265625" style="20" customWidth="1"/>
    <col min="50" max="52" width="15.54296875" style="20" hidden="1" customWidth="1" outlineLevel="1"/>
    <col min="53" max="53" width="15.54296875" style="20" customWidth="1" collapsed="1"/>
    <col min="54" max="54" width="2.453125" style="20" customWidth="1"/>
    <col min="55" max="55" width="15.54296875" style="20" customWidth="1"/>
    <col min="56" max="58" width="15.54296875" style="20" hidden="1" customWidth="1" outlineLevel="1"/>
    <col min="59" max="59" width="2.453125" style="20" customWidth="1" collapsed="1"/>
    <col min="60" max="62" width="15.54296875" style="20" hidden="1" customWidth="1" outlineLevel="1"/>
    <col min="63" max="63" width="15.54296875" style="20" customWidth="1" collapsed="1"/>
    <col min="64" max="64" width="2.453125" style="20" customWidth="1" collapsed="1"/>
    <col min="65" max="68" width="15.54296875" style="20" hidden="1" customWidth="1" outlineLevel="1"/>
    <col min="69" max="69" width="2.453125" style="20" customWidth="1" collapsed="1"/>
    <col min="70" max="73" width="15.54296875" style="20" customWidth="1" outlineLevel="1"/>
    <col min="74" max="74" width="2.453125" style="20" customWidth="1"/>
    <col min="75" max="75" width="15.54296875" style="20" customWidth="1" outlineLevel="1"/>
    <col min="76" max="16384" width="8.7265625" style="20"/>
  </cols>
  <sheetData>
    <row r="1" spans="1:75" ht="12.75" customHeight="1">
      <c r="A1" s="317"/>
    </row>
    <row r="2" spans="1:75" ht="12.75" customHeight="1">
      <c r="A2" s="317"/>
      <c r="C2" s="69" t="s">
        <v>159</v>
      </c>
      <c r="E2" s="316" t="s">
        <v>159</v>
      </c>
      <c r="F2" s="316"/>
      <c r="G2" s="316"/>
      <c r="H2" s="316"/>
      <c r="I2" s="58"/>
      <c r="J2" s="316" t="s">
        <v>160</v>
      </c>
      <c r="K2" s="316"/>
      <c r="L2" s="316"/>
      <c r="M2" s="316"/>
      <c r="O2" s="316" t="s">
        <v>160</v>
      </c>
      <c r="P2" s="316"/>
      <c r="Q2" s="316"/>
      <c r="R2" s="316"/>
      <c r="T2" s="316" t="s">
        <v>160</v>
      </c>
      <c r="U2" s="316"/>
      <c r="V2" s="316"/>
      <c r="W2" s="316"/>
      <c r="X2" s="187"/>
      <c r="Y2" s="316" t="s">
        <v>160</v>
      </c>
      <c r="Z2" s="316"/>
      <c r="AA2" s="316"/>
      <c r="AB2" s="316"/>
      <c r="AD2" s="320" t="s">
        <v>160</v>
      </c>
      <c r="AE2" s="320"/>
      <c r="AF2" s="320"/>
      <c r="AG2" s="320"/>
      <c r="AI2" s="320" t="s">
        <v>160</v>
      </c>
      <c r="AJ2" s="320"/>
      <c r="AK2" s="320"/>
      <c r="AL2" s="320"/>
      <c r="AM2" s="248"/>
      <c r="AN2" s="316" t="s">
        <v>160</v>
      </c>
      <c r="AO2" s="316"/>
      <c r="AP2" s="316"/>
      <c r="AQ2" s="316"/>
      <c r="AR2" s="248"/>
      <c r="AS2" s="316" t="s">
        <v>160</v>
      </c>
      <c r="AT2" s="316"/>
      <c r="AU2" s="316"/>
      <c r="AV2" s="316"/>
      <c r="AW2" s="248"/>
      <c r="AX2" s="316" t="s">
        <v>160</v>
      </c>
      <c r="AY2" s="316"/>
      <c r="AZ2" s="316"/>
      <c r="BA2" s="316"/>
      <c r="BC2" s="316" t="s">
        <v>160</v>
      </c>
      <c r="BD2" s="316"/>
      <c r="BE2" s="316"/>
      <c r="BF2" s="316"/>
    </row>
    <row r="3" spans="1:75">
      <c r="C3" s="189">
        <v>2007</v>
      </c>
      <c r="D3" s="190"/>
      <c r="E3" s="189" t="s">
        <v>133</v>
      </c>
      <c r="F3" s="189" t="s">
        <v>122</v>
      </c>
      <c r="G3" s="189" t="s">
        <v>123</v>
      </c>
      <c r="H3" s="189">
        <v>2008</v>
      </c>
      <c r="I3" s="190"/>
      <c r="J3" s="189" t="s">
        <v>125</v>
      </c>
      <c r="K3" s="189" t="s">
        <v>126</v>
      </c>
      <c r="L3" s="189" t="s">
        <v>127</v>
      </c>
      <c r="M3" s="189">
        <v>2009</v>
      </c>
      <c r="N3" s="190"/>
      <c r="O3" s="189" t="s">
        <v>129</v>
      </c>
      <c r="P3" s="189" t="s">
        <v>130</v>
      </c>
      <c r="Q3" s="189" t="s">
        <v>131</v>
      </c>
      <c r="R3" s="189">
        <v>2010</v>
      </c>
      <c r="S3" s="190"/>
      <c r="T3" s="189" t="s">
        <v>158</v>
      </c>
      <c r="U3" s="189" t="s">
        <v>218</v>
      </c>
      <c r="V3" s="189" t="s">
        <v>248</v>
      </c>
      <c r="W3" s="189">
        <v>2011</v>
      </c>
      <c r="X3" s="190"/>
      <c r="Y3" s="189" t="s">
        <v>263</v>
      </c>
      <c r="Z3" s="189" t="s">
        <v>328</v>
      </c>
      <c r="AA3" s="189" t="s">
        <v>332</v>
      </c>
      <c r="AB3" s="189">
        <v>2012</v>
      </c>
      <c r="AD3" s="189" t="s">
        <v>340</v>
      </c>
      <c r="AE3" s="189" t="s">
        <v>347</v>
      </c>
      <c r="AF3" s="189" t="s">
        <v>349</v>
      </c>
      <c r="AG3" s="189">
        <v>2013</v>
      </c>
      <c r="AI3" s="189" t="s">
        <v>354</v>
      </c>
      <c r="AJ3" s="189" t="s">
        <v>362</v>
      </c>
      <c r="AK3" s="189" t="s">
        <v>365</v>
      </c>
      <c r="AL3" s="189">
        <v>2014</v>
      </c>
      <c r="AN3" s="189" t="s">
        <v>370</v>
      </c>
      <c r="AO3" s="189" t="s">
        <v>372</v>
      </c>
      <c r="AP3" s="189" t="s">
        <v>388</v>
      </c>
      <c r="AQ3" s="189">
        <v>2015</v>
      </c>
      <c r="AS3" s="189" t="s">
        <v>392</v>
      </c>
      <c r="AT3" s="189" t="s">
        <v>395</v>
      </c>
      <c r="AU3" s="189" t="s">
        <v>400</v>
      </c>
      <c r="AV3" s="189">
        <v>2016</v>
      </c>
      <c r="AX3" s="189" t="s">
        <v>413</v>
      </c>
      <c r="AY3" s="189" t="s">
        <v>416</v>
      </c>
      <c r="AZ3" s="189" t="s">
        <v>586</v>
      </c>
      <c r="BA3" s="189">
        <v>2017</v>
      </c>
      <c r="BC3" s="189" t="s">
        <v>599</v>
      </c>
      <c r="BD3" s="189" t="s">
        <v>602</v>
      </c>
      <c r="BE3" s="189" t="s">
        <v>610</v>
      </c>
      <c r="BF3" s="189">
        <v>2018</v>
      </c>
      <c r="BH3" s="189" t="s">
        <v>631</v>
      </c>
      <c r="BI3" s="189" t="s">
        <v>633</v>
      </c>
      <c r="BJ3" s="189" t="s">
        <v>635</v>
      </c>
      <c r="BK3" s="189">
        <v>2019</v>
      </c>
      <c r="BM3" s="189" t="s">
        <v>644</v>
      </c>
      <c r="BN3" s="189" t="s">
        <v>650</v>
      </c>
      <c r="BO3" s="189" t="s">
        <v>656</v>
      </c>
      <c r="BP3" s="189">
        <v>2020</v>
      </c>
      <c r="BR3" s="189" t="s">
        <v>665</v>
      </c>
      <c r="BS3" s="189" t="s">
        <v>670</v>
      </c>
      <c r="BT3" s="189" t="s">
        <v>674</v>
      </c>
      <c r="BU3" s="189">
        <v>2021</v>
      </c>
      <c r="BW3" s="189" t="s">
        <v>683</v>
      </c>
    </row>
    <row r="4" spans="1:75">
      <c r="A4" s="83" t="s">
        <v>0</v>
      </c>
      <c r="H4" s="49"/>
      <c r="I4" s="249"/>
    </row>
    <row r="5" spans="1:75">
      <c r="H5" s="49"/>
      <c r="I5" s="249"/>
    </row>
    <row r="6" spans="1:75">
      <c r="A6" s="83" t="s">
        <v>1</v>
      </c>
      <c r="C6" s="49"/>
      <c r="D6" s="196"/>
      <c r="E6" s="49"/>
      <c r="F6" s="49"/>
      <c r="G6" s="49"/>
      <c r="H6" s="49"/>
      <c r="I6" s="249"/>
      <c r="J6" s="49"/>
      <c r="K6" s="49"/>
      <c r="L6" s="49"/>
      <c r="O6" s="49"/>
      <c r="P6" s="49"/>
      <c r="Q6" s="49"/>
      <c r="T6" s="49"/>
      <c r="U6" s="49"/>
      <c r="Y6" s="49"/>
      <c r="AD6" s="20"/>
    </row>
    <row r="7" spans="1:75">
      <c r="A7" s="20" t="s">
        <v>60</v>
      </c>
      <c r="C7" s="86">
        <v>280976</v>
      </c>
      <c r="D7" s="86"/>
      <c r="E7" s="86">
        <v>219352</v>
      </c>
      <c r="F7" s="86">
        <v>168527</v>
      </c>
      <c r="G7" s="86">
        <v>170112</v>
      </c>
      <c r="H7" s="86">
        <v>122707</v>
      </c>
      <c r="I7" s="86"/>
      <c r="J7" s="86">
        <v>119752.5</v>
      </c>
      <c r="K7" s="86">
        <v>137419</v>
      </c>
      <c r="L7" s="86">
        <v>137265</v>
      </c>
      <c r="M7" s="86">
        <v>89373</v>
      </c>
      <c r="N7" s="86"/>
      <c r="O7" s="86">
        <v>698053</v>
      </c>
      <c r="P7" s="86">
        <v>396393</v>
      </c>
      <c r="Q7" s="86">
        <v>538573</v>
      </c>
      <c r="R7" s="86">
        <v>232456</v>
      </c>
      <c r="S7" s="86"/>
      <c r="T7" s="86">
        <v>445601</v>
      </c>
      <c r="U7" s="86">
        <v>410464</v>
      </c>
      <c r="V7" s="86">
        <v>1072533</v>
      </c>
      <c r="W7" s="86">
        <v>1032350</v>
      </c>
      <c r="X7" s="86"/>
      <c r="Y7" s="86">
        <v>1104247</v>
      </c>
      <c r="Z7" s="86">
        <v>609460</v>
      </c>
      <c r="AA7" s="86">
        <v>394179.09900636604</v>
      </c>
      <c r="AB7" s="86">
        <v>573569.95654627949</v>
      </c>
      <c r="AD7" s="86">
        <v>771192.91359334521</v>
      </c>
      <c r="AE7" s="86">
        <v>660598.31674534606</v>
      </c>
      <c r="AF7" s="86">
        <v>839730.02937606385</v>
      </c>
      <c r="AG7" s="86">
        <v>950863.90435863915</v>
      </c>
      <c r="AI7" s="86">
        <v>814466.75641924923</v>
      </c>
      <c r="AJ7" s="86">
        <v>790671.58543630468</v>
      </c>
      <c r="AK7" s="86">
        <v>606735.54766459391</v>
      </c>
      <c r="AL7" s="86">
        <v>595322</v>
      </c>
      <c r="AN7" s="86">
        <v>515029.94165453088</v>
      </c>
      <c r="AO7" s="86">
        <v>421267.85926042905</v>
      </c>
      <c r="AP7" s="86">
        <v>374763.47463812027</v>
      </c>
      <c r="AQ7" s="86">
        <v>1230305.4841838572</v>
      </c>
      <c r="AS7" s="86">
        <v>1112106.1874460138</v>
      </c>
      <c r="AT7" s="86">
        <v>983686.45518120646</v>
      </c>
      <c r="AU7" s="86">
        <v>1061326.1744835759</v>
      </c>
      <c r="AV7" s="86">
        <v>966191.39845599956</v>
      </c>
      <c r="AX7" s="86">
        <v>1196444.1832049997</v>
      </c>
      <c r="AY7" s="86">
        <v>998930.07306499989</v>
      </c>
      <c r="AZ7" s="86">
        <v>910039.14057000005</v>
      </c>
      <c r="BA7" s="86">
        <v>1065002.6255700001</v>
      </c>
      <c r="BC7" s="86">
        <v>1049518.860225</v>
      </c>
      <c r="BD7" s="86">
        <v>968175.24194999994</v>
      </c>
      <c r="BE7" s="86">
        <v>902131.85053500009</v>
      </c>
      <c r="BF7" s="86">
        <v>1523755.77624</v>
      </c>
      <c r="BH7" s="86">
        <v>684263.32723499998</v>
      </c>
      <c r="BI7" s="86">
        <v>782672.75057000003</v>
      </c>
      <c r="BJ7" s="86">
        <v>504464.78236499988</v>
      </c>
      <c r="BK7" s="86">
        <v>1265430.0909699998</v>
      </c>
      <c r="BM7" s="86">
        <v>1228238.49924</v>
      </c>
      <c r="BN7" s="86">
        <v>1255717</v>
      </c>
      <c r="BO7" s="86">
        <v>1900813.5760700002</v>
      </c>
      <c r="BP7" s="86">
        <v>1195933.8262199997</v>
      </c>
      <c r="BR7" s="86">
        <v>813485.42738999985</v>
      </c>
      <c r="BS7" s="86">
        <v>713020.9794300003</v>
      </c>
      <c r="BT7" s="86">
        <v>1110738.9553899998</v>
      </c>
      <c r="BU7" s="86">
        <v>949425</v>
      </c>
      <c r="BW7" s="86">
        <v>844304</v>
      </c>
    </row>
    <row r="8" spans="1:75">
      <c r="A8" s="20" t="s">
        <v>61</v>
      </c>
      <c r="C8" s="86">
        <v>5624</v>
      </c>
      <c r="D8" s="86"/>
      <c r="E8" s="86">
        <v>9297</v>
      </c>
      <c r="F8" s="86">
        <v>10122</v>
      </c>
      <c r="G8" s="86">
        <v>10348</v>
      </c>
      <c r="H8" s="86">
        <v>9634</v>
      </c>
      <c r="I8" s="86"/>
      <c r="J8" s="86">
        <v>11651.5</v>
      </c>
      <c r="K8" s="86">
        <v>11905</v>
      </c>
      <c r="L8" s="86">
        <v>11812</v>
      </c>
      <c r="M8" s="86">
        <v>10954</v>
      </c>
      <c r="N8" s="86"/>
      <c r="O8" s="86">
        <v>17836</v>
      </c>
      <c r="P8" s="86">
        <v>35882</v>
      </c>
      <c r="Q8" s="86">
        <v>34555</v>
      </c>
      <c r="R8" s="86">
        <v>54514</v>
      </c>
      <c r="S8" s="86"/>
      <c r="T8" s="86">
        <v>65101</v>
      </c>
      <c r="U8" s="86">
        <v>76797</v>
      </c>
      <c r="V8" s="86">
        <v>63492</v>
      </c>
      <c r="W8" s="86">
        <v>61014</v>
      </c>
      <c r="X8" s="86"/>
      <c r="Y8" s="86">
        <v>129212</v>
      </c>
      <c r="Z8" s="86">
        <v>210871</v>
      </c>
      <c r="AA8" s="86">
        <v>147437.53614438669</v>
      </c>
      <c r="AB8" s="86">
        <v>198546.29907218151</v>
      </c>
      <c r="AD8" s="86">
        <v>173788.00950015234</v>
      </c>
      <c r="AE8" s="86">
        <v>236279.25529361379</v>
      </c>
      <c r="AF8" s="86">
        <v>250083.89692826266</v>
      </c>
      <c r="AG8" s="86">
        <v>179136.82480441232</v>
      </c>
      <c r="AI8" s="86">
        <v>213823.02138025791</v>
      </c>
      <c r="AJ8" s="86">
        <v>229218.75981588656</v>
      </c>
      <c r="AK8" s="86">
        <v>266628.16965229204</v>
      </c>
      <c r="AL8" s="86">
        <v>158566</v>
      </c>
      <c r="AN8" s="86">
        <v>179486.06168373348</v>
      </c>
      <c r="AO8" s="86">
        <v>228902.44920159527</v>
      </c>
      <c r="AP8" s="86">
        <v>274618.6366576053</v>
      </c>
      <c r="AQ8" s="86">
        <v>109359.54962420851</v>
      </c>
      <c r="AS8" s="86">
        <v>89337.76332910877</v>
      </c>
      <c r="AT8" s="86">
        <v>103658.98861445965</v>
      </c>
      <c r="AU8" s="86">
        <v>113732.46954584133</v>
      </c>
      <c r="AV8" s="86">
        <v>104659.53371742152</v>
      </c>
      <c r="AX8" s="86">
        <v>78727.599039999986</v>
      </c>
      <c r="AY8" s="86">
        <v>119060.03158500002</v>
      </c>
      <c r="AZ8" s="86">
        <v>141551.84862500004</v>
      </c>
      <c r="BA8" s="86">
        <v>65720.122374999992</v>
      </c>
      <c r="BC8" s="86">
        <v>54795.584359999986</v>
      </c>
      <c r="BD8" s="86">
        <v>67782.196694999991</v>
      </c>
      <c r="BE8" s="86">
        <v>77282.924749999991</v>
      </c>
      <c r="BF8" s="86">
        <v>78992.887570000006</v>
      </c>
      <c r="BH8" s="86">
        <v>60184.859939999995</v>
      </c>
      <c r="BI8" s="86">
        <v>68058.161989999993</v>
      </c>
      <c r="BJ8" s="86">
        <v>53067.306875000002</v>
      </c>
      <c r="BK8" s="86">
        <v>33353.375065000007</v>
      </c>
      <c r="BM8" s="86">
        <v>36234.602029999987</v>
      </c>
      <c r="BN8" s="86">
        <v>45984</v>
      </c>
      <c r="BO8" s="86">
        <v>47469.5671</v>
      </c>
      <c r="BP8" s="86">
        <v>42851.391099999993</v>
      </c>
      <c r="BR8" s="86">
        <v>47338.908370000005</v>
      </c>
      <c r="BS8" s="86">
        <v>44407.997089999997</v>
      </c>
      <c r="BT8" s="86">
        <v>51214.727650000008</v>
      </c>
      <c r="BU8" s="86">
        <v>58166</v>
      </c>
      <c r="BW8" s="86">
        <v>58113</v>
      </c>
    </row>
    <row r="9" spans="1:75">
      <c r="A9" s="28" t="s">
        <v>62</v>
      </c>
      <c r="B9" s="28"/>
      <c r="C9" s="86">
        <f>2046+2008+322</f>
        <v>4376</v>
      </c>
      <c r="D9" s="86"/>
      <c r="E9" s="86">
        <v>2226</v>
      </c>
      <c r="F9" s="86">
        <f>23656</f>
        <v>23656</v>
      </c>
      <c r="G9" s="86">
        <v>23684</v>
      </c>
      <c r="H9" s="86">
        <f>122+4935+583</f>
        <v>5640</v>
      </c>
      <c r="I9" s="86"/>
      <c r="J9" s="86">
        <f>122+5240+669</f>
        <v>6031</v>
      </c>
      <c r="K9" s="86">
        <f>122+4271+291</f>
        <v>4684</v>
      </c>
      <c r="L9" s="86">
        <f>122+4162+261</f>
        <v>4545</v>
      </c>
      <c r="M9" s="86">
        <f>20735+6562+385</f>
        <v>27682</v>
      </c>
      <c r="N9" s="86"/>
      <c r="O9" s="86">
        <v>9686</v>
      </c>
      <c r="P9" s="86">
        <v>163983</v>
      </c>
      <c r="Q9" s="86">
        <v>184912</v>
      </c>
      <c r="R9" s="86">
        <f>6498+9811+1075</f>
        <v>17384</v>
      </c>
      <c r="S9" s="86"/>
      <c r="T9" s="86">
        <f>18169+8830+224</f>
        <v>27223</v>
      </c>
      <c r="U9" s="86">
        <f>24138+8837+313</f>
        <v>33288</v>
      </c>
      <c r="V9" s="86">
        <v>39500</v>
      </c>
      <c r="W9" s="86">
        <f>19208+13076</f>
        <v>32284</v>
      </c>
      <c r="X9" s="86"/>
      <c r="Y9" s="86">
        <f>36288+14091+17633</f>
        <v>68012</v>
      </c>
      <c r="Z9" s="86">
        <v>136192</v>
      </c>
      <c r="AA9" s="86">
        <v>129716.2733673194</v>
      </c>
      <c r="AB9" s="86">
        <v>151216.09415841615</v>
      </c>
      <c r="AD9" s="86">
        <v>228050.40946819916</v>
      </c>
      <c r="AE9" s="86">
        <v>245946.81814196633</v>
      </c>
      <c r="AF9" s="86">
        <v>259542.27055251398</v>
      </c>
      <c r="AG9" s="86">
        <v>241590.32313937123</v>
      </c>
      <c r="AI9" s="86">
        <v>247216.69580309119</v>
      </c>
      <c r="AJ9" s="86">
        <v>241025.539859927</v>
      </c>
      <c r="AK9" s="86">
        <v>297283.18698057596</v>
      </c>
      <c r="AL9" s="86">
        <v>156576</v>
      </c>
      <c r="AN9" s="86">
        <v>172398.51366511703</v>
      </c>
      <c r="AO9" s="86">
        <v>187463.51648052986</v>
      </c>
      <c r="AP9" s="86">
        <v>203692.32139872</v>
      </c>
      <c r="AQ9" s="86">
        <v>128392.26505593619</v>
      </c>
      <c r="AS9" s="86">
        <v>141135.52160758816</v>
      </c>
      <c r="AT9" s="86">
        <v>156680.0149894784</v>
      </c>
      <c r="AU9" s="86">
        <v>169772.97269445029</v>
      </c>
      <c r="AV9" s="86">
        <v>41496.39662</v>
      </c>
      <c r="AX9" s="86">
        <v>41530.954100000017</v>
      </c>
      <c r="AY9" s="86">
        <v>57201.934029999975</v>
      </c>
      <c r="AZ9" s="86">
        <v>70810.976360000001</v>
      </c>
      <c r="BA9" s="86">
        <v>45318.937330000037</v>
      </c>
      <c r="BC9" s="86">
        <v>5543.5451199999998</v>
      </c>
      <c r="BD9" s="86">
        <v>3629.8541499999997</v>
      </c>
      <c r="BE9" s="86">
        <v>7603.2675899999995</v>
      </c>
      <c r="BF9" s="86">
        <v>12896.555910000001</v>
      </c>
      <c r="BH9" s="86">
        <v>0</v>
      </c>
      <c r="BI9" s="86">
        <v>0</v>
      </c>
      <c r="BJ9" s="86">
        <v>0</v>
      </c>
      <c r="BK9" s="86">
        <v>0</v>
      </c>
      <c r="BM9" s="86">
        <v>0</v>
      </c>
      <c r="BN9" s="86">
        <v>0</v>
      </c>
      <c r="BO9" s="86">
        <v>0</v>
      </c>
      <c r="BP9" s="86">
        <v>0</v>
      </c>
      <c r="BR9" s="86">
        <v>0</v>
      </c>
      <c r="BS9" s="86">
        <v>0</v>
      </c>
      <c r="BT9" s="86">
        <v>0</v>
      </c>
      <c r="BU9" s="86">
        <v>0</v>
      </c>
      <c r="BW9" s="86">
        <v>0</v>
      </c>
    </row>
    <row r="10" spans="1:75">
      <c r="A10" s="20" t="s">
        <v>170</v>
      </c>
      <c r="C10" s="86">
        <v>0</v>
      </c>
      <c r="D10" s="86"/>
      <c r="E10" s="86">
        <v>0</v>
      </c>
      <c r="F10" s="86">
        <v>0</v>
      </c>
      <c r="G10" s="86">
        <v>0</v>
      </c>
      <c r="H10" s="86">
        <v>0</v>
      </c>
      <c r="I10" s="86"/>
      <c r="J10" s="86">
        <v>18500</v>
      </c>
      <c r="K10" s="86">
        <v>0</v>
      </c>
      <c r="L10" s="86">
        <v>0</v>
      </c>
      <c r="M10" s="86">
        <v>25671</v>
      </c>
      <c r="N10" s="86"/>
      <c r="O10" s="86">
        <v>12959</v>
      </c>
      <c r="P10" s="86">
        <v>0</v>
      </c>
      <c r="Q10" s="86">
        <v>0</v>
      </c>
      <c r="R10" s="86">
        <v>0</v>
      </c>
      <c r="S10" s="86"/>
      <c r="T10" s="86">
        <v>2400</v>
      </c>
      <c r="U10" s="86">
        <v>21432</v>
      </c>
      <c r="V10" s="86">
        <v>12644</v>
      </c>
      <c r="W10" s="86">
        <v>36019</v>
      </c>
      <c r="X10" s="86"/>
      <c r="Y10" s="86">
        <v>36100</v>
      </c>
      <c r="Z10" s="86">
        <v>2100</v>
      </c>
      <c r="AA10" s="86">
        <v>9850.3168299999998</v>
      </c>
      <c r="AB10" s="86">
        <v>6100.3168299999998</v>
      </c>
      <c r="AD10" s="86">
        <v>4360.4152299999996</v>
      </c>
      <c r="AE10" s="86">
        <v>40460.415230000006</v>
      </c>
      <c r="AF10" s="86">
        <v>279.09839999999991</v>
      </c>
      <c r="AG10" s="86">
        <v>279.10564228324739</v>
      </c>
      <c r="AI10" s="86">
        <v>20779.098400000003</v>
      </c>
      <c r="AJ10" s="86">
        <v>0</v>
      </c>
      <c r="AK10" s="86">
        <v>0</v>
      </c>
      <c r="AL10" s="86">
        <v>0</v>
      </c>
      <c r="AN10" s="86">
        <v>0</v>
      </c>
      <c r="AO10" s="86">
        <v>0</v>
      </c>
      <c r="AP10" s="86">
        <v>0</v>
      </c>
      <c r="AQ10" s="86">
        <v>0</v>
      </c>
      <c r="AS10" s="86">
        <v>0</v>
      </c>
      <c r="AT10" s="86">
        <v>0</v>
      </c>
      <c r="AU10" s="86">
        <v>0</v>
      </c>
      <c r="AV10" s="86">
        <v>0</v>
      </c>
      <c r="AX10" s="86">
        <v>0</v>
      </c>
      <c r="AY10" s="86">
        <v>0</v>
      </c>
      <c r="AZ10" s="86">
        <v>0</v>
      </c>
      <c r="BA10" s="86">
        <v>0</v>
      </c>
      <c r="BC10" s="86">
        <v>0</v>
      </c>
      <c r="BD10" s="86">
        <v>0</v>
      </c>
      <c r="BE10" s="86">
        <v>0</v>
      </c>
      <c r="BF10" s="86">
        <v>0</v>
      </c>
      <c r="BH10" s="86">
        <v>0</v>
      </c>
      <c r="BI10" s="86">
        <v>0</v>
      </c>
      <c r="BJ10" s="86">
        <v>0</v>
      </c>
      <c r="BK10" s="86">
        <v>0</v>
      </c>
      <c r="BM10" s="86">
        <v>0</v>
      </c>
      <c r="BN10" s="86">
        <v>0</v>
      </c>
      <c r="BO10" s="86">
        <v>0</v>
      </c>
      <c r="BP10" s="86">
        <v>0</v>
      </c>
      <c r="BR10" s="86">
        <v>0</v>
      </c>
      <c r="BS10" s="86">
        <v>0</v>
      </c>
      <c r="BT10" s="86">
        <v>0</v>
      </c>
      <c r="BU10" s="86">
        <v>0</v>
      </c>
      <c r="BW10" s="86">
        <v>0</v>
      </c>
    </row>
    <row r="11" spans="1:75">
      <c r="A11" s="20" t="s">
        <v>57</v>
      </c>
      <c r="C11" s="86">
        <v>737</v>
      </c>
      <c r="D11" s="86"/>
      <c r="E11" s="86">
        <v>508</v>
      </c>
      <c r="F11" s="86">
        <v>694</v>
      </c>
      <c r="G11" s="86">
        <v>713</v>
      </c>
      <c r="H11" s="20">
        <v>438</v>
      </c>
      <c r="I11" s="86"/>
      <c r="J11" s="86">
        <v>2000</v>
      </c>
      <c r="K11" s="86">
        <v>2545</v>
      </c>
      <c r="L11" s="86">
        <v>1937</v>
      </c>
      <c r="M11" s="86">
        <v>2820</v>
      </c>
      <c r="N11" s="86"/>
      <c r="O11" s="86">
        <v>913</v>
      </c>
      <c r="P11" s="86">
        <v>1505</v>
      </c>
      <c r="Q11" s="86">
        <v>1775</v>
      </c>
      <c r="R11" s="86">
        <v>5848</v>
      </c>
      <c r="S11" s="86"/>
      <c r="T11" s="86">
        <v>4584</v>
      </c>
      <c r="U11" s="86">
        <v>4926</v>
      </c>
      <c r="V11" s="86">
        <v>20460</v>
      </c>
      <c r="W11" s="86">
        <f>55098-W10</f>
        <v>19079</v>
      </c>
      <c r="X11" s="86"/>
      <c r="Y11" s="86">
        <v>33918</v>
      </c>
      <c r="Z11" s="86">
        <v>42301</v>
      </c>
      <c r="AA11" s="86">
        <v>29491.879042042983</v>
      </c>
      <c r="AB11" s="86">
        <v>11104.211807042993</v>
      </c>
      <c r="AD11" s="86">
        <v>73054.992135000008</v>
      </c>
      <c r="AE11" s="86">
        <v>67144.100896686738</v>
      </c>
      <c r="AF11" s="86">
        <v>53504.489906666087</v>
      </c>
      <c r="AG11" s="86">
        <v>48941.499716806495</v>
      </c>
      <c r="AI11" s="86">
        <v>43502.962361806487</v>
      </c>
      <c r="AJ11" s="86">
        <v>51805.35044773273</v>
      </c>
      <c r="AK11" s="86">
        <v>27258.457006232933</v>
      </c>
      <c r="AL11" s="86">
        <v>30069</v>
      </c>
      <c r="AN11" s="86">
        <v>31865.488854021234</v>
      </c>
      <c r="AO11" s="86">
        <v>33668.945436110604</v>
      </c>
      <c r="AP11" s="86">
        <v>29476.569903904321</v>
      </c>
      <c r="AQ11" s="86">
        <v>71839.066020471</v>
      </c>
      <c r="AS11" s="86">
        <v>23116.451869259257</v>
      </c>
      <c r="AT11" s="86">
        <v>30522.779871638591</v>
      </c>
      <c r="AU11" s="86">
        <v>21772.850525731585</v>
      </c>
      <c r="AV11" s="86">
        <v>15803.787559452041</v>
      </c>
      <c r="AX11" s="86">
        <v>29388.552905</v>
      </c>
      <c r="AY11" s="86">
        <v>46145.026975000008</v>
      </c>
      <c r="AZ11" s="86">
        <v>64367.441094999995</v>
      </c>
      <c r="BA11" s="86">
        <v>44993.117245000001</v>
      </c>
      <c r="BC11" s="86">
        <v>72935.348390000014</v>
      </c>
      <c r="BD11" s="86">
        <v>107607.455975</v>
      </c>
      <c r="BE11" s="86">
        <v>84129.733305000045</v>
      </c>
      <c r="BF11" s="86">
        <v>82185.710714999979</v>
      </c>
      <c r="BH11" s="86">
        <v>72240.866980000021</v>
      </c>
      <c r="BI11" s="86">
        <v>82368.043210000033</v>
      </c>
      <c r="BJ11" s="86">
        <v>106624.93634500002</v>
      </c>
      <c r="BK11" s="86">
        <v>203673.84484000001</v>
      </c>
      <c r="BM11" s="86">
        <v>208851.83357000008</v>
      </c>
      <c r="BN11" s="86">
        <v>215623</v>
      </c>
      <c r="BO11" s="86">
        <v>81892.63982000004</v>
      </c>
      <c r="BP11" s="86">
        <v>166826.10594000001</v>
      </c>
      <c r="BR11" s="86">
        <v>156440.65796999991</v>
      </c>
      <c r="BS11" s="86">
        <v>77550.258050000062</v>
      </c>
      <c r="BT11" s="86">
        <v>92089.227769999998</v>
      </c>
      <c r="BU11" s="86">
        <v>56453</v>
      </c>
      <c r="BW11" s="86">
        <v>82887</v>
      </c>
    </row>
    <row r="12" spans="1:75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AD12" s="20"/>
      <c r="AN12" s="103"/>
      <c r="AO12" s="103"/>
      <c r="AP12" s="103"/>
      <c r="AQ12" s="103"/>
      <c r="AS12" s="103"/>
      <c r="AT12" s="103"/>
      <c r="AU12" s="103"/>
      <c r="AV12" s="103"/>
      <c r="AX12" s="103"/>
      <c r="AY12" s="103"/>
      <c r="AZ12" s="103"/>
      <c r="BA12" s="103"/>
      <c r="BC12" s="103"/>
      <c r="BD12" s="103"/>
      <c r="BE12" s="103"/>
      <c r="BF12" s="103"/>
      <c r="BH12" s="103"/>
      <c r="BI12" s="103"/>
      <c r="BJ12" s="103"/>
      <c r="BK12" s="103"/>
      <c r="BM12" s="103"/>
      <c r="BN12" s="103"/>
      <c r="BO12" s="103"/>
      <c r="BP12" s="103"/>
      <c r="BR12" s="103"/>
      <c r="BS12" s="103"/>
      <c r="BT12" s="103"/>
      <c r="BU12" s="103"/>
      <c r="BW12" s="103"/>
    </row>
    <row r="13" spans="1:75">
      <c r="A13" s="83" t="s">
        <v>4</v>
      </c>
      <c r="C13" s="179">
        <f>SUM(C7:C11)</f>
        <v>291713</v>
      </c>
      <c r="D13" s="193"/>
      <c r="E13" s="179">
        <f>SUM(E7:E11)</f>
        <v>231383</v>
      </c>
      <c r="F13" s="179">
        <f>SUM(F7:F11)</f>
        <v>202999</v>
      </c>
      <c r="G13" s="179">
        <f>SUM(G7:G11)</f>
        <v>204857</v>
      </c>
      <c r="H13" s="179">
        <f>SUM(H7:H11)</f>
        <v>138419</v>
      </c>
      <c r="I13" s="193"/>
      <c r="J13" s="179">
        <f>SUM(J7:J11)</f>
        <v>157935</v>
      </c>
      <c r="K13" s="179">
        <f>SUM(K7:K11)</f>
        <v>156553</v>
      </c>
      <c r="L13" s="179">
        <f>SUM(L7:L11)</f>
        <v>155559</v>
      </c>
      <c r="M13" s="179">
        <f>SUM(M7:M12)</f>
        <v>156500</v>
      </c>
      <c r="N13" s="177"/>
      <c r="O13" s="179">
        <f>SUM(O7:O11)</f>
        <v>739447</v>
      </c>
      <c r="P13" s="179">
        <f>SUM(P7:P11)</f>
        <v>597763</v>
      </c>
      <c r="Q13" s="179">
        <f>SUM(Q7:Q11)</f>
        <v>759815</v>
      </c>
      <c r="R13" s="179">
        <f>SUM(R7:R11)</f>
        <v>310202</v>
      </c>
      <c r="S13" s="177"/>
      <c r="T13" s="179">
        <f>SUM(T7:T11)</f>
        <v>544909</v>
      </c>
      <c r="U13" s="250">
        <f>SUM(U7:U11)</f>
        <v>546907</v>
      </c>
      <c r="V13" s="250">
        <f>SUM(V7:V11)</f>
        <v>1208629</v>
      </c>
      <c r="W13" s="250">
        <f>SUM(W7:W11)</f>
        <v>1180746</v>
      </c>
      <c r="X13" s="251"/>
      <c r="Y13" s="179">
        <f>SUM(Y7:Y11)</f>
        <v>1371489</v>
      </c>
      <c r="Z13" s="179">
        <f>SUM(Z7:Z11)</f>
        <v>1000924</v>
      </c>
      <c r="AA13" s="179">
        <f>SUM(AA7:AA11)</f>
        <v>710675.10439011513</v>
      </c>
      <c r="AB13" s="179">
        <f>SUM(AB7:AB11)</f>
        <v>940536.87841392006</v>
      </c>
      <c r="AD13" s="179">
        <f>SUM(AD7:AD11)</f>
        <v>1250446.7399266965</v>
      </c>
      <c r="AE13" s="179">
        <f>SUM(AE7:AE11)</f>
        <v>1250428.9063076128</v>
      </c>
      <c r="AF13" s="179">
        <f>SUM(AF7:AF11)</f>
        <v>1403139.7851635064</v>
      </c>
      <c r="AG13" s="179">
        <f>SUM(AG7:AG11)</f>
        <v>1420811.6576615127</v>
      </c>
      <c r="AI13" s="179">
        <f>SUM(AI7:AI11)</f>
        <v>1339788.5343644049</v>
      </c>
      <c r="AJ13" s="179">
        <f>SUM(AJ7:AJ11)</f>
        <v>1312721.2355598509</v>
      </c>
      <c r="AK13" s="179">
        <f>SUM(AK7:AK11)</f>
        <v>1197905.361303695</v>
      </c>
      <c r="AL13" s="179">
        <f>SUM(AL7:AL11)</f>
        <v>940533</v>
      </c>
      <c r="AN13" s="179">
        <f>SUM(AN7:AN11)</f>
        <v>898780.00585740258</v>
      </c>
      <c r="AO13" s="179">
        <f>SUM(AO7:AO11)</f>
        <v>871302.77037866472</v>
      </c>
      <c r="AP13" s="179">
        <f>SUM(AP7:AP11)</f>
        <v>882551.00259834994</v>
      </c>
      <c r="AQ13" s="179">
        <f>SUM(AQ7:AQ11)</f>
        <v>1539896.3648844732</v>
      </c>
      <c r="AS13" s="179">
        <f>SUM(AS7:AS11)</f>
        <v>1365695.9242519701</v>
      </c>
      <c r="AT13" s="179">
        <f>SUM(AT7:AT11)</f>
        <v>1274548.2386567832</v>
      </c>
      <c r="AU13" s="179">
        <f>SUM(AU7:AU11)</f>
        <v>1366604.4672495991</v>
      </c>
      <c r="AV13" s="179">
        <f>SUM(AV7:AV11)</f>
        <v>1128151.1163528732</v>
      </c>
      <c r="AX13" s="179">
        <f>SUM(AX7:AX11)</f>
        <v>1346091.2892499997</v>
      </c>
      <c r="AY13" s="179">
        <f>SUM(AY7:AY11)</f>
        <v>1221337.0656549998</v>
      </c>
      <c r="AZ13" s="179">
        <f>SUM(AZ7:AZ11)</f>
        <v>1186769.40665</v>
      </c>
      <c r="BA13" s="179">
        <f>SUM(BA7:BA11)</f>
        <v>1221034.8025200004</v>
      </c>
      <c r="BC13" s="179">
        <f>SUM(BC7:BC11)</f>
        <v>1182793.3380949998</v>
      </c>
      <c r="BD13" s="179">
        <f>SUM(BD7:BD11)</f>
        <v>1147194.7487699999</v>
      </c>
      <c r="BE13" s="179">
        <f>SUM(BE7:BE11)</f>
        <v>1071147.77618</v>
      </c>
      <c r="BF13" s="179">
        <f>SUM(BF7:BF11)</f>
        <v>1697830.9304350002</v>
      </c>
      <c r="BH13" s="179">
        <f>SUM(BH7:BH11)</f>
        <v>816689.05415500002</v>
      </c>
      <c r="BI13" s="179">
        <f>SUM(BI7:BI11)</f>
        <v>933098.95577000012</v>
      </c>
      <c r="BJ13" s="179">
        <f>SUM(BJ7:BJ11)</f>
        <v>664157.02558499994</v>
      </c>
      <c r="BK13" s="179">
        <f>SUM(BK7:BK11)</f>
        <v>1502457.3108749997</v>
      </c>
      <c r="BM13" s="179">
        <f>SUM(BM7:BM11)</f>
        <v>1473324.93484</v>
      </c>
      <c r="BN13" s="179">
        <f>SUM(BN7:BN11)</f>
        <v>1517324</v>
      </c>
      <c r="BO13" s="179">
        <f>SUM(BO7:BO11)</f>
        <v>2030175.7829900002</v>
      </c>
      <c r="BP13" s="179">
        <f>SUM(BP7:BP11)</f>
        <v>1405611.3232599995</v>
      </c>
      <c r="BR13" s="179">
        <f>SUM(BR7:BR11)</f>
        <v>1017264.9937299998</v>
      </c>
      <c r="BS13" s="179">
        <f>SUM(BS7:BS11)</f>
        <v>834979.23457000032</v>
      </c>
      <c r="BT13" s="179">
        <f>SUM(BT7:BT11)</f>
        <v>1254042.9108099998</v>
      </c>
      <c r="BU13" s="179">
        <f>SUM(BU7:BU11)</f>
        <v>1064044</v>
      </c>
      <c r="BW13" s="179">
        <f>SUM(BW7:BW11)</f>
        <v>985304</v>
      </c>
    </row>
    <row r="14" spans="1:75"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</row>
    <row r="15" spans="1:75">
      <c r="A15" s="83" t="s">
        <v>7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</row>
    <row r="16" spans="1:75">
      <c r="A16" s="20" t="s">
        <v>63</v>
      </c>
      <c r="C16" s="86">
        <v>0</v>
      </c>
      <c r="D16" s="86"/>
      <c r="E16" s="86">
        <v>0</v>
      </c>
      <c r="F16" s="86">
        <v>0</v>
      </c>
      <c r="G16" s="86">
        <v>0</v>
      </c>
      <c r="H16" s="86">
        <v>92</v>
      </c>
      <c r="I16" s="86"/>
      <c r="J16" s="86">
        <v>92</v>
      </c>
      <c r="K16" s="86">
        <v>92</v>
      </c>
      <c r="L16" s="86">
        <v>92</v>
      </c>
      <c r="M16" s="86">
        <v>93</v>
      </c>
      <c r="N16" s="86"/>
      <c r="O16" s="86">
        <v>93</v>
      </c>
      <c r="P16" s="86">
        <v>93</v>
      </c>
      <c r="Q16" s="86">
        <v>93</v>
      </c>
      <c r="R16" s="86">
        <v>93</v>
      </c>
      <c r="S16" s="86"/>
      <c r="T16" s="86">
        <v>145</v>
      </c>
      <c r="U16" s="86">
        <v>146</v>
      </c>
      <c r="V16" s="86">
        <v>466</v>
      </c>
      <c r="W16" s="86">
        <v>352</v>
      </c>
      <c r="X16" s="86"/>
      <c r="Y16" s="86">
        <v>3583</v>
      </c>
      <c r="Z16" s="86">
        <v>3469</v>
      </c>
      <c r="AA16" s="86">
        <v>3469.3139899999996</v>
      </c>
      <c r="AB16" s="86">
        <v>0</v>
      </c>
      <c r="AD16" s="49">
        <v>0</v>
      </c>
      <c r="AE16" s="49">
        <v>0</v>
      </c>
      <c r="AF16" s="49">
        <v>0</v>
      </c>
      <c r="AG16" s="49">
        <v>0</v>
      </c>
      <c r="AI16" s="49">
        <v>0</v>
      </c>
      <c r="AJ16" s="49">
        <v>0</v>
      </c>
      <c r="AK16" s="49">
        <v>0</v>
      </c>
      <c r="AL16" s="49">
        <v>0</v>
      </c>
      <c r="AN16" s="49">
        <v>0</v>
      </c>
      <c r="AO16" s="49">
        <v>0</v>
      </c>
      <c r="AP16" s="49">
        <v>0</v>
      </c>
      <c r="AQ16" s="49">
        <v>0</v>
      </c>
      <c r="AS16" s="49">
        <v>0</v>
      </c>
      <c r="AT16" s="49">
        <v>0</v>
      </c>
      <c r="AU16" s="49">
        <v>0</v>
      </c>
      <c r="AV16" s="49">
        <v>0</v>
      </c>
      <c r="AX16" s="49">
        <v>0</v>
      </c>
      <c r="AY16" s="49">
        <v>0</v>
      </c>
      <c r="AZ16" s="49">
        <v>0</v>
      </c>
      <c r="BA16" s="49">
        <v>0</v>
      </c>
      <c r="BC16" s="49">
        <v>0</v>
      </c>
      <c r="BD16" s="49">
        <v>0</v>
      </c>
      <c r="BE16" s="49">
        <v>0</v>
      </c>
      <c r="BF16" s="49">
        <v>0</v>
      </c>
      <c r="BH16" s="49">
        <v>0</v>
      </c>
      <c r="BI16" s="49">
        <v>0</v>
      </c>
      <c r="BJ16" s="49">
        <v>0</v>
      </c>
      <c r="BK16" s="49">
        <v>0</v>
      </c>
      <c r="BM16" s="49">
        <v>0</v>
      </c>
      <c r="BN16" s="49">
        <v>0</v>
      </c>
      <c r="BO16" s="49">
        <v>0</v>
      </c>
      <c r="BP16" s="49">
        <v>0</v>
      </c>
      <c r="BR16" s="49">
        <v>0</v>
      </c>
      <c r="BS16" s="49">
        <v>0</v>
      </c>
      <c r="BT16" s="49">
        <v>0</v>
      </c>
      <c r="BU16" s="49">
        <v>0</v>
      </c>
      <c r="BW16" s="49">
        <v>0</v>
      </c>
    </row>
    <row r="17" spans="1:75"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spans="1:75">
      <c r="A18" s="83" t="s">
        <v>9</v>
      </c>
      <c r="C18" s="179">
        <f>SUM(C16:C16)</f>
        <v>0</v>
      </c>
      <c r="D18" s="193"/>
      <c r="E18" s="179">
        <f>SUM(E16:E16)</f>
        <v>0</v>
      </c>
      <c r="F18" s="179">
        <f>SUM(F16:F16)</f>
        <v>0</v>
      </c>
      <c r="G18" s="179">
        <f>SUM(G16:G16)</f>
        <v>0</v>
      </c>
      <c r="H18" s="179">
        <f>SUM(H16:H16)</f>
        <v>92</v>
      </c>
      <c r="I18" s="193"/>
      <c r="J18" s="179">
        <f t="shared" ref="J18:T18" si="0">SUM(J16:J16)</f>
        <v>92</v>
      </c>
      <c r="K18" s="179">
        <f t="shared" si="0"/>
        <v>92</v>
      </c>
      <c r="L18" s="179">
        <f t="shared" si="0"/>
        <v>92</v>
      </c>
      <c r="M18" s="179">
        <f t="shared" si="0"/>
        <v>93</v>
      </c>
      <c r="N18" s="177"/>
      <c r="O18" s="179">
        <f t="shared" si="0"/>
        <v>93</v>
      </c>
      <c r="P18" s="179">
        <f t="shared" si="0"/>
        <v>93</v>
      </c>
      <c r="Q18" s="179">
        <f t="shared" si="0"/>
        <v>93</v>
      </c>
      <c r="R18" s="179">
        <f t="shared" si="0"/>
        <v>93</v>
      </c>
      <c r="S18" s="177"/>
      <c r="T18" s="179">
        <f t="shared" si="0"/>
        <v>145</v>
      </c>
      <c r="U18" s="179">
        <f>SUM(U16:U16)</f>
        <v>146</v>
      </c>
      <c r="V18" s="179">
        <f>SUM(V16:V16)</f>
        <v>466</v>
      </c>
      <c r="W18" s="179">
        <f>SUM(W16:W16)</f>
        <v>352</v>
      </c>
      <c r="X18" s="177"/>
      <c r="Y18" s="179">
        <f>SUM(Y16:Y16)</f>
        <v>3583</v>
      </c>
      <c r="Z18" s="179">
        <f>SUM(Z16:Z16)</f>
        <v>3469</v>
      </c>
      <c r="AA18" s="179">
        <f t="shared" ref="AA18:AK18" si="1">SUM(AA16:AA16)</f>
        <v>3469.3139899999996</v>
      </c>
      <c r="AB18" s="179">
        <f t="shared" si="1"/>
        <v>0</v>
      </c>
      <c r="AD18" s="179">
        <f t="shared" si="1"/>
        <v>0</v>
      </c>
      <c r="AE18" s="179">
        <f t="shared" si="1"/>
        <v>0</v>
      </c>
      <c r="AF18" s="179">
        <f t="shared" si="1"/>
        <v>0</v>
      </c>
      <c r="AG18" s="179">
        <f t="shared" si="1"/>
        <v>0</v>
      </c>
      <c r="AI18" s="179">
        <f t="shared" si="1"/>
        <v>0</v>
      </c>
      <c r="AJ18" s="179">
        <f t="shared" si="1"/>
        <v>0</v>
      </c>
      <c r="AK18" s="179">
        <f t="shared" si="1"/>
        <v>0</v>
      </c>
      <c r="AL18" s="179">
        <f t="shared" ref="AL18" si="2">SUM(AL16:AL16)</f>
        <v>0</v>
      </c>
      <c r="AN18" s="179">
        <f t="shared" ref="AN18" si="3">SUM(AN16:AN16)</f>
        <v>0</v>
      </c>
      <c r="AO18" s="179">
        <v>0</v>
      </c>
      <c r="AP18" s="179">
        <v>0</v>
      </c>
      <c r="AQ18" s="179">
        <v>0</v>
      </c>
      <c r="AS18" s="179">
        <v>0</v>
      </c>
      <c r="AT18" s="179">
        <v>0</v>
      </c>
      <c r="AU18" s="179">
        <v>0</v>
      </c>
      <c r="AV18" s="179">
        <v>0</v>
      </c>
      <c r="AX18" s="179">
        <v>0</v>
      </c>
      <c r="AY18" s="179">
        <v>0</v>
      </c>
      <c r="AZ18" s="179">
        <f>AZ16</f>
        <v>0</v>
      </c>
      <c r="BA18" s="179">
        <f>BA16</f>
        <v>0</v>
      </c>
      <c r="BC18" s="179">
        <f>BC16</f>
        <v>0</v>
      </c>
      <c r="BD18" s="179">
        <f>BD16</f>
        <v>0</v>
      </c>
      <c r="BE18" s="179">
        <f>BE16</f>
        <v>0</v>
      </c>
      <c r="BF18" s="179">
        <f>BF16</f>
        <v>0</v>
      </c>
      <c r="BH18" s="179">
        <f>BH16</f>
        <v>0</v>
      </c>
      <c r="BI18" s="179">
        <f>BI16</f>
        <v>0</v>
      </c>
      <c r="BJ18" s="179">
        <f>BJ16</f>
        <v>0</v>
      </c>
      <c r="BK18" s="179">
        <f>BK16</f>
        <v>0</v>
      </c>
      <c r="BM18" s="179">
        <f>BM16</f>
        <v>0</v>
      </c>
      <c r="BN18" s="179">
        <f>BN16</f>
        <v>0</v>
      </c>
      <c r="BO18" s="179">
        <f>BO16</f>
        <v>0</v>
      </c>
      <c r="BP18" s="179">
        <f>BP16</f>
        <v>0</v>
      </c>
      <c r="BR18" s="179">
        <f>BR16</f>
        <v>0</v>
      </c>
      <c r="BS18" s="179">
        <f>BS16</f>
        <v>0</v>
      </c>
      <c r="BT18" s="179">
        <f>BT16</f>
        <v>0</v>
      </c>
      <c r="BU18" s="179">
        <f>BU16</f>
        <v>0</v>
      </c>
      <c r="BW18" s="179">
        <f>BW16</f>
        <v>0</v>
      </c>
    </row>
    <row r="19" spans="1:75"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</row>
    <row r="20" spans="1:75">
      <c r="A20" s="83" t="s">
        <v>64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75">
      <c r="A21" s="20" t="s">
        <v>168</v>
      </c>
      <c r="C21" s="86">
        <v>9487</v>
      </c>
      <c r="D21" s="86"/>
      <c r="E21" s="86">
        <v>9487</v>
      </c>
      <c r="F21" s="86">
        <v>9487</v>
      </c>
      <c r="G21" s="86">
        <v>9487</v>
      </c>
      <c r="H21" s="86">
        <v>9487</v>
      </c>
      <c r="I21" s="86"/>
      <c r="J21" s="86">
        <v>1263676.5</v>
      </c>
      <c r="K21" s="86">
        <v>1266175</v>
      </c>
      <c r="L21" s="86">
        <v>1270859</v>
      </c>
      <c r="M21" s="86">
        <v>1814426</v>
      </c>
      <c r="N21" s="86"/>
      <c r="O21" s="86">
        <v>2069569</v>
      </c>
      <c r="P21" s="86">
        <v>2405787</v>
      </c>
      <c r="Q21" s="86">
        <v>2750957</v>
      </c>
      <c r="R21" s="86">
        <v>4770625</v>
      </c>
      <c r="S21" s="86"/>
      <c r="T21" s="86">
        <v>4751396</v>
      </c>
      <c r="U21" s="86">
        <v>4917750</v>
      </c>
      <c r="V21" s="86">
        <v>5142183</v>
      </c>
      <c r="W21" s="86">
        <v>5253543</v>
      </c>
      <c r="X21" s="86"/>
      <c r="Y21" s="86">
        <v>11714853</v>
      </c>
      <c r="Z21" s="86">
        <v>12968470</v>
      </c>
      <c r="AA21" s="86">
        <v>13552098.459907798</v>
      </c>
      <c r="AB21" s="86">
        <v>13839530.036866363</v>
      </c>
      <c r="AD21" s="49">
        <v>14031097.280064533</v>
      </c>
      <c r="AE21" s="49">
        <v>14096205.635951519</v>
      </c>
      <c r="AF21" s="49">
        <v>13759033.832221519</v>
      </c>
      <c r="AG21" s="49">
        <v>13423100.609735033</v>
      </c>
      <c r="AI21" s="49">
        <v>13537531.052947195</v>
      </c>
      <c r="AJ21" s="49">
        <v>11247508.934016826</v>
      </c>
      <c r="AK21" s="49">
        <v>10594395.414907919</v>
      </c>
      <c r="AL21" s="49">
        <v>10473317</v>
      </c>
      <c r="AN21" s="49">
        <v>10673095.394229999</v>
      </c>
      <c r="AO21" s="49">
        <v>10675595.39421</v>
      </c>
      <c r="AP21" s="49">
        <v>10219500.676879996</v>
      </c>
      <c r="AQ21" s="49">
        <v>7028638.5015599998</v>
      </c>
      <c r="AS21" s="49">
        <v>6684126.7021399997</v>
      </c>
      <c r="AT21" s="49">
        <v>6647295.3689299999</v>
      </c>
      <c r="AU21" s="49">
        <v>6592224.5424699998</v>
      </c>
      <c r="AV21" s="49">
        <v>7210369.7205400011</v>
      </c>
      <c r="AX21" s="49">
        <v>7041844.6644000001</v>
      </c>
      <c r="AY21" s="49">
        <v>7095925.1446199995</v>
      </c>
      <c r="AZ21" s="49">
        <v>7596498.7339349994</v>
      </c>
      <c r="BA21" s="49">
        <v>7650103.892509996</v>
      </c>
      <c r="BC21" s="49">
        <v>7731628.649319998</v>
      </c>
      <c r="BD21" s="49">
        <v>7689283.0178799992</v>
      </c>
      <c r="BE21" s="49">
        <v>7785524.5929999985</v>
      </c>
      <c r="BF21" s="49">
        <v>8023972.7432000022</v>
      </c>
      <c r="BH21" s="49">
        <v>8058850.5649000024</v>
      </c>
      <c r="BI21" s="49">
        <v>7684340.6944050007</v>
      </c>
      <c r="BJ21" s="49">
        <v>7536479.7974849995</v>
      </c>
      <c r="BK21" s="49">
        <v>7133660.9685000023</v>
      </c>
      <c r="BM21" s="49">
        <v>7149112.7174499994</v>
      </c>
      <c r="BN21" s="49">
        <v>7182455</v>
      </c>
      <c r="BO21" s="49">
        <v>7216791.243470001</v>
      </c>
      <c r="BP21" s="49">
        <v>8106068.3190899976</v>
      </c>
      <c r="BR21" s="49">
        <v>8896331.7148500029</v>
      </c>
      <c r="BS21" s="49">
        <v>9218686.970660001</v>
      </c>
      <c r="BT21" s="49">
        <v>9007433.6763800029</v>
      </c>
      <c r="BU21" s="49">
        <v>9040541</v>
      </c>
      <c r="BW21" s="49">
        <v>9125420</v>
      </c>
    </row>
    <row r="22" spans="1:75">
      <c r="A22" s="20" t="s">
        <v>6</v>
      </c>
      <c r="C22" s="86">
        <v>963649</v>
      </c>
      <c r="D22" s="86"/>
      <c r="E22" s="86">
        <v>1079812</v>
      </c>
      <c r="F22" s="86">
        <v>1116098</v>
      </c>
      <c r="G22" s="86">
        <v>1121941</v>
      </c>
      <c r="H22" s="86">
        <v>1193375</v>
      </c>
      <c r="I22" s="86"/>
      <c r="J22" s="86">
        <v>476.5</v>
      </c>
      <c r="K22" s="86">
        <v>460</v>
      </c>
      <c r="L22" s="86">
        <v>0</v>
      </c>
      <c r="M22" s="86">
        <v>555</v>
      </c>
      <c r="N22" s="86"/>
      <c r="O22" s="86">
        <v>475</v>
      </c>
      <c r="P22" s="86">
        <v>0</v>
      </c>
      <c r="Q22" s="86">
        <v>0</v>
      </c>
      <c r="R22" s="86">
        <v>1745</v>
      </c>
      <c r="S22" s="86"/>
      <c r="T22" s="86">
        <v>1825</v>
      </c>
      <c r="U22" s="86">
        <v>1778</v>
      </c>
      <c r="V22" s="86">
        <v>2417</v>
      </c>
      <c r="W22" s="86">
        <v>3320</v>
      </c>
      <c r="X22" s="86"/>
      <c r="Y22" s="86">
        <v>4372</v>
      </c>
      <c r="Z22" s="86">
        <v>4643</v>
      </c>
      <c r="AA22" s="86">
        <v>4247.5885399999997</v>
      </c>
      <c r="AB22" s="86">
        <v>8677.6503500000017</v>
      </c>
      <c r="AD22" s="49">
        <v>4773.0047299999997</v>
      </c>
      <c r="AE22" s="49">
        <v>4743.1970999999994</v>
      </c>
      <c r="AF22" s="49">
        <v>4709.7123300000003</v>
      </c>
      <c r="AG22" s="49">
        <v>4664.2261899999994</v>
      </c>
      <c r="AI22" s="49">
        <v>4699.3193099999999</v>
      </c>
      <c r="AJ22" s="49">
        <v>4628.6120099999998</v>
      </c>
      <c r="AK22" s="49">
        <v>4547.9287400000003</v>
      </c>
      <c r="AL22" s="49">
        <v>4488.6178999999993</v>
      </c>
      <c r="AN22" s="49">
        <v>8687.2250075069369</v>
      </c>
      <c r="AO22" s="49">
        <v>8719.8831042300917</v>
      </c>
      <c r="AP22" s="49">
        <v>8827.3248039977261</v>
      </c>
      <c r="AQ22" s="49">
        <v>8785.948601002121</v>
      </c>
      <c r="AS22" s="49">
        <v>8788.4884254842964</v>
      </c>
      <c r="AT22" s="49">
        <v>9074.6645595080263</v>
      </c>
      <c r="AU22" s="49">
        <v>10384.155229508027</v>
      </c>
      <c r="AV22" s="49">
        <v>10455.525649508025</v>
      </c>
      <c r="AX22" s="49">
        <v>10471.122650000003</v>
      </c>
      <c r="AY22" s="49">
        <v>10631.72517</v>
      </c>
      <c r="AZ22" s="49">
        <v>10574.23567</v>
      </c>
      <c r="BA22" s="49">
        <v>10575.395850000001</v>
      </c>
      <c r="BC22" s="49">
        <v>10672.215950000002</v>
      </c>
      <c r="BD22" s="49">
        <v>11106.373850000002</v>
      </c>
      <c r="BE22" s="49">
        <v>11397.86774</v>
      </c>
      <c r="BF22" s="49">
        <v>12773.02318</v>
      </c>
      <c r="BH22" s="49">
        <v>13750.07121</v>
      </c>
      <c r="BI22" s="49">
        <v>14360.113799999999</v>
      </c>
      <c r="BJ22" s="49">
        <v>15135.814350000002</v>
      </c>
      <c r="BK22" s="49">
        <v>16353.369559999999</v>
      </c>
      <c r="BM22" s="49">
        <v>16971.15093</v>
      </c>
      <c r="BN22" s="49">
        <v>18424</v>
      </c>
      <c r="BO22" s="49">
        <v>19796.064550000003</v>
      </c>
      <c r="BP22" s="49">
        <v>17868.412170000007</v>
      </c>
      <c r="BR22" s="49">
        <v>14627.59699</v>
      </c>
      <c r="BS22" s="49">
        <v>15718.774979999998</v>
      </c>
      <c r="BT22" s="49">
        <v>16506.599090000003</v>
      </c>
      <c r="BU22" s="49">
        <v>1830</v>
      </c>
      <c r="BW22" s="49">
        <v>1719</v>
      </c>
    </row>
    <row r="23" spans="1:75">
      <c r="A23" s="20" t="s">
        <v>8</v>
      </c>
      <c r="C23" s="86">
        <v>0</v>
      </c>
      <c r="D23" s="86"/>
      <c r="E23" s="86">
        <v>0</v>
      </c>
      <c r="F23" s="86">
        <v>0</v>
      </c>
      <c r="G23" s="86">
        <v>0</v>
      </c>
      <c r="H23" s="86">
        <v>0</v>
      </c>
      <c r="I23" s="86"/>
      <c r="J23" s="86">
        <v>0</v>
      </c>
      <c r="K23" s="86">
        <v>0</v>
      </c>
      <c r="L23" s="86">
        <v>0</v>
      </c>
      <c r="M23" s="86">
        <v>0</v>
      </c>
      <c r="N23" s="86"/>
      <c r="O23" s="86">
        <v>0</v>
      </c>
      <c r="P23" s="86">
        <v>0</v>
      </c>
      <c r="Q23" s="86">
        <v>0</v>
      </c>
      <c r="R23" s="86">
        <v>0</v>
      </c>
      <c r="S23" s="86"/>
      <c r="T23" s="86">
        <v>0</v>
      </c>
      <c r="U23" s="86">
        <v>0</v>
      </c>
      <c r="V23" s="86">
        <v>485</v>
      </c>
      <c r="W23" s="86">
        <v>1418</v>
      </c>
      <c r="X23" s="86"/>
      <c r="Y23" s="86">
        <v>729191</v>
      </c>
      <c r="Z23" s="86">
        <v>729872</v>
      </c>
      <c r="AA23" s="86">
        <v>730583.19038000004</v>
      </c>
      <c r="AB23" s="86">
        <v>606038.76039499999</v>
      </c>
      <c r="AD23" s="49">
        <v>609716.31329999992</v>
      </c>
      <c r="AE23" s="49">
        <v>609551.38331999991</v>
      </c>
      <c r="AF23" s="49">
        <v>609954.32804999989</v>
      </c>
      <c r="AG23" s="49">
        <v>609973.38491999998</v>
      </c>
      <c r="AI23" s="49">
        <v>639051.21808999998</v>
      </c>
      <c r="AJ23" s="49">
        <v>558950.62299000006</v>
      </c>
      <c r="AK23" s="49">
        <v>559039.26030999993</v>
      </c>
      <c r="AL23" s="49">
        <v>559118.49992999993</v>
      </c>
      <c r="AN23" s="49">
        <v>554841.99038999993</v>
      </c>
      <c r="AO23" s="49">
        <v>554841.99038999993</v>
      </c>
      <c r="AP23" s="49">
        <v>554841.99038999993</v>
      </c>
      <c r="AQ23" s="49">
        <v>554841.99038999993</v>
      </c>
      <c r="AS23" s="49">
        <v>554841.99038999993</v>
      </c>
      <c r="AT23" s="49">
        <v>554841.99038999993</v>
      </c>
      <c r="AU23" s="49">
        <v>554841.99038999993</v>
      </c>
      <c r="AV23" s="49">
        <v>554841.99038999993</v>
      </c>
      <c r="AX23" s="49">
        <v>554841.99038999993</v>
      </c>
      <c r="AY23" s="49">
        <v>554841.99038999993</v>
      </c>
      <c r="AZ23" s="49">
        <v>554841.99038999993</v>
      </c>
      <c r="BA23" s="49">
        <v>554841.99038999993</v>
      </c>
      <c r="BC23" s="49">
        <v>554841.99038999993</v>
      </c>
      <c r="BD23" s="49">
        <v>554841.99038999993</v>
      </c>
      <c r="BE23" s="49">
        <v>554841.99038999993</v>
      </c>
      <c r="BF23" s="49">
        <v>554841.99038999993</v>
      </c>
      <c r="BH23" s="49">
        <v>554841.99038999993</v>
      </c>
      <c r="BI23" s="49">
        <v>554841.99038999993</v>
      </c>
      <c r="BJ23" s="49">
        <v>554841.99038999993</v>
      </c>
      <c r="BK23" s="49">
        <v>554841.99038999993</v>
      </c>
      <c r="BM23" s="49">
        <v>554841.99038999993</v>
      </c>
      <c r="BN23" s="49">
        <v>554841.99038999993</v>
      </c>
      <c r="BO23" s="49">
        <v>554841.99038999993</v>
      </c>
      <c r="BP23" s="49">
        <v>554841.99038999993</v>
      </c>
      <c r="BR23" s="49">
        <v>554841.99038999993</v>
      </c>
      <c r="BS23" s="49">
        <v>554841.99038999993</v>
      </c>
      <c r="BT23" s="49">
        <v>554841.99038999993</v>
      </c>
      <c r="BU23" s="49">
        <v>568716</v>
      </c>
      <c r="BW23" s="49">
        <v>569456</v>
      </c>
    </row>
    <row r="24" spans="1:75">
      <c r="A24" s="20" t="s">
        <v>405</v>
      </c>
      <c r="C24" s="86">
        <v>0</v>
      </c>
      <c r="D24" s="86"/>
      <c r="E24" s="86">
        <v>0</v>
      </c>
      <c r="F24" s="86">
        <v>0</v>
      </c>
      <c r="G24" s="86">
        <v>0</v>
      </c>
      <c r="H24" s="86">
        <v>0</v>
      </c>
      <c r="I24" s="86"/>
      <c r="J24" s="86">
        <v>12390</v>
      </c>
      <c r="K24" s="86">
        <v>12390</v>
      </c>
      <c r="L24" s="86">
        <v>12390</v>
      </c>
      <c r="M24" s="86">
        <v>13298</v>
      </c>
      <c r="N24" s="86"/>
      <c r="O24" s="86">
        <v>13298</v>
      </c>
      <c r="P24" s="86">
        <v>13298</v>
      </c>
      <c r="Q24" s="86">
        <v>13298</v>
      </c>
      <c r="R24" s="86">
        <v>22571</v>
      </c>
      <c r="S24" s="86"/>
      <c r="T24" s="86">
        <v>25435</v>
      </c>
      <c r="U24" s="86">
        <v>25008</v>
      </c>
      <c r="V24" s="86">
        <v>20973</v>
      </c>
      <c r="W24" s="86">
        <v>0</v>
      </c>
      <c r="X24" s="86"/>
      <c r="Y24" s="86">
        <v>0</v>
      </c>
      <c r="Z24" s="86">
        <v>647</v>
      </c>
      <c r="AA24" s="86">
        <v>647.41716000000008</v>
      </c>
      <c r="AB24" s="86">
        <v>4757.9716699999999</v>
      </c>
      <c r="AD24" s="49">
        <v>4863.5934699999998</v>
      </c>
      <c r="AE24" s="49">
        <v>4893.2293799999998</v>
      </c>
      <c r="AF24" s="49">
        <v>4592.4620999999997</v>
      </c>
      <c r="AG24" s="49">
        <v>4672.1512400000001</v>
      </c>
      <c r="AI24" s="49">
        <v>4790.7092000000002</v>
      </c>
      <c r="AJ24" s="49">
        <v>4875.54144</v>
      </c>
      <c r="AK24" s="49">
        <v>4571.1364999999996</v>
      </c>
      <c r="AL24" s="49">
        <v>4648</v>
      </c>
      <c r="AN24" s="49">
        <v>17525.69353</v>
      </c>
      <c r="AO24" s="49">
        <v>17611.45477</v>
      </c>
      <c r="AP24" s="49">
        <v>17190.098181847261</v>
      </c>
      <c r="AQ24" s="49">
        <v>29999.522426847219</v>
      </c>
      <c r="AS24" s="49">
        <v>32301.942521847257</v>
      </c>
      <c r="AT24" s="49">
        <v>33262.540581847257</v>
      </c>
      <c r="AU24" s="49">
        <v>43317.230381847265</v>
      </c>
      <c r="AV24" s="49">
        <v>276712.53461187717</v>
      </c>
      <c r="AX24" s="49">
        <v>251603.48017</v>
      </c>
      <c r="AY24" s="49">
        <v>249392.31388</v>
      </c>
      <c r="AZ24" s="49">
        <v>246071.98684298599</v>
      </c>
      <c r="BA24" s="49">
        <v>361395.34557599796</v>
      </c>
      <c r="BC24" s="49">
        <v>346726.68421999994</v>
      </c>
      <c r="BD24" s="49">
        <v>347882.82215499994</v>
      </c>
      <c r="BE24" s="49">
        <v>351066.60044499993</v>
      </c>
      <c r="BF24" s="49">
        <v>347728.80255000002</v>
      </c>
      <c r="BH24" s="49">
        <v>392069.38915499998</v>
      </c>
      <c r="BI24" s="49">
        <v>402189.65793221601</v>
      </c>
      <c r="BJ24" s="49">
        <v>513754.52760721592</v>
      </c>
      <c r="BK24" s="49">
        <v>738972.145142216</v>
      </c>
      <c r="BM24" s="49">
        <v>728212.79089499998</v>
      </c>
      <c r="BN24" s="49">
        <v>643280</v>
      </c>
      <c r="BO24" s="49">
        <v>671844.4132200001</v>
      </c>
      <c r="BP24" s="49">
        <v>569766.8322699999</v>
      </c>
      <c r="BR24" s="49">
        <v>584258.46227000002</v>
      </c>
      <c r="BS24" s="49">
        <v>582017.74520999996</v>
      </c>
      <c r="BT24" s="49">
        <v>614481.20909000002</v>
      </c>
      <c r="BU24" s="49">
        <v>608769</v>
      </c>
      <c r="BW24" s="49">
        <v>630701</v>
      </c>
    </row>
    <row r="25" spans="1:75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</row>
    <row r="26" spans="1:75" ht="13.5" thickBot="1">
      <c r="A26" s="83" t="s">
        <v>65</v>
      </c>
      <c r="C26" s="62">
        <f>SUM(C21:C24)</f>
        <v>973136</v>
      </c>
      <c r="D26" s="193"/>
      <c r="E26" s="62">
        <f>SUM(E21:E24)</f>
        <v>1089299</v>
      </c>
      <c r="F26" s="62">
        <f>SUM(F21:F24)</f>
        <v>1125585</v>
      </c>
      <c r="G26" s="62">
        <f>SUM(G21:G24)</f>
        <v>1131428</v>
      </c>
      <c r="H26" s="62">
        <f>SUM(H21:H24)</f>
        <v>1202862</v>
      </c>
      <c r="I26" s="193"/>
      <c r="J26" s="62">
        <f>SUM(J21:J24)</f>
        <v>1276543</v>
      </c>
      <c r="K26" s="62">
        <f>SUM(K21:K24)</f>
        <v>1279025</v>
      </c>
      <c r="L26" s="62">
        <f>SUM(L21:L24)</f>
        <v>1283249</v>
      </c>
      <c r="M26" s="62">
        <f>SUM(M21:M24)</f>
        <v>1828279</v>
      </c>
      <c r="N26" s="177"/>
      <c r="O26" s="62">
        <f>SUM(O21:O24)</f>
        <v>2083342</v>
      </c>
      <c r="P26" s="62">
        <f>SUM(P21:P24)</f>
        <v>2419085</v>
      </c>
      <c r="Q26" s="62">
        <f>SUM(Q21:Q24)</f>
        <v>2764255</v>
      </c>
      <c r="R26" s="62">
        <f>SUM(R21:R24)</f>
        <v>4794941</v>
      </c>
      <c r="S26" s="177"/>
      <c r="T26" s="62">
        <f>SUM(T21:T24)</f>
        <v>4778656</v>
      </c>
      <c r="U26" s="62">
        <f>SUM(U21:U24)</f>
        <v>4944536</v>
      </c>
      <c r="V26" s="62">
        <f>SUM(V21:V24)</f>
        <v>5166058</v>
      </c>
      <c r="W26" s="62">
        <f>SUM(W21:W24)</f>
        <v>5258281</v>
      </c>
      <c r="X26" s="177"/>
      <c r="Y26" s="62">
        <f>SUM(Y21:Y24)</f>
        <v>12448416</v>
      </c>
      <c r="Z26" s="62">
        <f>SUM(Z21:Z24)</f>
        <v>13703632</v>
      </c>
      <c r="AA26" s="62">
        <f>SUM(AA21:AA24)</f>
        <v>14287576.655987799</v>
      </c>
      <c r="AB26" s="62">
        <f>SUM(AB21:AB24)</f>
        <v>14459004.419281363</v>
      </c>
      <c r="AD26" s="62">
        <f>SUM(AD21:AD24)</f>
        <v>14650450.191564532</v>
      </c>
      <c r="AE26" s="62">
        <f>SUM(AE21:AE24)</f>
        <v>14715393.44575152</v>
      </c>
      <c r="AF26" s="62">
        <f>SUM(AF21:AF24)</f>
        <v>14378290.334701519</v>
      </c>
      <c r="AG26" s="62">
        <f>SUM(AG21:AG24)</f>
        <v>14042410.372085033</v>
      </c>
      <c r="AI26" s="62">
        <f>SUM(AI21:AI24)</f>
        <v>14186072.299547195</v>
      </c>
      <c r="AJ26" s="62">
        <f>SUM(AJ21:AJ24)</f>
        <v>11815963.710456828</v>
      </c>
      <c r="AK26" s="62">
        <f>SUM(AK21:AK24)</f>
        <v>11162553.740457918</v>
      </c>
      <c r="AL26" s="62">
        <f>SUM(AL21:AL24)</f>
        <v>11041572.117830001</v>
      </c>
      <c r="AM26" s="252"/>
      <c r="AN26" s="62">
        <f>SUM(AN21:AN24)</f>
        <v>11254150.303157505</v>
      </c>
      <c r="AO26" s="62">
        <f>SUM(AO21:AO24)</f>
        <v>11256768.72247423</v>
      </c>
      <c r="AP26" s="62">
        <f>SUM(AP21:AP24)</f>
        <v>10800360.090255842</v>
      </c>
      <c r="AQ26" s="62">
        <f>SUM(AQ21:AQ24)</f>
        <v>7622265.9629778489</v>
      </c>
      <c r="AR26" s="252"/>
      <c r="AS26" s="62">
        <f>SUM(AS21:AS24)</f>
        <v>7280059.1234773304</v>
      </c>
      <c r="AT26" s="62">
        <f>SUM(AT21:AT24)</f>
        <v>7244474.5644613551</v>
      </c>
      <c r="AU26" s="62">
        <f>SUM(AU21:AU24)</f>
        <v>7200767.918471355</v>
      </c>
      <c r="AV26" s="62">
        <f>SUM(AV21:AV24)</f>
        <v>8052379.7711913865</v>
      </c>
      <c r="AW26" s="252"/>
      <c r="AX26" s="62">
        <f>SUM(AX21:AX24)</f>
        <v>7858761.2576100007</v>
      </c>
      <c r="AY26" s="62">
        <f>SUM(AY21:AY24)</f>
        <v>7910791.1740600001</v>
      </c>
      <c r="AZ26" s="62">
        <f>SUM(AZ21:AZ24)</f>
        <v>8407986.9468379859</v>
      </c>
      <c r="BA26" s="62">
        <f>SUM(BA21:BA24)</f>
        <v>8576916.6243259944</v>
      </c>
      <c r="BC26" s="62">
        <f>SUM(BC21:BC24)</f>
        <v>8643869.5398799982</v>
      </c>
      <c r="BD26" s="62">
        <f>SUM(BD21:BD24)</f>
        <v>8603114.204274999</v>
      </c>
      <c r="BE26" s="62">
        <f>SUM(BE21:BE24)</f>
        <v>8702831.0515749976</v>
      </c>
      <c r="BF26" s="62">
        <f>SUM(BF21:BF24)</f>
        <v>8939316.5593200009</v>
      </c>
      <c r="BH26" s="62">
        <f>SUM(BH21:BH24)</f>
        <v>9019512.0156550035</v>
      </c>
      <c r="BI26" s="62">
        <f>SUM(BI21:BI24)</f>
        <v>8655732.4565272164</v>
      </c>
      <c r="BJ26" s="62">
        <f>SUM(BJ21:BJ24)</f>
        <v>8620212.1298322156</v>
      </c>
      <c r="BK26" s="62">
        <f>SUM(BK21:BK24)</f>
        <v>8443828.473592218</v>
      </c>
      <c r="BM26" s="62">
        <f>SUM(BM21:BM24)</f>
        <v>8449138.6496649981</v>
      </c>
      <c r="BN26" s="62">
        <f>SUM(BN21:BN24)</f>
        <v>8399000.990389999</v>
      </c>
      <c r="BO26" s="62">
        <f>SUM(BO21:BO24)</f>
        <v>8463273.7116300017</v>
      </c>
      <c r="BP26" s="62">
        <f>SUM(BP21:BP24)</f>
        <v>9248545.5539199971</v>
      </c>
      <c r="BR26" s="62">
        <f>SUM(BR21:BR24)</f>
        <v>10050059.764500003</v>
      </c>
      <c r="BS26" s="62">
        <f>SUM(BS21:BS24)</f>
        <v>10371265.481240001</v>
      </c>
      <c r="BT26" s="62">
        <f>SUM(BT21:BT24)</f>
        <v>10193263.474950003</v>
      </c>
      <c r="BU26" s="62">
        <f>SUM(BU21:BU24)</f>
        <v>10219856</v>
      </c>
      <c r="BW26" s="62">
        <f>SUM(BW21:BW24)</f>
        <v>10327296</v>
      </c>
    </row>
    <row r="27" spans="1:75">
      <c r="A27" s="83"/>
      <c r="C27" s="177"/>
      <c r="D27" s="193"/>
      <c r="E27" s="177"/>
      <c r="F27" s="177"/>
      <c r="G27" s="177"/>
      <c r="H27" s="177"/>
      <c r="I27" s="193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</row>
    <row r="28" spans="1:75" ht="13.5" thickBot="1">
      <c r="A28" s="83" t="s">
        <v>66</v>
      </c>
      <c r="C28" s="62">
        <f>+C13+C18+C26</f>
        <v>1264849</v>
      </c>
      <c r="D28" s="193"/>
      <c r="E28" s="62">
        <f>+E13+E18+E26</f>
        <v>1320682</v>
      </c>
      <c r="F28" s="62">
        <f>+F13+F18+F26</f>
        <v>1328584</v>
      </c>
      <c r="G28" s="62">
        <f>+G13+G18+G26</f>
        <v>1336285</v>
      </c>
      <c r="H28" s="62">
        <f>+H13+H18+H26</f>
        <v>1341373</v>
      </c>
      <c r="I28" s="193"/>
      <c r="J28" s="62">
        <f t="shared" ref="J28:T28" si="4">J13+J18+J26</f>
        <v>1434570</v>
      </c>
      <c r="K28" s="62">
        <f t="shared" si="4"/>
        <v>1435670</v>
      </c>
      <c r="L28" s="62">
        <f t="shared" si="4"/>
        <v>1438900</v>
      </c>
      <c r="M28" s="62">
        <f t="shared" si="4"/>
        <v>1984872</v>
      </c>
      <c r="N28" s="177"/>
      <c r="O28" s="62">
        <f t="shared" si="4"/>
        <v>2822882</v>
      </c>
      <c r="P28" s="62">
        <f t="shared" si="4"/>
        <v>3016941</v>
      </c>
      <c r="Q28" s="62">
        <f t="shared" si="4"/>
        <v>3524163</v>
      </c>
      <c r="R28" s="62">
        <f t="shared" si="4"/>
        <v>5105236</v>
      </c>
      <c r="S28" s="177"/>
      <c r="T28" s="62">
        <f t="shared" si="4"/>
        <v>5323710</v>
      </c>
      <c r="U28" s="62">
        <f>U13+U18+U26</f>
        <v>5491589</v>
      </c>
      <c r="V28" s="62">
        <f>V13+V18+V26</f>
        <v>6375153</v>
      </c>
      <c r="W28" s="62">
        <f>W13+W18+W26</f>
        <v>6439379</v>
      </c>
      <c r="X28" s="177"/>
      <c r="Y28" s="62">
        <f>Y13+Y18+Y26</f>
        <v>13823488</v>
      </c>
      <c r="Z28" s="62">
        <f>Z13+Z18+Z26</f>
        <v>14708025</v>
      </c>
      <c r="AA28" s="62">
        <f>AA13+AA18+AA26</f>
        <v>15001721.074367914</v>
      </c>
      <c r="AB28" s="62">
        <f>AB13+AB18+AB26</f>
        <v>15399541.297695283</v>
      </c>
      <c r="AD28" s="62">
        <f>AD13+AD18+AD26</f>
        <v>15900896.931491228</v>
      </c>
      <c r="AE28" s="62">
        <f>AE13+AE18+AE26</f>
        <v>15965822.352059133</v>
      </c>
      <c r="AF28" s="62">
        <f>AF13+AF18+AF26</f>
        <v>15781430.119865026</v>
      </c>
      <c r="AG28" s="62">
        <f>AG13+AG18+AG26</f>
        <v>15463222.029746545</v>
      </c>
      <c r="AI28" s="62">
        <f>AI13+AI18+AI26</f>
        <v>15525860.8339116</v>
      </c>
      <c r="AJ28" s="62">
        <f>AJ13+AJ18+AJ26</f>
        <v>13128684.946016679</v>
      </c>
      <c r="AK28" s="62">
        <f>AK13+AK18+AK26</f>
        <v>12360459.101761613</v>
      </c>
      <c r="AL28" s="62">
        <f>AL13+AL18+AL26</f>
        <v>11982105.117830001</v>
      </c>
      <c r="AN28" s="62">
        <f>AN13+AN18+AN26</f>
        <v>12152930.309014907</v>
      </c>
      <c r="AO28" s="62">
        <f>AO13+AO18+AO26</f>
        <v>12128071.492852895</v>
      </c>
      <c r="AP28" s="62">
        <f>AP13+AP18+AP26</f>
        <v>11682911.092854191</v>
      </c>
      <c r="AQ28" s="62">
        <f>AQ13+AQ18+AQ26</f>
        <v>9162162.3278623223</v>
      </c>
      <c r="AS28" s="62">
        <f>AS13+AS18+AS26-1</f>
        <v>8645754.0477293003</v>
      </c>
      <c r="AT28" s="62">
        <f>AT13+AT18+AT26</f>
        <v>8519022.8031181376</v>
      </c>
      <c r="AU28" s="62">
        <f>AU13+AU18+AU26+1</f>
        <v>8567373.3857209533</v>
      </c>
      <c r="AV28" s="62">
        <f>AV13+AV18+AV26</f>
        <v>9180530.8875442594</v>
      </c>
      <c r="AX28" s="62">
        <f>AX13+AX18+AX26</f>
        <v>9204852.5468600001</v>
      </c>
      <c r="AY28" s="62">
        <f>AY13+AY18+AY26</f>
        <v>9132128.2397150006</v>
      </c>
      <c r="AZ28" s="62">
        <f>AZ13+AZ18+AZ26</f>
        <v>9594756.3534879852</v>
      </c>
      <c r="BA28" s="62">
        <f t="shared" ref="BA28" si="5">BA13+BA18+BA26</f>
        <v>9797951.4268459938</v>
      </c>
      <c r="BC28" s="62">
        <f>BC13+BC18+BC26</f>
        <v>9826662.8779749982</v>
      </c>
      <c r="BD28" s="62">
        <f>BD13+BD18+BD26</f>
        <v>9750308.9530449994</v>
      </c>
      <c r="BE28" s="62">
        <f>BE13+BE18+BE26</f>
        <v>9773978.8277549967</v>
      </c>
      <c r="BF28" s="62">
        <f>BF13+BF18+BF26</f>
        <v>10637147.489755001</v>
      </c>
      <c r="BH28" s="62">
        <f>BH13+BH18+BH26</f>
        <v>9836201.069810003</v>
      </c>
      <c r="BI28" s="62">
        <f>BI13+BI18+BI26</f>
        <v>9588831.4122972172</v>
      </c>
      <c r="BJ28" s="62">
        <f>BJ13+BJ18+BJ26</f>
        <v>9284369.1554172151</v>
      </c>
      <c r="BK28" s="62">
        <f>BK13+BK18+BK26</f>
        <v>9946285.7844672184</v>
      </c>
      <c r="BM28" s="62">
        <f>BM13+BM18+BM26</f>
        <v>9922463.5845049974</v>
      </c>
      <c r="BN28" s="62">
        <f>BN13+BN18+BN26</f>
        <v>9916324.990389999</v>
      </c>
      <c r="BO28" s="62">
        <f>BO13+BO18+BO26</f>
        <v>10493449.494620003</v>
      </c>
      <c r="BP28" s="62">
        <f>BP13+BP18+BP26</f>
        <v>10654156.877179997</v>
      </c>
      <c r="BR28" s="62">
        <f>BR13+BR18+BR26</f>
        <v>11067324.758230003</v>
      </c>
      <c r="BS28" s="62">
        <f>BS13+BS18+BS26</f>
        <v>11206244.715810001</v>
      </c>
      <c r="BT28" s="62">
        <f>BT13+BT18+BT26</f>
        <v>11447306.385760002</v>
      </c>
      <c r="BU28" s="62">
        <f>BU13+BU18+BU26</f>
        <v>11283900</v>
      </c>
      <c r="BW28" s="62">
        <f>BW13+BW18+BW26</f>
        <v>11312600</v>
      </c>
    </row>
    <row r="29" spans="1:75"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spans="1:75"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</row>
    <row r="31" spans="1:75">
      <c r="C31" s="189">
        <v>2007</v>
      </c>
      <c r="D31" s="190"/>
      <c r="E31" s="189" t="s">
        <v>133</v>
      </c>
      <c r="F31" s="189" t="s">
        <v>122</v>
      </c>
      <c r="G31" s="189" t="s">
        <v>123</v>
      </c>
      <c r="H31" s="189">
        <v>2008</v>
      </c>
      <c r="I31" s="190"/>
      <c r="J31" s="189" t="s">
        <v>125</v>
      </c>
      <c r="K31" s="189" t="s">
        <v>126</v>
      </c>
      <c r="L31" s="189" t="s">
        <v>127</v>
      </c>
      <c r="M31" s="189">
        <v>2009</v>
      </c>
      <c r="N31" s="190"/>
      <c r="O31" s="189" t="s">
        <v>129</v>
      </c>
      <c r="P31" s="189" t="s">
        <v>130</v>
      </c>
      <c r="Q31" s="189" t="s">
        <v>131</v>
      </c>
      <c r="R31" s="189">
        <v>2010</v>
      </c>
      <c r="S31" s="190"/>
      <c r="T31" s="189" t="s">
        <v>158</v>
      </c>
      <c r="U31" s="189" t="s">
        <v>218</v>
      </c>
      <c r="V31" s="189" t="s">
        <v>248</v>
      </c>
      <c r="W31" s="189">
        <v>2011</v>
      </c>
      <c r="X31" s="190"/>
      <c r="Y31" s="189" t="s">
        <v>263</v>
      </c>
      <c r="Z31" s="189" t="s">
        <v>328</v>
      </c>
      <c r="AA31" s="189" t="s">
        <v>332</v>
      </c>
      <c r="AB31" s="189">
        <v>2012</v>
      </c>
      <c r="AD31" s="189" t="s">
        <v>340</v>
      </c>
      <c r="AE31" s="189" t="s">
        <v>347</v>
      </c>
      <c r="AF31" s="189" t="s">
        <v>349</v>
      </c>
      <c r="AG31" s="189">
        <v>2013</v>
      </c>
      <c r="AI31" s="189" t="s">
        <v>354</v>
      </c>
      <c r="AJ31" s="189" t="s">
        <v>362</v>
      </c>
      <c r="AK31" s="189" t="s">
        <v>365</v>
      </c>
      <c r="AL31" s="189">
        <v>2014</v>
      </c>
      <c r="AN31" s="189" t="s">
        <v>370</v>
      </c>
      <c r="AO31" s="189" t="s">
        <v>372</v>
      </c>
      <c r="AP31" s="189" t="s">
        <v>388</v>
      </c>
      <c r="AQ31" s="189">
        <v>2015</v>
      </c>
      <c r="AS31" s="189" t="s">
        <v>392</v>
      </c>
      <c r="AT31" s="189" t="s">
        <v>395</v>
      </c>
      <c r="AU31" s="189" t="s">
        <v>400</v>
      </c>
      <c r="AV31" s="189">
        <v>2016</v>
      </c>
      <c r="AX31" s="189" t="s">
        <v>413</v>
      </c>
      <c r="AY31" s="189" t="s">
        <v>416</v>
      </c>
      <c r="AZ31" s="189" t="s">
        <v>586</v>
      </c>
      <c r="BA31" s="189">
        <v>2017</v>
      </c>
      <c r="BC31" s="189" t="s">
        <v>599</v>
      </c>
      <c r="BD31" s="189" t="s">
        <v>602</v>
      </c>
      <c r="BE31" s="189" t="s">
        <v>610</v>
      </c>
      <c r="BF31" s="189">
        <v>2018</v>
      </c>
      <c r="BH31" s="189" t="str">
        <f>BH3</f>
        <v>1T19</v>
      </c>
      <c r="BI31" s="189" t="str">
        <f>BI3</f>
        <v>2T19</v>
      </c>
      <c r="BJ31" s="189" t="str">
        <f>BJ3</f>
        <v>3T19</v>
      </c>
      <c r="BK31" s="189">
        <v>2019</v>
      </c>
      <c r="BM31" s="189" t="str">
        <f>BM3</f>
        <v>1T20</v>
      </c>
      <c r="BN31" s="189" t="str">
        <f>BN3</f>
        <v>2T20</v>
      </c>
      <c r="BO31" s="189" t="str">
        <f>BO3</f>
        <v>3T20</v>
      </c>
      <c r="BP31" s="189">
        <f>BP3</f>
        <v>2020</v>
      </c>
      <c r="BR31" s="189" t="str">
        <f>BR3</f>
        <v>1T21</v>
      </c>
      <c r="BS31" s="189" t="str">
        <f>BS3</f>
        <v>2T21</v>
      </c>
      <c r="BT31" s="189" t="s">
        <v>674</v>
      </c>
      <c r="BU31" s="189">
        <f>BU3</f>
        <v>2021</v>
      </c>
      <c r="BW31" s="189" t="str">
        <f>BW3</f>
        <v>1T22</v>
      </c>
    </row>
    <row r="32" spans="1:75">
      <c r="A32" s="83" t="s">
        <v>10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75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75">
      <c r="A34" s="83" t="s">
        <v>1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75">
      <c r="A35" s="20" t="s">
        <v>11</v>
      </c>
      <c r="C35" s="86">
        <v>51362</v>
      </c>
      <c r="D35" s="86"/>
      <c r="E35" s="86">
        <v>58997</v>
      </c>
      <c r="F35" s="86">
        <v>61770</v>
      </c>
      <c r="G35" s="86">
        <v>63355</v>
      </c>
      <c r="H35" s="86">
        <v>65040</v>
      </c>
      <c r="I35" s="86"/>
      <c r="J35" s="86">
        <v>66396</v>
      </c>
      <c r="K35" s="86">
        <v>68423</v>
      </c>
      <c r="L35" s="86">
        <v>69812</v>
      </c>
      <c r="M35" s="86">
        <v>79860</v>
      </c>
      <c r="N35" s="86"/>
      <c r="O35" s="86">
        <v>92238</v>
      </c>
      <c r="P35" s="86">
        <v>111721</v>
      </c>
      <c r="Q35" s="86">
        <v>361719</v>
      </c>
      <c r="R35" s="86">
        <v>285777</v>
      </c>
      <c r="S35" s="86"/>
      <c r="T35" s="86">
        <v>117197</v>
      </c>
      <c r="U35" s="86">
        <v>134117</v>
      </c>
      <c r="V35" s="86">
        <v>145652</v>
      </c>
      <c r="W35" s="86">
        <v>144956</v>
      </c>
      <c r="X35" s="86"/>
      <c r="Y35" s="86">
        <v>790962</v>
      </c>
      <c r="Z35" s="86">
        <v>1050693</v>
      </c>
      <c r="AA35" s="86">
        <v>613856.10125799337</v>
      </c>
      <c r="AB35" s="86">
        <v>678772.18313595839</v>
      </c>
      <c r="AD35" s="86">
        <v>930618.88582884311</v>
      </c>
      <c r="AE35" s="86">
        <v>668131.48943137564</v>
      </c>
      <c r="AF35" s="86">
        <v>409307.89859002485</v>
      </c>
      <c r="AG35" s="86">
        <v>908965.64702854923</v>
      </c>
      <c r="AI35" s="86">
        <v>935332.3486119773</v>
      </c>
      <c r="AJ35" s="86">
        <v>844281.5340587378</v>
      </c>
      <c r="AK35" s="86">
        <v>321714.71993557108</v>
      </c>
      <c r="AL35" s="86">
        <v>268856</v>
      </c>
      <c r="AN35" s="86">
        <v>277751.64057500003</v>
      </c>
      <c r="AO35" s="86">
        <v>291957.90760000004</v>
      </c>
      <c r="AP35" s="86">
        <v>451039.48396500002</v>
      </c>
      <c r="AQ35" s="86">
        <v>680179.78583499999</v>
      </c>
      <c r="AS35" s="86">
        <v>633616.08947999985</v>
      </c>
      <c r="AT35" s="86">
        <v>679738.93021999986</v>
      </c>
      <c r="AU35" s="86">
        <v>649062.96014500014</v>
      </c>
      <c r="AV35" s="86">
        <v>547173.67919499998</v>
      </c>
      <c r="AX35" s="86">
        <v>610174.01978500024</v>
      </c>
      <c r="AY35" s="86">
        <v>581113.54938999994</v>
      </c>
      <c r="AZ35" s="86">
        <v>520043.53574000002</v>
      </c>
      <c r="BA35" s="86">
        <v>584909.72767999989</v>
      </c>
      <c r="BC35" s="86">
        <v>552729.68305499991</v>
      </c>
      <c r="BD35" s="86">
        <v>522171.839485</v>
      </c>
      <c r="BE35" s="86">
        <v>400630.37237499992</v>
      </c>
      <c r="BF35" s="86">
        <v>1040253.0338900001</v>
      </c>
      <c r="BH35" s="86">
        <v>361343.11629999999</v>
      </c>
      <c r="BI35" s="86">
        <v>342570.51811999996</v>
      </c>
      <c r="BJ35" s="86">
        <v>244416.75641999999</v>
      </c>
      <c r="BK35" s="86">
        <v>249623.10169000001</v>
      </c>
      <c r="BM35" s="86">
        <v>256982.14718</v>
      </c>
      <c r="BN35" s="86">
        <v>120889</v>
      </c>
      <c r="BO35" s="86">
        <v>280521.62616999994</v>
      </c>
      <c r="BP35" s="86">
        <v>286241.20398999995</v>
      </c>
      <c r="BR35" s="86">
        <v>286404.72228999995</v>
      </c>
      <c r="BS35" s="86">
        <v>300171.45495999994</v>
      </c>
      <c r="BT35" s="86">
        <v>324212.95289999997</v>
      </c>
      <c r="BU35" s="86">
        <v>473536</v>
      </c>
      <c r="BW35" s="86">
        <v>513745</v>
      </c>
    </row>
    <row r="36" spans="1:75">
      <c r="A36" s="20" t="s">
        <v>12</v>
      </c>
      <c r="C36" s="86">
        <v>1048</v>
      </c>
      <c r="D36" s="86"/>
      <c r="E36" s="86">
        <v>939</v>
      </c>
      <c r="F36" s="86">
        <v>1876</v>
      </c>
      <c r="G36" s="86">
        <v>1401</v>
      </c>
      <c r="H36" s="86">
        <v>1964</v>
      </c>
      <c r="I36" s="86"/>
      <c r="J36" s="86">
        <v>1833</v>
      </c>
      <c r="K36" s="86">
        <v>3543.5</v>
      </c>
      <c r="L36" s="86">
        <v>1388</v>
      </c>
      <c r="M36" s="86">
        <v>1162</v>
      </c>
      <c r="N36" s="86"/>
      <c r="O36" s="86">
        <v>2309</v>
      </c>
      <c r="P36" s="86">
        <v>1816</v>
      </c>
      <c r="Q36" s="86">
        <v>1795</v>
      </c>
      <c r="R36" s="86">
        <v>11803</v>
      </c>
      <c r="S36" s="86"/>
      <c r="T36" s="86">
        <v>4880</v>
      </c>
      <c r="U36" s="86">
        <v>5858</v>
      </c>
      <c r="V36" s="86">
        <v>12535</v>
      </c>
      <c r="W36" s="86">
        <v>12530</v>
      </c>
      <c r="X36" s="86"/>
      <c r="Y36" s="86">
        <v>56277</v>
      </c>
      <c r="Z36" s="86">
        <v>23796</v>
      </c>
      <c r="AA36" s="86">
        <v>16348.387017688205</v>
      </c>
      <c r="AB36" s="86">
        <v>10661.748949109588</v>
      </c>
      <c r="AD36" s="86">
        <v>17730.143614685967</v>
      </c>
      <c r="AE36" s="86">
        <v>23698.295969604951</v>
      </c>
      <c r="AF36" s="86">
        <v>22872.457588352379</v>
      </c>
      <c r="AG36" s="86">
        <v>42077.407064195118</v>
      </c>
      <c r="AI36" s="86">
        <v>15358.469183791583</v>
      </c>
      <c r="AJ36" s="86">
        <v>14405.486745564842</v>
      </c>
      <c r="AK36" s="86">
        <v>19745.289824168001</v>
      </c>
      <c r="AL36" s="86">
        <v>16613</v>
      </c>
      <c r="AN36" s="86">
        <v>13148.442676214036</v>
      </c>
      <c r="AO36" s="86">
        <v>11961.141193341391</v>
      </c>
      <c r="AP36" s="86">
        <v>6895.6648445528353</v>
      </c>
      <c r="AQ36" s="86">
        <v>3816.8373415880428</v>
      </c>
      <c r="AS36" s="86">
        <v>6150.9413291142992</v>
      </c>
      <c r="AT36" s="86">
        <v>3384.3539814561532</v>
      </c>
      <c r="AU36" s="86">
        <v>4165.314391910455</v>
      </c>
      <c r="AV36" s="86">
        <v>5947.6954047776317</v>
      </c>
      <c r="AX36" s="86">
        <v>10175.926419999998</v>
      </c>
      <c r="AY36" s="86">
        <v>7064.5230599999977</v>
      </c>
      <c r="AZ36" s="86">
        <v>18589.607899999995</v>
      </c>
      <c r="BA36" s="86">
        <v>8591.8816600000009</v>
      </c>
      <c r="BC36" s="86">
        <v>4973.1691399999991</v>
      </c>
      <c r="BD36" s="86">
        <v>14133.839199999993</v>
      </c>
      <c r="BE36" s="86">
        <v>19745.152865</v>
      </c>
      <c r="BF36" s="86">
        <v>20377.43075</v>
      </c>
      <c r="BH36" s="86">
        <v>26016.377179999992</v>
      </c>
      <c r="BI36" s="86">
        <v>22144.832369999989</v>
      </c>
      <c r="BJ36" s="86">
        <v>13824.810010000005</v>
      </c>
      <c r="BK36" s="86">
        <v>20691.225300000006</v>
      </c>
      <c r="BM36" s="86">
        <v>16695.618510000004</v>
      </c>
      <c r="BN36" s="86">
        <v>15143</v>
      </c>
      <c r="BO36" s="86">
        <v>20399.042190000018</v>
      </c>
      <c r="BP36" s="86">
        <v>2586.3010799999829</v>
      </c>
      <c r="BR36" s="86">
        <v>11915.387840000001</v>
      </c>
      <c r="BS36" s="86">
        <v>14620.00999</v>
      </c>
      <c r="BT36" s="86">
        <v>31273.701010000004</v>
      </c>
      <c r="BU36" s="86">
        <v>28605</v>
      </c>
      <c r="BW36" s="86">
        <v>17038</v>
      </c>
    </row>
    <row r="37" spans="1:75">
      <c r="A37" s="20" t="s">
        <v>14</v>
      </c>
      <c r="C37" s="20">
        <v>733</v>
      </c>
      <c r="D37" s="86"/>
      <c r="E37" s="86">
        <v>0</v>
      </c>
      <c r="F37" s="86">
        <v>0</v>
      </c>
      <c r="G37" s="86">
        <v>0</v>
      </c>
      <c r="H37" s="86">
        <v>809</v>
      </c>
      <c r="I37" s="86"/>
      <c r="J37" s="86">
        <v>779</v>
      </c>
      <c r="K37" s="86">
        <v>1250.5</v>
      </c>
      <c r="L37" s="86">
        <v>767</v>
      </c>
      <c r="M37" s="86">
        <v>757</v>
      </c>
      <c r="N37" s="86"/>
      <c r="O37" s="86">
        <v>1387</v>
      </c>
      <c r="P37" s="86">
        <v>2229</v>
      </c>
      <c r="Q37" s="86">
        <v>2239</v>
      </c>
      <c r="R37" s="86">
        <v>2353</v>
      </c>
      <c r="S37" s="86"/>
      <c r="T37" s="86">
        <v>7834</v>
      </c>
      <c r="U37" s="86">
        <v>2321</v>
      </c>
      <c r="V37" s="86">
        <v>2847</v>
      </c>
      <c r="W37" s="86">
        <v>3880</v>
      </c>
      <c r="X37" s="86"/>
      <c r="Y37" s="86">
        <f>6579+11977</f>
        <v>18556</v>
      </c>
      <c r="Z37" s="86">
        <v>17748</v>
      </c>
      <c r="AA37" s="86">
        <v>15472.3</v>
      </c>
      <c r="AB37" s="86">
        <v>27910.400000000001</v>
      </c>
      <c r="AD37" s="86">
        <v>22695.86551</v>
      </c>
      <c r="AE37" s="86">
        <f>19421017.3111628/1000</f>
        <v>19421.017311162799</v>
      </c>
      <c r="AF37" s="86">
        <v>30155</v>
      </c>
      <c r="AG37" s="86">
        <v>30269</v>
      </c>
      <c r="AI37" s="86">
        <v>18671</v>
      </c>
      <c r="AJ37" s="86">
        <v>9539</v>
      </c>
      <c r="AK37" s="86">
        <v>7447</v>
      </c>
      <c r="AL37" s="86">
        <v>8620</v>
      </c>
      <c r="AN37" s="86">
        <v>6235</v>
      </c>
      <c r="AO37" s="86">
        <v>5254</v>
      </c>
      <c r="AP37" s="86">
        <v>6851.372628098452</v>
      </c>
      <c r="AQ37" s="86">
        <v>19453.052555962033</v>
      </c>
      <c r="AS37" s="86">
        <v>4415.8806309250094</v>
      </c>
      <c r="AT37" s="86">
        <v>13714.496700359627</v>
      </c>
      <c r="AU37" s="86">
        <v>9563.2779218202904</v>
      </c>
      <c r="AV37" s="86">
        <v>3472.5072749731848</v>
      </c>
      <c r="AX37" s="86">
        <v>2265.0207750000031</v>
      </c>
      <c r="AY37" s="86">
        <v>2331.5807149999955</v>
      </c>
      <c r="AZ37" s="86">
        <v>2938.9383500000031</v>
      </c>
      <c r="BA37" s="86">
        <v>3355.0713200000027</v>
      </c>
      <c r="BC37" s="86">
        <v>2174.536440000008</v>
      </c>
      <c r="BD37" s="86">
        <v>2217.9195649999983</v>
      </c>
      <c r="BE37" s="86">
        <v>2171.5231950000039</v>
      </c>
      <c r="BF37" s="86">
        <v>2782.2434399999984</v>
      </c>
      <c r="BH37" s="86">
        <v>3043.5637399999973</v>
      </c>
      <c r="BI37" s="86">
        <v>2689.0304549999919</v>
      </c>
      <c r="BJ37" s="86">
        <v>1981.4461900000017</v>
      </c>
      <c r="BK37" s="86">
        <v>2685.8982199999991</v>
      </c>
      <c r="BM37" s="86">
        <v>1541.2366550000099</v>
      </c>
      <c r="BN37" s="86">
        <v>1743</v>
      </c>
      <c r="BO37" s="86">
        <v>2292.1562800000333</v>
      </c>
      <c r="BP37" s="86">
        <v>1969.4756799999893</v>
      </c>
      <c r="BR37" s="86">
        <v>2607.8958600000005</v>
      </c>
      <c r="BS37" s="86">
        <v>2157.5780700000005</v>
      </c>
      <c r="BT37" s="86">
        <v>13935.106780000002</v>
      </c>
      <c r="BU37" s="86">
        <v>10703</v>
      </c>
      <c r="BW37" s="86">
        <v>40386</v>
      </c>
    </row>
    <row r="38" spans="1:75">
      <c r="A38" s="20" t="s">
        <v>15</v>
      </c>
      <c r="C38" s="86">
        <v>291</v>
      </c>
      <c r="D38" s="86"/>
      <c r="E38" s="20">
        <f>1173+557</f>
        <v>1730</v>
      </c>
      <c r="F38" s="86">
        <f>594+689</f>
        <v>1283</v>
      </c>
      <c r="G38" s="86">
        <f>645+677</f>
        <v>1322</v>
      </c>
      <c r="H38" s="86">
        <v>500</v>
      </c>
      <c r="I38" s="86"/>
      <c r="J38" s="86">
        <v>1272</v>
      </c>
      <c r="K38" s="86">
        <v>859</v>
      </c>
      <c r="L38" s="86">
        <v>833</v>
      </c>
      <c r="M38" s="86">
        <v>1142</v>
      </c>
      <c r="N38" s="86"/>
      <c r="O38" s="86">
        <v>2924</v>
      </c>
      <c r="P38" s="86">
        <v>5479</v>
      </c>
      <c r="Q38" s="86">
        <v>8503</v>
      </c>
      <c r="R38" s="86">
        <v>2839</v>
      </c>
      <c r="S38" s="86"/>
      <c r="T38" s="86">
        <v>2312</v>
      </c>
      <c r="U38" s="86">
        <v>11596</v>
      </c>
      <c r="V38" s="86">
        <v>16435</v>
      </c>
      <c r="W38" s="86">
        <v>4340</v>
      </c>
      <c r="X38" s="86"/>
      <c r="Y38" s="86">
        <v>9003</v>
      </c>
      <c r="Z38" s="86">
        <v>19566</v>
      </c>
      <c r="AA38" s="86">
        <v>36257</v>
      </c>
      <c r="AB38" s="86">
        <v>27295.4</v>
      </c>
      <c r="AD38" s="86">
        <f>29883390.64/1000</f>
        <v>29883.390640000001</v>
      </c>
      <c r="AE38" s="86">
        <f>42922662.0958502/1000</f>
        <v>42922.662095850203</v>
      </c>
      <c r="AF38" s="86">
        <v>71944</v>
      </c>
      <c r="AG38" s="86">
        <v>3488</v>
      </c>
      <c r="AI38" s="86">
        <v>11935</v>
      </c>
      <c r="AJ38" s="86">
        <v>161140</v>
      </c>
      <c r="AK38" s="86">
        <v>249916</v>
      </c>
      <c r="AL38" s="86">
        <v>46199</v>
      </c>
      <c r="AM38" s="252"/>
      <c r="AN38" s="86">
        <v>14791</v>
      </c>
      <c r="AO38" s="86">
        <v>33188</v>
      </c>
      <c r="AP38" s="86">
        <v>43434</v>
      </c>
      <c r="AQ38" s="86">
        <v>5912.4134396882018</v>
      </c>
      <c r="AR38" s="252"/>
      <c r="AS38" s="86">
        <v>23324.175096226438</v>
      </c>
      <c r="AT38" s="86">
        <v>22236.414973663443</v>
      </c>
      <c r="AU38" s="86">
        <v>28357.313089243617</v>
      </c>
      <c r="AV38" s="86">
        <v>3316.8995292827603</v>
      </c>
      <c r="AW38" s="252"/>
      <c r="AX38" s="86">
        <v>10794.916299999999</v>
      </c>
      <c r="AY38" s="86">
        <v>7253.3850999999995</v>
      </c>
      <c r="AZ38" s="86">
        <v>10561.275769999998</v>
      </c>
      <c r="BA38" s="86">
        <v>380.31818499999935</v>
      </c>
      <c r="BC38" s="86">
        <v>2467.567544999999</v>
      </c>
      <c r="BD38" s="86">
        <v>3699.4823499999998</v>
      </c>
      <c r="BE38" s="86">
        <v>5180.3760199999997</v>
      </c>
      <c r="BF38" s="86">
        <v>1161.3703150000006</v>
      </c>
      <c r="BH38" s="86">
        <v>2534.9770350000013</v>
      </c>
      <c r="BI38" s="86">
        <v>2583.8124999999995</v>
      </c>
      <c r="BJ38" s="86">
        <v>2425.7043549999994</v>
      </c>
      <c r="BK38" s="86">
        <v>17031.465219999998</v>
      </c>
      <c r="BM38" s="86">
        <v>1114.2994549999989</v>
      </c>
      <c r="BN38" s="86">
        <v>1276</v>
      </c>
      <c r="BO38" s="86">
        <v>954.4953100000015</v>
      </c>
      <c r="BP38" s="86">
        <v>358.13614999999993</v>
      </c>
      <c r="BR38" s="86">
        <v>420.58351000000062</v>
      </c>
      <c r="BS38" s="86">
        <v>508.67568999999935</v>
      </c>
      <c r="BT38" s="86">
        <v>8668.6974500000015</v>
      </c>
      <c r="BU38" s="86">
        <v>442</v>
      </c>
      <c r="BW38" s="86">
        <v>514</v>
      </c>
    </row>
    <row r="39" spans="1:75">
      <c r="A39" s="20" t="s">
        <v>17</v>
      </c>
      <c r="C39" s="86">
        <v>110</v>
      </c>
      <c r="D39" s="86"/>
      <c r="E39" s="86">
        <f>75+663</f>
        <v>738</v>
      </c>
      <c r="F39" s="86">
        <f>164+1514</f>
        <v>1678</v>
      </c>
      <c r="G39" s="86">
        <f>257+238</f>
        <v>495</v>
      </c>
      <c r="H39" s="86">
        <v>602</v>
      </c>
      <c r="I39" s="86"/>
      <c r="J39" s="86">
        <v>3183</v>
      </c>
      <c r="K39" s="86">
        <v>2255</v>
      </c>
      <c r="L39" s="86">
        <v>3039</v>
      </c>
      <c r="M39" s="86">
        <v>585</v>
      </c>
      <c r="N39" s="86"/>
      <c r="O39" s="86">
        <v>4266</v>
      </c>
      <c r="P39" s="86">
        <v>1076</v>
      </c>
      <c r="Q39" s="86">
        <v>1171</v>
      </c>
      <c r="R39" s="86">
        <v>970</v>
      </c>
      <c r="S39" s="86"/>
      <c r="T39" s="86">
        <v>4952</v>
      </c>
      <c r="U39" s="86">
        <v>1435</v>
      </c>
      <c r="V39" s="86">
        <v>1845</v>
      </c>
      <c r="W39" s="86">
        <v>5020</v>
      </c>
      <c r="X39" s="86"/>
      <c r="Y39" s="86">
        <v>14752</v>
      </c>
      <c r="Z39" s="86">
        <v>4981</v>
      </c>
      <c r="AA39" s="86">
        <v>3337.7216419339993</v>
      </c>
      <c r="AB39" s="86">
        <v>5494.4</v>
      </c>
      <c r="AD39" s="86">
        <v>5517.7471949999999</v>
      </c>
      <c r="AE39" s="86">
        <v>4067.6125600000005</v>
      </c>
      <c r="AF39" s="86">
        <v>3115.0219949804</v>
      </c>
      <c r="AG39" s="86">
        <v>5742.4905715182049</v>
      </c>
      <c r="AI39" s="86">
        <v>10393.647809971275</v>
      </c>
      <c r="AJ39" s="86">
        <v>2969.4000249742576</v>
      </c>
      <c r="AK39" s="86">
        <v>3066.1375400292009</v>
      </c>
      <c r="AL39" s="86">
        <v>2362</v>
      </c>
      <c r="AM39" s="252"/>
      <c r="AN39" s="86">
        <v>5676.5632057995208</v>
      </c>
      <c r="AO39" s="86">
        <v>2802</v>
      </c>
      <c r="AP39" s="86">
        <v>2883.6672072288484</v>
      </c>
      <c r="AQ39" s="86">
        <v>7499.4578670815663</v>
      </c>
      <c r="AR39" s="252"/>
      <c r="AS39" s="86">
        <v>3239.9231323560898</v>
      </c>
      <c r="AT39" s="86">
        <v>2417.3942513340412</v>
      </c>
      <c r="AU39" s="86">
        <v>2507.3683156833349</v>
      </c>
      <c r="AV39" s="86">
        <v>1893.0076516448355</v>
      </c>
      <c r="AW39" s="252"/>
      <c r="AX39" s="86">
        <v>4773.7481600000001</v>
      </c>
      <c r="AY39" s="86">
        <v>2388.1398699999995</v>
      </c>
      <c r="AZ39" s="86">
        <v>2745.6712400000001</v>
      </c>
      <c r="BA39" s="86">
        <v>2181.81666</v>
      </c>
      <c r="BC39" s="86">
        <v>2373.3434499999998</v>
      </c>
      <c r="BD39" s="86">
        <v>2848.0796799999998</v>
      </c>
      <c r="BE39" s="86">
        <v>3293.0955899999999</v>
      </c>
      <c r="BF39" s="86">
        <v>2622.4930500000005</v>
      </c>
      <c r="BH39" s="86">
        <v>2577.3772800000002</v>
      </c>
      <c r="BI39" s="86">
        <v>3198.8431499999997</v>
      </c>
      <c r="BJ39" s="86">
        <v>3348.6500799999994</v>
      </c>
      <c r="BK39" s="86">
        <v>2643.3953700000002</v>
      </c>
      <c r="BM39" s="86">
        <v>2793.6324900000004</v>
      </c>
      <c r="BN39" s="86">
        <v>4282</v>
      </c>
      <c r="BO39" s="86">
        <v>4311.7396200000012</v>
      </c>
      <c r="BP39" s="86">
        <v>2913.5556500000002</v>
      </c>
      <c r="BR39" s="86">
        <v>7175.6133599999994</v>
      </c>
      <c r="BS39" s="86">
        <v>3710.1542399999998</v>
      </c>
      <c r="BT39" s="86">
        <v>3730.9851500000004</v>
      </c>
      <c r="BU39" s="86">
        <v>3101</v>
      </c>
      <c r="BW39" s="86">
        <v>8703</v>
      </c>
    </row>
    <row r="40" spans="1:75">
      <c r="A40" s="20" t="s">
        <v>16</v>
      </c>
      <c r="C40" s="86">
        <v>2630</v>
      </c>
      <c r="D40" s="86"/>
      <c r="E40" s="86">
        <v>414</v>
      </c>
      <c r="F40" s="86">
        <v>341</v>
      </c>
      <c r="G40" s="86">
        <v>499</v>
      </c>
      <c r="H40" s="86">
        <v>4595</v>
      </c>
      <c r="I40" s="86"/>
      <c r="J40" s="86">
        <v>0</v>
      </c>
      <c r="K40" s="86">
        <v>0</v>
      </c>
      <c r="L40" s="86">
        <v>0</v>
      </c>
      <c r="M40" s="86">
        <v>4500</v>
      </c>
      <c r="N40" s="86"/>
      <c r="O40" s="86">
        <v>222</v>
      </c>
      <c r="P40" s="86">
        <v>1371</v>
      </c>
      <c r="Q40" s="86">
        <v>2520</v>
      </c>
      <c r="R40" s="86">
        <v>5500</v>
      </c>
      <c r="S40" s="86"/>
      <c r="T40" s="86">
        <v>2271</v>
      </c>
      <c r="U40" s="86">
        <v>2700</v>
      </c>
      <c r="V40" s="86">
        <v>3849</v>
      </c>
      <c r="W40" s="86">
        <v>10000</v>
      </c>
      <c r="X40" s="86"/>
      <c r="Y40" s="86">
        <v>1149</v>
      </c>
      <c r="Z40" s="86">
        <v>2298</v>
      </c>
      <c r="AA40" s="86">
        <v>3447</v>
      </c>
      <c r="AB40" s="86">
        <v>12095.4</v>
      </c>
      <c r="AD40" s="86">
        <v>13244.45</v>
      </c>
      <c r="AE40" s="86">
        <v>2628</v>
      </c>
      <c r="AF40" s="86">
        <v>3942</v>
      </c>
      <c r="AG40" s="86">
        <v>15095.381262997151</v>
      </c>
      <c r="AI40" s="86">
        <v>3290.8874300000002</v>
      </c>
      <c r="AJ40" s="86">
        <v>3179.4314300000001</v>
      </c>
      <c r="AK40" s="86">
        <v>2181.3616299999999</v>
      </c>
      <c r="AL40" s="86">
        <v>15000</v>
      </c>
      <c r="AN40" s="86">
        <v>1197.7091229843224</v>
      </c>
      <c r="AO40" s="86">
        <v>1904.8481386084379</v>
      </c>
      <c r="AP40" s="86">
        <v>2993.556231590796</v>
      </c>
      <c r="AQ40" s="86">
        <v>11.180680000000001</v>
      </c>
      <c r="AS40" s="86">
        <v>1050.8994012637199</v>
      </c>
      <c r="AT40" s="86">
        <v>2297.9813059647154</v>
      </c>
      <c r="AU40" s="86">
        <v>3446.9719589470733</v>
      </c>
      <c r="AV40" s="86">
        <v>8369.5809412488306</v>
      </c>
      <c r="AX40" s="86">
        <v>4230.3238299999994</v>
      </c>
      <c r="AY40" s="86">
        <v>4602.0000000000027</v>
      </c>
      <c r="AZ40" s="86">
        <v>6903.0000000000027</v>
      </c>
      <c r="BA40" s="86">
        <v>9204.0000000000036</v>
      </c>
      <c r="BC40" s="86">
        <v>11681</v>
      </c>
      <c r="BD40" s="86">
        <v>7462.4442100000015</v>
      </c>
      <c r="BE40" s="86">
        <v>8661.2221000000009</v>
      </c>
      <c r="BF40" s="86">
        <v>7500.0000000000027</v>
      </c>
      <c r="BH40" s="86">
        <v>1717.9626600000001</v>
      </c>
      <c r="BI40" s="86">
        <v>3645.3084300000023</v>
      </c>
      <c r="BJ40" s="86">
        <v>5572.6542000000009</v>
      </c>
      <c r="BK40" s="86">
        <v>11199.999970000003</v>
      </c>
      <c r="BM40" s="86">
        <v>2924.9999700000003</v>
      </c>
      <c r="BN40" s="86">
        <v>5850</v>
      </c>
      <c r="BO40" s="86">
        <v>8774.9999700000026</v>
      </c>
      <c r="BP40" s="86">
        <v>11699.999970000003</v>
      </c>
      <c r="BR40" s="86">
        <v>5039.1565300000002</v>
      </c>
      <c r="BS40" s="86">
        <v>6083.4767699999993</v>
      </c>
      <c r="BT40" s="86">
        <v>7941.7383899999995</v>
      </c>
      <c r="BU40" s="86">
        <v>9800</v>
      </c>
      <c r="BW40" s="86">
        <v>2620</v>
      </c>
    </row>
    <row r="41" spans="1:75">
      <c r="A41" s="20" t="s">
        <v>23</v>
      </c>
      <c r="C41" s="86">
        <v>0</v>
      </c>
      <c r="D41" s="86"/>
      <c r="E41" s="86">
        <v>0</v>
      </c>
      <c r="F41" s="86">
        <v>0</v>
      </c>
      <c r="G41" s="86">
        <v>0</v>
      </c>
      <c r="H41" s="86">
        <v>0</v>
      </c>
      <c r="I41" s="86"/>
      <c r="J41" s="86">
        <v>0</v>
      </c>
      <c r="K41" s="86">
        <v>0</v>
      </c>
      <c r="L41" s="86">
        <v>0</v>
      </c>
      <c r="M41" s="86">
        <v>3577</v>
      </c>
      <c r="N41" s="86"/>
      <c r="O41" s="86">
        <v>3576</v>
      </c>
      <c r="P41" s="86">
        <v>0</v>
      </c>
      <c r="Q41" s="86">
        <v>0</v>
      </c>
      <c r="R41" s="86">
        <v>15133</v>
      </c>
      <c r="S41" s="86"/>
      <c r="T41" s="86">
        <v>15132</v>
      </c>
      <c r="U41" s="86">
        <v>1424</v>
      </c>
      <c r="V41" s="86">
        <v>0</v>
      </c>
      <c r="W41" s="86">
        <v>25032</v>
      </c>
      <c r="X41" s="86"/>
      <c r="Y41" s="86">
        <v>25032</v>
      </c>
      <c r="Z41" s="86">
        <v>0</v>
      </c>
      <c r="AA41" s="86">
        <v>2.7280000001192094E-2</v>
      </c>
      <c r="AB41" s="86">
        <v>0</v>
      </c>
      <c r="AD41" s="86">
        <v>0</v>
      </c>
      <c r="AE41" s="86">
        <v>0</v>
      </c>
      <c r="AF41" s="86">
        <v>0</v>
      </c>
      <c r="AG41" s="86">
        <v>0</v>
      </c>
      <c r="AI41" s="86">
        <v>0</v>
      </c>
      <c r="AJ41" s="86">
        <v>0</v>
      </c>
      <c r="AK41" s="86">
        <v>0</v>
      </c>
      <c r="AL41" s="86">
        <v>66729</v>
      </c>
      <c r="AN41" s="86">
        <v>66729.567939999994</v>
      </c>
      <c r="AO41" s="86">
        <v>0</v>
      </c>
      <c r="AP41" s="86">
        <v>3380.5454999999993</v>
      </c>
      <c r="AQ41" s="86">
        <v>3380.5455000000002</v>
      </c>
      <c r="AS41" s="86">
        <f>3379.5455+1</f>
        <v>3380.5455000000002</v>
      </c>
      <c r="AT41" s="86">
        <v>2723.2400400000001</v>
      </c>
      <c r="AU41" s="86">
        <v>0</v>
      </c>
      <c r="AV41" s="86">
        <v>6850.9224592499831</v>
      </c>
      <c r="AX41" s="86">
        <v>6850.92245</v>
      </c>
      <c r="AY41" s="86">
        <v>0</v>
      </c>
      <c r="AZ41" s="86">
        <v>0</v>
      </c>
      <c r="BA41" s="86">
        <v>65791.549710000007</v>
      </c>
      <c r="BC41" s="86">
        <v>65791.549710000007</v>
      </c>
      <c r="BD41" s="86">
        <v>1.0000001639127731E-5</v>
      </c>
      <c r="BE41" s="86">
        <v>0</v>
      </c>
      <c r="BF41" s="86">
        <v>0.24771000000000001</v>
      </c>
      <c r="BH41" s="86">
        <v>0.24771000000000001</v>
      </c>
      <c r="BI41" s="86">
        <v>0.24771000000000001</v>
      </c>
      <c r="BJ41" s="86">
        <v>0.24771000000000001</v>
      </c>
      <c r="BK41" s="86">
        <v>0</v>
      </c>
      <c r="BM41" s="86">
        <v>0.247720000008121</v>
      </c>
      <c r="BN41" s="86">
        <v>0.247720000008121</v>
      </c>
      <c r="BO41" s="86">
        <v>0</v>
      </c>
      <c r="BP41" s="86">
        <v>0</v>
      </c>
      <c r="BR41" s="86">
        <v>48988.81626</v>
      </c>
      <c r="BS41" s="86">
        <v>47364.134939999996</v>
      </c>
      <c r="BT41" s="86">
        <v>23683.892459999999</v>
      </c>
      <c r="BU41" s="86">
        <v>7604</v>
      </c>
      <c r="BW41" s="86">
        <v>7604</v>
      </c>
    </row>
    <row r="42" spans="1:75">
      <c r="A42" s="20" t="s">
        <v>67</v>
      </c>
      <c r="C42" s="86">
        <v>19936</v>
      </c>
      <c r="D42" s="86"/>
      <c r="E42" s="86">
        <v>13832</v>
      </c>
      <c r="F42" s="86">
        <v>7580</v>
      </c>
      <c r="G42" s="86">
        <v>5925</v>
      </c>
      <c r="H42" s="86">
        <v>10094</v>
      </c>
      <c r="I42" s="86"/>
      <c r="J42" s="86">
        <v>6049</v>
      </c>
      <c r="K42" s="86">
        <v>2052</v>
      </c>
      <c r="L42" s="86">
        <v>2124</v>
      </c>
      <c r="M42" s="86">
        <v>33265</v>
      </c>
      <c r="N42" s="86"/>
      <c r="O42" s="86">
        <v>58498</v>
      </c>
      <c r="P42" s="86">
        <v>58621</v>
      </c>
      <c r="Q42" s="86">
        <v>93294</v>
      </c>
      <c r="R42" s="86">
        <v>79615</v>
      </c>
      <c r="S42" s="86"/>
      <c r="T42" s="86">
        <v>26385</v>
      </c>
      <c r="U42" s="86">
        <v>23588</v>
      </c>
      <c r="V42" s="86">
        <v>15013</v>
      </c>
      <c r="W42" s="86">
        <v>14006</v>
      </c>
      <c r="X42" s="86"/>
      <c r="Y42" s="86">
        <v>14254</v>
      </c>
      <c r="Z42" s="86">
        <v>14242</v>
      </c>
      <c r="AA42" s="86">
        <v>12738.818290000001</v>
      </c>
      <c r="AB42" s="86">
        <v>11006.266799999999</v>
      </c>
      <c r="AD42" s="86">
        <v>11075.85166</v>
      </c>
      <c r="AE42" s="86">
        <v>11546.669109999999</v>
      </c>
      <c r="AF42" s="86">
        <v>9705.6793500000022</v>
      </c>
      <c r="AG42" s="86">
        <v>9790.8165800000024</v>
      </c>
      <c r="AI42" s="86">
        <v>28109.138050000001</v>
      </c>
      <c r="AJ42" s="86">
        <v>19232.797231334695</v>
      </c>
      <c r="AK42" s="86">
        <v>14500.814661334694</v>
      </c>
      <c r="AL42" s="86">
        <v>14775</v>
      </c>
      <c r="AN42" s="86">
        <v>15073.064629999999</v>
      </c>
      <c r="AO42" s="86">
        <v>8947.4887899999994</v>
      </c>
      <c r="AP42" s="86">
        <v>8437.6256999999987</v>
      </c>
      <c r="AQ42" s="86">
        <v>8773.4782799999975</v>
      </c>
      <c r="AS42" s="86">
        <v>9034.415533999867</v>
      </c>
      <c r="AT42" s="86">
        <v>9296.7731399999993</v>
      </c>
      <c r="AU42" s="86">
        <v>9317.0736899999993</v>
      </c>
      <c r="AV42" s="86">
        <v>0</v>
      </c>
      <c r="AX42" s="86">
        <v>0</v>
      </c>
      <c r="AY42" s="86">
        <v>37624.123450000028</v>
      </c>
      <c r="AZ42" s="86">
        <v>37796.250300000007</v>
      </c>
      <c r="BA42" s="86">
        <v>25470.361919999956</v>
      </c>
      <c r="BC42" s="86">
        <v>31067.160250000001</v>
      </c>
      <c r="BD42" s="86">
        <v>33234.707359999964</v>
      </c>
      <c r="BE42" s="86">
        <v>93612.766199999969</v>
      </c>
      <c r="BF42" s="86">
        <v>69190.656129999945</v>
      </c>
      <c r="BH42" s="86">
        <v>31465.993030000001</v>
      </c>
      <c r="BI42" s="86">
        <v>35158.457020000002</v>
      </c>
      <c r="BJ42" s="86">
        <v>39907.738043654106</v>
      </c>
      <c r="BK42" s="86">
        <v>4.4237822294235228E-12</v>
      </c>
      <c r="BM42" s="86">
        <v>2.1478626877069499E-11</v>
      </c>
      <c r="BN42" s="86">
        <v>2.1478626877069499E-11</v>
      </c>
      <c r="BO42" s="86">
        <v>0</v>
      </c>
      <c r="BP42" s="86">
        <v>31691.286040000043</v>
      </c>
      <c r="BR42" s="86">
        <v>52349.879510000006</v>
      </c>
      <c r="BS42" s="86">
        <v>158553.19399999999</v>
      </c>
      <c r="BT42" s="86">
        <v>140511.35607000001</v>
      </c>
      <c r="BU42" s="86">
        <v>81585.095239999995</v>
      </c>
      <c r="BW42" s="86">
        <v>65888</v>
      </c>
    </row>
    <row r="43" spans="1:75">
      <c r="A43" s="20" t="s">
        <v>169</v>
      </c>
      <c r="C43" s="86">
        <v>0</v>
      </c>
      <c r="D43" s="86"/>
      <c r="E43" s="86">
        <v>0</v>
      </c>
      <c r="F43" s="86">
        <v>0</v>
      </c>
      <c r="G43" s="86">
        <v>0</v>
      </c>
      <c r="H43" s="86">
        <v>1394</v>
      </c>
      <c r="I43" s="86"/>
      <c r="J43" s="86">
        <v>860.4</v>
      </c>
      <c r="K43" s="86">
        <v>464</v>
      </c>
      <c r="L43" s="86">
        <v>437</v>
      </c>
      <c r="M43" s="86">
        <v>61</v>
      </c>
      <c r="N43" s="86"/>
      <c r="O43" s="86">
        <v>423</v>
      </c>
      <c r="P43" s="86">
        <v>131</v>
      </c>
      <c r="Q43" s="86">
        <v>15807</v>
      </c>
      <c r="R43" s="86">
        <v>14528</v>
      </c>
      <c r="S43" s="86"/>
      <c r="T43" s="86">
        <v>31971</v>
      </c>
      <c r="U43" s="86">
        <v>42116</v>
      </c>
      <c r="V43" s="86">
        <v>2771</v>
      </c>
      <c r="W43" s="86">
        <v>18811</v>
      </c>
      <c r="X43" s="86"/>
      <c r="Y43" s="86">
        <v>20137</v>
      </c>
      <c r="Z43" s="86">
        <v>50663</v>
      </c>
      <c r="AA43" s="86">
        <v>52787.23446</v>
      </c>
      <c r="AB43" s="86">
        <v>0</v>
      </c>
      <c r="AD43" s="86">
        <v>0</v>
      </c>
      <c r="AE43" s="86">
        <v>0</v>
      </c>
      <c r="AF43" s="86">
        <v>0</v>
      </c>
      <c r="AG43" s="86">
        <v>0</v>
      </c>
      <c r="AI43" s="86">
        <v>0</v>
      </c>
      <c r="AJ43" s="86">
        <v>0</v>
      </c>
      <c r="AK43" s="86">
        <v>0</v>
      </c>
      <c r="AL43" s="86">
        <v>0</v>
      </c>
      <c r="AN43" s="86">
        <v>0</v>
      </c>
      <c r="AO43" s="86">
        <v>0</v>
      </c>
      <c r="AP43" s="86">
        <v>0</v>
      </c>
      <c r="AQ43" s="86">
        <v>0</v>
      </c>
      <c r="AS43" s="86">
        <v>8580.5567199999987</v>
      </c>
      <c r="AT43" s="86">
        <v>1768.2275300000001</v>
      </c>
      <c r="AU43" s="86">
        <v>5341.0186099999992</v>
      </c>
      <c r="AV43" s="86">
        <v>800.06223999999929</v>
      </c>
      <c r="AX43" s="86">
        <v>0</v>
      </c>
      <c r="AY43" s="86">
        <v>0</v>
      </c>
      <c r="AZ43" s="86">
        <v>0</v>
      </c>
      <c r="BA43" s="86">
        <v>0</v>
      </c>
      <c r="BC43" s="86">
        <v>0</v>
      </c>
      <c r="BD43" s="86">
        <v>0</v>
      </c>
      <c r="BE43" s="86">
        <v>0</v>
      </c>
      <c r="BF43" s="86">
        <v>0</v>
      </c>
      <c r="BH43" s="86">
        <v>0</v>
      </c>
      <c r="BI43" s="86">
        <v>0</v>
      </c>
      <c r="BJ43" s="86">
        <v>0</v>
      </c>
      <c r="BK43" s="86">
        <v>0</v>
      </c>
      <c r="BM43" s="86">
        <v>0</v>
      </c>
      <c r="BN43" s="86">
        <v>0</v>
      </c>
      <c r="BO43" s="86">
        <v>0</v>
      </c>
      <c r="BP43" s="86">
        <v>0</v>
      </c>
      <c r="BR43" s="86">
        <v>0</v>
      </c>
      <c r="BS43" s="86">
        <v>0</v>
      </c>
      <c r="BT43" s="86">
        <v>0</v>
      </c>
      <c r="BU43" s="86">
        <v>0</v>
      </c>
      <c r="BW43" s="86">
        <v>0</v>
      </c>
    </row>
    <row r="44" spans="1:75">
      <c r="A44" s="20" t="s">
        <v>57</v>
      </c>
      <c r="C44" s="86">
        <v>1312</v>
      </c>
      <c r="D44" s="86"/>
      <c r="E44" s="86">
        <v>593</v>
      </c>
      <c r="F44" s="86">
        <v>299</v>
      </c>
      <c r="G44" s="86">
        <v>767</v>
      </c>
      <c r="H44" s="86">
        <v>1162</v>
      </c>
      <c r="I44" s="86"/>
      <c r="J44" s="86">
        <v>1312.4</v>
      </c>
      <c r="K44" s="86">
        <v>1347</v>
      </c>
      <c r="L44" s="86">
        <v>1284</v>
      </c>
      <c r="M44" s="86">
        <v>1457</v>
      </c>
      <c r="N44" s="86"/>
      <c r="O44" s="86">
        <v>1267</v>
      </c>
      <c r="P44" s="86">
        <v>6109</v>
      </c>
      <c r="Q44" s="86">
        <v>1655</v>
      </c>
      <c r="R44" s="86">
        <v>1884</v>
      </c>
      <c r="S44" s="86"/>
      <c r="T44" s="86">
        <v>1626</v>
      </c>
      <c r="U44" s="86">
        <v>3116</v>
      </c>
      <c r="V44" s="86">
        <v>3836</v>
      </c>
      <c r="W44" s="86">
        <v>3970</v>
      </c>
      <c r="X44" s="86"/>
      <c r="Y44" s="86">
        <v>26293</v>
      </c>
      <c r="Z44" s="86">
        <v>36962</v>
      </c>
      <c r="AA44" s="86">
        <v>63653.053740489973</v>
      </c>
      <c r="AB44" s="86">
        <v>64125.656857700575</v>
      </c>
      <c r="AD44" s="86">
        <v>45229.561900000008</v>
      </c>
      <c r="AE44" s="86">
        <v>46533.18314999999</v>
      </c>
      <c r="AF44" s="86">
        <v>61402.313239999996</v>
      </c>
      <c r="AG44" s="86">
        <v>154956.27693004286</v>
      </c>
      <c r="AI44" s="86">
        <v>63734.789589999993</v>
      </c>
      <c r="AJ44" s="86">
        <v>50252.377377579513</v>
      </c>
      <c r="AK44" s="86">
        <v>69739.10113840719</v>
      </c>
      <c r="AL44" s="86">
        <v>73378</v>
      </c>
      <c r="AM44" s="252"/>
      <c r="AN44" s="86">
        <v>60319.416024999999</v>
      </c>
      <c r="AO44" s="86">
        <v>48367.232915000001</v>
      </c>
      <c r="AP44" s="86">
        <v>67427.972202762612</v>
      </c>
      <c r="AQ44" s="86">
        <v>41861.128587762592</v>
      </c>
      <c r="AR44" s="252"/>
      <c r="AS44" s="86">
        <v>25766.978843770601</v>
      </c>
      <c r="AT44" s="86">
        <v>23661.771809999998</v>
      </c>
      <c r="AU44" s="86">
        <v>12842.140389999997</v>
      </c>
      <c r="AV44" s="86">
        <v>58647.274365000048</v>
      </c>
      <c r="AW44" s="252"/>
      <c r="AX44" s="86">
        <v>40888.084460000013</v>
      </c>
      <c r="AY44" s="86">
        <v>3249.3431399999972</v>
      </c>
      <c r="AZ44" s="86">
        <v>4385.1263099999996</v>
      </c>
      <c r="BA44" s="86">
        <v>4712.7233200000073</v>
      </c>
      <c r="BC44" s="86">
        <v>4186.0067000000026</v>
      </c>
      <c r="BD44" s="86">
        <v>4016.1836250000006</v>
      </c>
      <c r="BE44" s="86">
        <v>4497.6721100000004</v>
      </c>
      <c r="BF44" s="86">
        <v>9188.8365499999982</v>
      </c>
      <c r="BH44" s="86">
        <v>8804.7881999999991</v>
      </c>
      <c r="BI44" s="86">
        <v>2646.1888200000003</v>
      </c>
      <c r="BJ44" s="86">
        <v>2274.6951200000008</v>
      </c>
      <c r="BK44" s="86">
        <v>5209.1198599999998</v>
      </c>
      <c r="BM44" s="86">
        <v>4198.1614499999896</v>
      </c>
      <c r="BN44" s="86">
        <v>11801</v>
      </c>
      <c r="BO44" s="86">
        <v>3848.1108600000093</v>
      </c>
      <c r="BP44" s="86">
        <v>55963.551389999986</v>
      </c>
      <c r="BR44" s="86">
        <v>2691.2480200000064</v>
      </c>
      <c r="BS44" s="86">
        <v>1182.4339200000031</v>
      </c>
      <c r="BT44" s="86">
        <v>62404.489870000005</v>
      </c>
      <c r="BU44" s="86">
        <v>68038.531199999998</v>
      </c>
      <c r="BW44" s="86">
        <v>94165</v>
      </c>
    </row>
    <row r="45" spans="1:75"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AD45" s="20"/>
    </row>
    <row r="46" spans="1:75">
      <c r="A46" s="83" t="s">
        <v>18</v>
      </c>
      <c r="C46" s="179">
        <f>SUM(C35:C44)</f>
        <v>77422</v>
      </c>
      <c r="D46" s="193"/>
      <c r="E46" s="179">
        <f>SUM(E35:E44)</f>
        <v>77243</v>
      </c>
      <c r="F46" s="179">
        <f>SUM(F35:F44)</f>
        <v>74827</v>
      </c>
      <c r="G46" s="179">
        <f>SUM(G35:G44)</f>
        <v>73764</v>
      </c>
      <c r="H46" s="179">
        <f>SUM(H35:H44)</f>
        <v>86160</v>
      </c>
      <c r="I46" s="193"/>
      <c r="J46" s="179">
        <f>SUM(J35:J44)</f>
        <v>81684.799999999988</v>
      </c>
      <c r="K46" s="179">
        <f>SUM(K35:K44)</f>
        <v>80194</v>
      </c>
      <c r="L46" s="179">
        <f>SUM(L35:L44)</f>
        <v>79684</v>
      </c>
      <c r="M46" s="179">
        <f>SUM(M35:M44)</f>
        <v>126366</v>
      </c>
      <c r="N46" s="177"/>
      <c r="O46" s="179">
        <f>SUM(O35:O44)</f>
        <v>167110</v>
      </c>
      <c r="P46" s="179">
        <f>SUM(P35:P44)</f>
        <v>188553</v>
      </c>
      <c r="Q46" s="179">
        <f>SUM(Q35:Q44)</f>
        <v>488703</v>
      </c>
      <c r="R46" s="179">
        <f>SUM(R35:R44)</f>
        <v>420402</v>
      </c>
      <c r="S46" s="177"/>
      <c r="T46" s="179">
        <f>SUM(T35:T44)</f>
        <v>214560</v>
      </c>
      <c r="U46" s="179">
        <f>SUM(U35:U44)</f>
        <v>228271</v>
      </c>
      <c r="V46" s="179">
        <f>SUM(V35:V44)</f>
        <v>204783</v>
      </c>
      <c r="W46" s="179">
        <f>SUM(W35:W44)</f>
        <v>242545</v>
      </c>
      <c r="X46" s="177"/>
      <c r="Y46" s="179">
        <f>SUM(Y35:Y44)</f>
        <v>976415</v>
      </c>
      <c r="Z46" s="179">
        <f>SUM(Z35:Z44)</f>
        <v>1220949</v>
      </c>
      <c r="AA46" s="179">
        <f>SUM(AA35:AA44)</f>
        <v>817897.64368810563</v>
      </c>
      <c r="AB46" s="179">
        <f>SUM(AB35:AB44)</f>
        <v>837361.45574276859</v>
      </c>
      <c r="AD46" s="179">
        <f>SUM(AD35:AD44)</f>
        <v>1075995.896348529</v>
      </c>
      <c r="AE46" s="179">
        <f>SUM(AE35:AE44)</f>
        <v>818948.92962799361</v>
      </c>
      <c r="AF46" s="179">
        <f>SUM(AF35:AF44)</f>
        <v>612444.37076335773</v>
      </c>
      <c r="AG46" s="179">
        <f>SUM(AG35:AG44)</f>
        <v>1170385.0194373026</v>
      </c>
      <c r="AI46" s="179">
        <f>SUM(AI35:AI44)</f>
        <v>1086825.28067574</v>
      </c>
      <c r="AJ46" s="179">
        <f>SUM(AJ35:AJ44)</f>
        <v>1105000.0268681911</v>
      </c>
      <c r="AK46" s="179">
        <f>SUM(AK35:AK44)</f>
        <v>688310.42472951021</v>
      </c>
      <c r="AL46" s="179">
        <f>SUM(AL35:AL44)</f>
        <v>512532</v>
      </c>
      <c r="AN46" s="179">
        <f>SUM(AN35:AN44)</f>
        <v>460922.40417499782</v>
      </c>
      <c r="AO46" s="179">
        <f>SUM(AO35:AO44)</f>
        <v>404382.61863694986</v>
      </c>
      <c r="AP46" s="179">
        <f>SUM(AP35:AP44)</f>
        <v>593343.88827923359</v>
      </c>
      <c r="AQ46" s="179">
        <f>SUM(AQ35:AQ44)</f>
        <v>770887.88008708227</v>
      </c>
      <c r="AS46" s="179">
        <f>SUM(AS35:AS44)</f>
        <v>718560.40566765587</v>
      </c>
      <c r="AT46" s="179">
        <f>SUM(AT35:AT44)</f>
        <v>761239.58395277767</v>
      </c>
      <c r="AU46" s="179">
        <f>SUM(AU35:AU44)</f>
        <v>724603.4385126048</v>
      </c>
      <c r="AV46" s="179">
        <f>SUM(AV35:AV44)</f>
        <v>636471.62906117726</v>
      </c>
      <c r="AX46" s="179">
        <f>SUM(AX35:AX44)</f>
        <v>690152.96218000026</v>
      </c>
      <c r="AY46" s="179">
        <f>SUM(AY35:AY44)</f>
        <v>645626.64472500002</v>
      </c>
      <c r="AZ46" s="179">
        <f>SUM(AZ35:AZ44)</f>
        <v>603963.4056099999</v>
      </c>
      <c r="BA46" s="179">
        <f>SUM(BA35:BA44)</f>
        <v>704597.45045499981</v>
      </c>
      <c r="BC46" s="179">
        <f>SUM(BC35:BC44)</f>
        <v>677444.01629000006</v>
      </c>
      <c r="BD46" s="179">
        <f>SUM(BD35:BD44)</f>
        <v>589784.49548499985</v>
      </c>
      <c r="BE46" s="179">
        <f>SUM(BE35:BE44)</f>
        <v>537792.18045500002</v>
      </c>
      <c r="BF46" s="179">
        <f t="shared" ref="BF46" si="6">SUM(BF35:BF44)</f>
        <v>1153076.3118350001</v>
      </c>
      <c r="BH46" s="179">
        <f>SUM(BH35:BH44)</f>
        <v>437504.40313500009</v>
      </c>
      <c r="BI46" s="179">
        <f>SUM(BI35:BI44)</f>
        <v>414637.23857499991</v>
      </c>
      <c r="BJ46" s="179">
        <f>SUM(BJ35:BJ44)</f>
        <v>313752.70212865411</v>
      </c>
      <c r="BK46" s="179">
        <f>SUM(BK35:BK44)</f>
        <v>309084.20562999998</v>
      </c>
      <c r="BM46" s="179">
        <f>SUM(BM35:BM44)</f>
        <v>286250.34343000001</v>
      </c>
      <c r="BN46" s="179">
        <f>SUM(BN35:BN44)</f>
        <v>160984.24772000004</v>
      </c>
      <c r="BO46" s="179">
        <f>SUM(BO35:BO44)</f>
        <v>321102.17040000006</v>
      </c>
      <c r="BP46" s="179">
        <f>SUM(BP35:BP44)</f>
        <v>393423.50994999992</v>
      </c>
      <c r="BR46" s="179">
        <f>SUM(BR35:BR44)</f>
        <v>417593.30317999993</v>
      </c>
      <c r="BS46" s="179">
        <f>SUM(BS35:BS44)</f>
        <v>534351.11257999996</v>
      </c>
      <c r="BT46" s="179">
        <f>SUM(BT35:BT44)</f>
        <v>616362.92008000007</v>
      </c>
      <c r="BU46" s="179">
        <f>SUM(BU35:BU44)</f>
        <v>683414.62643999991</v>
      </c>
      <c r="BW46" s="179">
        <f>SUM(BW35:BW44)</f>
        <v>750663</v>
      </c>
    </row>
    <row r="47" spans="1:75"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AD47" s="20"/>
    </row>
    <row r="48" spans="1:75">
      <c r="A48" s="83" t="s">
        <v>7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AD48" s="20"/>
    </row>
    <row r="49" spans="1:75">
      <c r="A49" s="20" t="s">
        <v>11</v>
      </c>
      <c r="C49" s="252">
        <v>447701</v>
      </c>
      <c r="D49" s="86"/>
      <c r="E49" s="86">
        <v>503013</v>
      </c>
      <c r="F49" s="86">
        <v>513034</v>
      </c>
      <c r="G49" s="86">
        <v>520791</v>
      </c>
      <c r="H49" s="86">
        <v>515265</v>
      </c>
      <c r="I49" s="86"/>
      <c r="J49" s="86">
        <v>509785</v>
      </c>
      <c r="K49" s="86">
        <v>502430</v>
      </c>
      <c r="L49" s="86">
        <v>495018</v>
      </c>
      <c r="M49" s="86">
        <v>556457</v>
      </c>
      <c r="N49" s="86"/>
      <c r="O49" s="86">
        <v>637405</v>
      </c>
      <c r="P49" s="86">
        <v>784484</v>
      </c>
      <c r="Q49" s="86">
        <v>973836</v>
      </c>
      <c r="R49" s="86">
        <v>1544414</v>
      </c>
      <c r="S49" s="86"/>
      <c r="T49" s="86">
        <v>1947872</v>
      </c>
      <c r="U49" s="86">
        <v>1887296</v>
      </c>
      <c r="V49" s="86">
        <v>1981595</v>
      </c>
      <c r="W49" s="86">
        <v>1938406</v>
      </c>
      <c r="X49" s="86"/>
      <c r="Y49" s="86">
        <v>3802561</v>
      </c>
      <c r="Z49" s="86">
        <v>3994751</v>
      </c>
      <c r="AA49" s="86">
        <v>4278953.8615100002</v>
      </c>
      <c r="AB49" s="86">
        <v>4573133.0546499994</v>
      </c>
      <c r="AD49" s="86">
        <v>4598686.2034649998</v>
      </c>
      <c r="AE49" s="86">
        <v>5003863.3354447456</v>
      </c>
      <c r="AF49" s="86">
        <v>4950385.4503504243</v>
      </c>
      <c r="AG49" s="86">
        <v>4638663.6789559796</v>
      </c>
      <c r="AI49" s="86">
        <v>4601489.5292969681</v>
      </c>
      <c r="AJ49" s="86">
        <v>4147018.8032079367</v>
      </c>
      <c r="AK49" s="86">
        <v>3845446.1796190748</v>
      </c>
      <c r="AL49" s="86">
        <v>3906340</v>
      </c>
      <c r="AN49" s="86">
        <v>4060810.1922300006</v>
      </c>
      <c r="AO49" s="86">
        <v>4017571.7075100001</v>
      </c>
      <c r="AP49" s="86">
        <v>4071358.9837599997</v>
      </c>
      <c r="AQ49" s="86">
        <v>2936485.463945</v>
      </c>
      <c r="AS49" s="86">
        <v>2409380.749475</v>
      </c>
      <c r="AT49" s="86">
        <v>2246825.0175899998</v>
      </c>
      <c r="AU49" s="86">
        <v>2320263.6400649999</v>
      </c>
      <c r="AV49" s="86">
        <v>2814574.5583450003</v>
      </c>
      <c r="AX49" s="86">
        <v>2723156.4536850005</v>
      </c>
      <c r="AY49" s="86">
        <v>2707604.537515</v>
      </c>
      <c r="AZ49" s="86">
        <v>2222055.0924300002</v>
      </c>
      <c r="BA49" s="86">
        <v>2270510.032075</v>
      </c>
      <c r="BC49" s="86">
        <v>2325632.8004099997</v>
      </c>
      <c r="BD49" s="86">
        <v>2399652.8729650001</v>
      </c>
      <c r="BE49" s="86">
        <v>2472265.7467449992</v>
      </c>
      <c r="BF49" s="86">
        <v>2505137.28877</v>
      </c>
      <c r="BH49" s="86">
        <v>2419522.79373</v>
      </c>
      <c r="BI49" s="86">
        <v>2205618.2109400001</v>
      </c>
      <c r="BJ49" s="86">
        <v>2004899.7167500001</v>
      </c>
      <c r="BK49" s="86">
        <v>1551175.1117100001</v>
      </c>
      <c r="BM49" s="86">
        <v>1507973.7563499999</v>
      </c>
      <c r="BN49" s="86">
        <v>1638740</v>
      </c>
      <c r="BO49" s="86">
        <v>2023715.2843600002</v>
      </c>
      <c r="BP49" s="86">
        <v>1979551.0840500002</v>
      </c>
      <c r="BR49" s="86">
        <v>2343335.8702600002</v>
      </c>
      <c r="BS49" s="86">
        <v>2331414.29471</v>
      </c>
      <c r="BT49" s="86">
        <v>2610784.8890800001</v>
      </c>
      <c r="BU49" s="86">
        <v>2440562</v>
      </c>
      <c r="BW49" s="86">
        <v>2401102</v>
      </c>
    </row>
    <row r="50" spans="1:75">
      <c r="A50" s="20" t="s">
        <v>72</v>
      </c>
      <c r="C50" s="86">
        <v>52988</v>
      </c>
      <c r="D50" s="86"/>
      <c r="E50" s="86">
        <v>52771</v>
      </c>
      <c r="F50" s="86">
        <v>52554</v>
      </c>
      <c r="G50" s="86">
        <v>52336</v>
      </c>
      <c r="H50" s="86">
        <v>52117</v>
      </c>
      <c r="I50" s="86"/>
      <c r="J50" s="86">
        <v>36367</v>
      </c>
      <c r="K50" s="86">
        <v>37757</v>
      </c>
      <c r="L50" s="86">
        <v>39137</v>
      </c>
      <c r="M50" s="86">
        <v>116509</v>
      </c>
      <c r="N50" s="86"/>
      <c r="O50" s="86">
        <v>118168</v>
      </c>
      <c r="P50" s="86">
        <v>116514</v>
      </c>
      <c r="Q50" s="86">
        <v>122835</v>
      </c>
      <c r="R50" s="86">
        <v>430950</v>
      </c>
      <c r="S50" s="86"/>
      <c r="T50" s="86">
        <v>429330</v>
      </c>
      <c r="U50" s="86">
        <v>480146</v>
      </c>
      <c r="V50" s="86">
        <f>530041+4407</f>
        <v>534448</v>
      </c>
      <c r="W50" s="86">
        <v>561166</v>
      </c>
      <c r="X50" s="86"/>
      <c r="Y50" s="86">
        <v>1747842</v>
      </c>
      <c r="Z50" s="86">
        <v>1901802</v>
      </c>
      <c r="AA50" s="86">
        <v>2054585.6377960341</v>
      </c>
      <c r="AB50" s="86">
        <v>1953230.8316549868</v>
      </c>
      <c r="AD50" s="86">
        <v>2013566.1278481681</v>
      </c>
      <c r="AE50" s="86">
        <v>2029269.7041747011</v>
      </c>
      <c r="AF50" s="86">
        <v>2010165.8008111806</v>
      </c>
      <c r="AG50" s="86">
        <v>1925192.1021875313</v>
      </c>
      <c r="AI50" s="86">
        <v>2001375.9957071638</v>
      </c>
      <c r="AJ50" s="86">
        <v>1669015.4907996813</v>
      </c>
      <c r="AK50" s="86">
        <v>1507477.4539137236</v>
      </c>
      <c r="AL50" s="86">
        <v>1394498</v>
      </c>
      <c r="AN50" s="86">
        <v>1428682.6950649999</v>
      </c>
      <c r="AO50" s="86">
        <v>1465271.7978599994</v>
      </c>
      <c r="AP50" s="86">
        <v>1252190.82577</v>
      </c>
      <c r="AQ50" s="86">
        <v>728370.83018999966</v>
      </c>
      <c r="AS50" s="86">
        <v>682341.25164000038</v>
      </c>
      <c r="AT50" s="86">
        <v>699506.07305000024</v>
      </c>
      <c r="AU50" s="86">
        <v>693799.05184000009</v>
      </c>
      <c r="AV50" s="86">
        <v>589787.19192000036</v>
      </c>
      <c r="AX50" s="86">
        <v>455720.49433000019</v>
      </c>
      <c r="AY50" s="86">
        <v>454297.11155999982</v>
      </c>
      <c r="AZ50" s="86">
        <v>481885.32935467799</v>
      </c>
      <c r="BA50" s="86">
        <v>492150.79905663873</v>
      </c>
      <c r="BC50" s="86">
        <v>513537.65980499983</v>
      </c>
      <c r="BD50" s="86">
        <v>511489.42367500014</v>
      </c>
      <c r="BE50" s="86">
        <v>532221.85871499975</v>
      </c>
      <c r="BF50" s="86">
        <v>632821.40465499996</v>
      </c>
      <c r="BH50" s="86">
        <v>796066.99119999981</v>
      </c>
      <c r="BI50" s="86">
        <v>725275.55185721559</v>
      </c>
      <c r="BJ50" s="86">
        <v>710274.10184721579</v>
      </c>
      <c r="BK50" s="86">
        <v>782668.87200721609</v>
      </c>
      <c r="BM50" s="86">
        <v>813802.77752500109</v>
      </c>
      <c r="BN50" s="86">
        <v>839936</v>
      </c>
      <c r="BO50" s="86">
        <v>866693.33339000074</v>
      </c>
      <c r="BP50" s="86">
        <v>892287.45470000082</v>
      </c>
      <c r="BR50" s="86">
        <v>904167.06927000009</v>
      </c>
      <c r="BS50" s="86">
        <v>951512.88978999981</v>
      </c>
      <c r="BT50" s="86">
        <v>918532.52691999974</v>
      </c>
      <c r="BU50" s="86">
        <v>908935</v>
      </c>
      <c r="BW50" s="86">
        <v>938245</v>
      </c>
    </row>
    <row r="51" spans="1:75">
      <c r="A51" s="20" t="s">
        <v>68</v>
      </c>
      <c r="C51" s="86">
        <v>0</v>
      </c>
      <c r="D51" s="86"/>
      <c r="E51" s="86">
        <v>0</v>
      </c>
      <c r="F51" s="86">
        <v>0</v>
      </c>
      <c r="G51" s="86">
        <v>0</v>
      </c>
      <c r="H51" s="86">
        <v>669</v>
      </c>
      <c r="I51" s="86"/>
      <c r="J51" s="86">
        <v>276</v>
      </c>
      <c r="K51" s="86">
        <v>0</v>
      </c>
      <c r="L51" s="86">
        <v>0</v>
      </c>
      <c r="M51" s="86">
        <v>0</v>
      </c>
      <c r="N51" s="86"/>
      <c r="O51" s="86">
        <v>0</v>
      </c>
      <c r="P51" s="86">
        <v>0</v>
      </c>
      <c r="Q51" s="86">
        <v>0</v>
      </c>
      <c r="R51" s="86">
        <v>0</v>
      </c>
      <c r="S51" s="86"/>
      <c r="T51" s="86">
        <v>0</v>
      </c>
      <c r="U51" s="86">
        <v>0</v>
      </c>
      <c r="V51" s="86">
        <v>0</v>
      </c>
      <c r="W51" s="86">
        <v>0</v>
      </c>
      <c r="X51" s="86"/>
      <c r="Y51" s="86">
        <v>0</v>
      </c>
      <c r="Z51" s="86">
        <v>0</v>
      </c>
      <c r="AA51" s="86">
        <v>0</v>
      </c>
      <c r="AB51" s="86">
        <v>0</v>
      </c>
      <c r="AD51" s="86">
        <v>0</v>
      </c>
      <c r="AE51" s="86">
        <v>0</v>
      </c>
      <c r="AF51" s="86">
        <v>0</v>
      </c>
      <c r="AG51" s="86">
        <v>0</v>
      </c>
      <c r="AI51" s="86">
        <v>0</v>
      </c>
      <c r="AJ51" s="86">
        <v>0</v>
      </c>
      <c r="AK51" s="86">
        <v>0</v>
      </c>
      <c r="AL51" s="86">
        <v>0</v>
      </c>
      <c r="AN51" s="86">
        <v>0</v>
      </c>
      <c r="AO51" s="86">
        <v>0</v>
      </c>
      <c r="AP51" s="86">
        <v>0</v>
      </c>
      <c r="AQ51" s="86">
        <v>0</v>
      </c>
      <c r="AR51" s="86"/>
      <c r="AS51" s="86">
        <v>0</v>
      </c>
      <c r="AT51" s="86">
        <v>0</v>
      </c>
      <c r="AU51" s="86">
        <v>0</v>
      </c>
      <c r="AV51" s="86">
        <v>0</v>
      </c>
      <c r="AW51" s="86"/>
      <c r="AX51" s="86">
        <v>0</v>
      </c>
      <c r="AY51" s="86">
        <v>0</v>
      </c>
      <c r="AZ51" s="86">
        <v>0</v>
      </c>
      <c r="BA51" s="86">
        <v>0</v>
      </c>
      <c r="BC51" s="86">
        <v>0</v>
      </c>
      <c r="BD51" s="86">
        <v>0</v>
      </c>
      <c r="BE51" s="86">
        <v>0</v>
      </c>
      <c r="BF51" s="86">
        <v>0</v>
      </c>
      <c r="BH51" s="86">
        <v>0</v>
      </c>
      <c r="BI51" s="86">
        <v>0</v>
      </c>
      <c r="BJ51" s="86">
        <v>0</v>
      </c>
      <c r="BK51" s="86">
        <v>0</v>
      </c>
      <c r="BM51" s="86">
        <v>0</v>
      </c>
      <c r="BN51" s="86">
        <v>0</v>
      </c>
      <c r="BO51" s="86">
        <v>0</v>
      </c>
      <c r="BP51" s="86">
        <v>0</v>
      </c>
      <c r="BR51" s="86">
        <v>0</v>
      </c>
      <c r="BS51" s="86">
        <v>0</v>
      </c>
      <c r="BT51" s="86">
        <v>0</v>
      </c>
      <c r="BU51" s="86">
        <v>0</v>
      </c>
      <c r="BW51" s="86">
        <v>0</v>
      </c>
    </row>
    <row r="52" spans="1:75">
      <c r="A52" s="20" t="s">
        <v>57</v>
      </c>
      <c r="C52" s="86">
        <v>0</v>
      </c>
      <c r="D52" s="86"/>
      <c r="E52" s="86">
        <v>0</v>
      </c>
      <c r="F52" s="86">
        <v>0</v>
      </c>
      <c r="G52" s="86">
        <v>0</v>
      </c>
      <c r="H52" s="86">
        <v>0</v>
      </c>
      <c r="I52" s="86"/>
      <c r="J52" s="86">
        <v>0</v>
      </c>
      <c r="K52" s="86">
        <v>0</v>
      </c>
      <c r="L52" s="86">
        <v>0</v>
      </c>
      <c r="M52" s="86">
        <v>0</v>
      </c>
      <c r="N52" s="86"/>
      <c r="O52" s="86">
        <v>0</v>
      </c>
      <c r="P52" s="86">
        <v>0</v>
      </c>
      <c r="Q52" s="86">
        <v>0</v>
      </c>
      <c r="R52" s="86">
        <v>0</v>
      </c>
      <c r="S52" s="86"/>
      <c r="T52" s="86">
        <v>0</v>
      </c>
      <c r="U52" s="86">
        <v>0</v>
      </c>
      <c r="V52" s="86">
        <v>0</v>
      </c>
      <c r="W52" s="86">
        <v>4529</v>
      </c>
      <c r="X52" s="86"/>
      <c r="Y52" s="86">
        <f>21159+17611</f>
        <v>38770</v>
      </c>
      <c r="Z52" s="86">
        <v>32160</v>
      </c>
      <c r="AA52" s="86">
        <v>31703.5</v>
      </c>
      <c r="AB52" s="86">
        <v>20549.754090000002</v>
      </c>
      <c r="AD52" s="86">
        <v>20976.983310000003</v>
      </c>
      <c r="AE52" s="86">
        <v>21403.674320000002</v>
      </c>
      <c r="AF52" s="86">
        <v>21897.708919999997</v>
      </c>
      <c r="AG52" s="86">
        <v>17816.596050588534</v>
      </c>
      <c r="AI52" s="86">
        <v>102608.53536901993</v>
      </c>
      <c r="AJ52" s="86">
        <v>103191.89022634423</v>
      </c>
      <c r="AK52" s="86">
        <v>101191.10835264009</v>
      </c>
      <c r="AL52" s="86">
        <v>100589</v>
      </c>
      <c r="AN52" s="86">
        <v>101384.37667999999</v>
      </c>
      <c r="AO52" s="86">
        <v>102271.40494999998</v>
      </c>
      <c r="AP52" s="86">
        <v>103311.61549</v>
      </c>
      <c r="AQ52" s="86">
        <v>23464.966240000002</v>
      </c>
      <c r="AS52" s="86">
        <v>24508.047215236053</v>
      </c>
      <c r="AT52" s="86">
        <v>25646.43781246994</v>
      </c>
      <c r="AU52" s="86">
        <v>26897.33568246994</v>
      </c>
      <c r="AV52" s="86">
        <v>410554.86530723388</v>
      </c>
      <c r="AX52" s="86">
        <v>421628.94016</v>
      </c>
      <c r="AY52" s="86">
        <v>428407.17114000005</v>
      </c>
      <c r="AZ52" s="86">
        <v>435706.35817999998</v>
      </c>
      <c r="BA52" s="86">
        <v>454603.76235999999</v>
      </c>
      <c r="BC52" s="86">
        <v>459888.70772000001</v>
      </c>
      <c r="BD52" s="86">
        <v>469149.92443000001</v>
      </c>
      <c r="BE52" s="86">
        <v>487017.57328000001</v>
      </c>
      <c r="BF52" s="86">
        <v>475746.02107999998</v>
      </c>
      <c r="BH52" s="86">
        <v>479109.99603000004</v>
      </c>
      <c r="BI52" s="86">
        <v>479313.40318999998</v>
      </c>
      <c r="BJ52" s="86">
        <v>464416.1256163459</v>
      </c>
      <c r="BK52" s="86">
        <v>99282.757635000002</v>
      </c>
      <c r="BM52" s="86">
        <v>99943.725689999992</v>
      </c>
      <c r="BN52" s="86">
        <v>110164</v>
      </c>
      <c r="BO52" s="86">
        <v>109556.65728</v>
      </c>
      <c r="BP52" s="86">
        <v>109291.00730000001</v>
      </c>
      <c r="BR52" s="86">
        <v>116956.46351</v>
      </c>
      <c r="BS52" s="86">
        <v>140042.48935000002</v>
      </c>
      <c r="BT52" s="86">
        <v>146969.25799000001</v>
      </c>
      <c r="BU52" s="86">
        <v>149289</v>
      </c>
      <c r="BW52" s="86">
        <v>150345</v>
      </c>
    </row>
    <row r="53" spans="1:75"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AD53" s="20"/>
    </row>
    <row r="54" spans="1:75">
      <c r="A54" s="83" t="s">
        <v>19</v>
      </c>
      <c r="C54" s="179">
        <f>SUM(C49:C52)</f>
        <v>500689</v>
      </c>
      <c r="D54" s="193"/>
      <c r="E54" s="179">
        <f>SUM(E49:E52)</f>
        <v>555784</v>
      </c>
      <c r="F54" s="179">
        <f>SUM(F49:F52)</f>
        <v>565588</v>
      </c>
      <c r="G54" s="179">
        <f>SUM(G49:G52)</f>
        <v>573127</v>
      </c>
      <c r="H54" s="179">
        <f>SUM(H49:H52)</f>
        <v>568051</v>
      </c>
      <c r="I54" s="193"/>
      <c r="J54" s="179">
        <f>SUM(J49:J52)</f>
        <v>546428</v>
      </c>
      <c r="K54" s="179">
        <f>SUM(K49:K52)</f>
        <v>540187</v>
      </c>
      <c r="L54" s="179">
        <f>SUM(L49:L52)</f>
        <v>534155</v>
      </c>
      <c r="M54" s="179">
        <f>SUM(M49:M52)</f>
        <v>672966</v>
      </c>
      <c r="N54" s="177"/>
      <c r="O54" s="179">
        <f>SUM(O49:O52)</f>
        <v>755573</v>
      </c>
      <c r="P54" s="179">
        <f>SUM(P49:P52)</f>
        <v>900998</v>
      </c>
      <c r="Q54" s="179">
        <f>SUM(Q49:Q52)</f>
        <v>1096671</v>
      </c>
      <c r="R54" s="179">
        <f>SUM(R49:R52)</f>
        <v>1975364</v>
      </c>
      <c r="S54" s="177"/>
      <c r="T54" s="179">
        <f>SUM(T49:T52)</f>
        <v>2377202</v>
      </c>
      <c r="U54" s="179">
        <f>SUM(U49:U52)</f>
        <v>2367442</v>
      </c>
      <c r="V54" s="179">
        <f>SUM(V49:V52)</f>
        <v>2516043</v>
      </c>
      <c r="W54" s="179">
        <f>SUM(W49:W52)</f>
        <v>2504101</v>
      </c>
      <c r="X54" s="177"/>
      <c r="Y54" s="179">
        <f>SUM(Y49:Y52)</f>
        <v>5589173</v>
      </c>
      <c r="Z54" s="179">
        <f>SUM(Z49:Z52)</f>
        <v>5928713</v>
      </c>
      <c r="AA54" s="179">
        <f>SUM(AA49:AA52)</f>
        <v>6365242.9993060343</v>
      </c>
      <c r="AB54" s="179">
        <f>SUM(AB49:AB52)</f>
        <v>6546913.6403949857</v>
      </c>
      <c r="AD54" s="179">
        <f>SUM(AD49:AD52)</f>
        <v>6633229.3146231677</v>
      </c>
      <c r="AE54" s="179">
        <f>SUM(AE49:AE52)</f>
        <v>7054536.713939447</v>
      </c>
      <c r="AF54" s="179">
        <f>SUM(AF49:AF52)</f>
        <v>6982448.9600816052</v>
      </c>
      <c r="AG54" s="179">
        <f>SUM(AG49:AG52)</f>
        <v>6581672.3771940991</v>
      </c>
      <c r="AI54" s="179">
        <f>SUM(AI49:AI52)</f>
        <v>6705474.0603731517</v>
      </c>
      <c r="AJ54" s="179">
        <f>SUM(AJ49:AJ52)</f>
        <v>5919226.1842339626</v>
      </c>
      <c r="AK54" s="179">
        <f>SUM(AK49:AK52)</f>
        <v>5454114.7418854376</v>
      </c>
      <c r="AL54" s="179">
        <f>SUM(AL49:AL52)</f>
        <v>5401427</v>
      </c>
      <c r="AM54" s="252"/>
      <c r="AN54" s="179">
        <f>SUM(AN49:AN52)</f>
        <v>5590877.263975</v>
      </c>
      <c r="AO54" s="179">
        <f>SUM(AO49:AO52)</f>
        <v>5585114.9103199998</v>
      </c>
      <c r="AP54" s="179">
        <f>SUM(AP49:AP52)</f>
        <v>5426861.425019999</v>
      </c>
      <c r="AQ54" s="179">
        <f>SUM(AQ49:AQ52)</f>
        <v>3688321.2603749996</v>
      </c>
      <c r="AR54" s="252"/>
      <c r="AS54" s="179">
        <f>SUM(AS49:AS52)</f>
        <v>3116230.0483302362</v>
      </c>
      <c r="AT54" s="179">
        <f>SUM(AT49:AT52)</f>
        <v>2971977.52845247</v>
      </c>
      <c r="AU54" s="179">
        <f>SUM(AU49:AU52)</f>
        <v>3040960.0275874701</v>
      </c>
      <c r="AV54" s="179">
        <f>SUM(AV49:AV52)</f>
        <v>3814916.6155722342</v>
      </c>
      <c r="AW54" s="252"/>
      <c r="AX54" s="179">
        <f>SUM(AX49:AX52)</f>
        <v>3600505.8881750004</v>
      </c>
      <c r="AY54" s="179">
        <f>SUM(AY49:AY52)</f>
        <v>3590308.8202149998</v>
      </c>
      <c r="AZ54" s="179">
        <f>SUM(AZ49:AZ52)</f>
        <v>3139646.779964678</v>
      </c>
      <c r="BA54" s="179">
        <f>SUM(BA49:BA52)</f>
        <v>3217264.593491639</v>
      </c>
      <c r="BC54" s="179">
        <f>SUM(BC49:BC52)</f>
        <v>3299059.1679349993</v>
      </c>
      <c r="BD54" s="179">
        <f>SUM(BD49:BD52)</f>
        <v>3380292.2210700004</v>
      </c>
      <c r="BE54" s="179">
        <f>SUM(BE49:BE52)</f>
        <v>3491505.178739999</v>
      </c>
      <c r="BF54" s="179">
        <f>SUM(BF49:BF52)</f>
        <v>3613704.7145049996</v>
      </c>
      <c r="BH54" s="179">
        <f>SUM(BH49:BH52)</f>
        <v>3694699.7809600001</v>
      </c>
      <c r="BI54" s="179">
        <f>SUM(BI49:BI52)</f>
        <v>3410207.1659872159</v>
      </c>
      <c r="BJ54" s="179">
        <f>SUM(BJ49:BJ52)</f>
        <v>3179589.9442135622</v>
      </c>
      <c r="BK54" s="179">
        <f>SUM(BK49:BK52)</f>
        <v>2433126.7413522163</v>
      </c>
      <c r="BM54" s="179">
        <f>SUM(BM49:BM52)</f>
        <v>2421720.2595650014</v>
      </c>
      <c r="BN54" s="179">
        <f>SUM(BN49:BN52)</f>
        <v>2588840</v>
      </c>
      <c r="BO54" s="179">
        <f>SUM(BO49:BO52)</f>
        <v>2999965.2750300011</v>
      </c>
      <c r="BP54" s="179">
        <f>SUM(BP49:BP52)</f>
        <v>2981129.5460500014</v>
      </c>
      <c r="BR54" s="179">
        <f>SUM(BR49:BR52)</f>
        <v>3364459.4030400002</v>
      </c>
      <c r="BS54" s="179">
        <f>SUM(BS49:BS52)</f>
        <v>3422969.6738499999</v>
      </c>
      <c r="BT54" s="179">
        <f>SUM(BT49:BT52)</f>
        <v>3676286.6739899996</v>
      </c>
      <c r="BU54" s="179">
        <f>SUM(BU49:BU52)</f>
        <v>3498786</v>
      </c>
      <c r="BW54" s="179">
        <f>SUM(BW49:BW52)</f>
        <v>3489692</v>
      </c>
    </row>
    <row r="55" spans="1:75"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AD55" s="20"/>
    </row>
    <row r="56" spans="1:75">
      <c r="A56" s="83" t="s">
        <v>20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AD56" s="20"/>
    </row>
    <row r="57" spans="1:75"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AD57" s="20"/>
    </row>
    <row r="58" spans="1:75">
      <c r="A58" s="20" t="s">
        <v>69</v>
      </c>
      <c r="C58" s="86">
        <v>597033</v>
      </c>
      <c r="D58" s="86"/>
      <c r="E58" s="86">
        <v>597033</v>
      </c>
      <c r="F58" s="86">
        <v>597033</v>
      </c>
      <c r="G58" s="86">
        <v>597422</v>
      </c>
      <c r="H58" s="86">
        <v>597422</v>
      </c>
      <c r="I58" s="86"/>
      <c r="J58" s="86">
        <v>597422.4</v>
      </c>
      <c r="K58" s="86">
        <v>597422</v>
      </c>
      <c r="L58" s="86">
        <v>598309.5</v>
      </c>
      <c r="M58" s="86">
        <v>819210</v>
      </c>
      <c r="N58" s="86"/>
      <c r="O58" s="86">
        <v>1543581</v>
      </c>
      <c r="P58" s="86">
        <v>1543983</v>
      </c>
      <c r="Q58" s="86">
        <v>1543774</v>
      </c>
      <c r="R58" s="86">
        <f>1569935-25698</f>
        <v>1544237</v>
      </c>
      <c r="S58" s="86"/>
      <c r="T58" s="86">
        <v>1544237</v>
      </c>
      <c r="U58" s="86">
        <f>2171959-26613</f>
        <v>2145346</v>
      </c>
      <c r="V58" s="86">
        <v>2216101</v>
      </c>
      <c r="W58" s="86">
        <v>2214707</v>
      </c>
      <c r="X58" s="86"/>
      <c r="Y58" s="86">
        <v>2282719</v>
      </c>
      <c r="Z58" s="86">
        <v>2286856</v>
      </c>
      <c r="AA58" s="86">
        <v>2286688.1702599996</v>
      </c>
      <c r="AB58" s="86">
        <v>2299530.03462</v>
      </c>
      <c r="AD58" s="86">
        <v>2299698.03462</v>
      </c>
      <c r="AE58" s="86">
        <v>2299698.03462</v>
      </c>
      <c r="AF58" s="86">
        <v>2299698.03462</v>
      </c>
      <c r="AG58" s="86">
        <v>2299698.03462</v>
      </c>
      <c r="AI58" s="86">
        <v>2299698.03462</v>
      </c>
      <c r="AJ58" s="86">
        <v>2020837.21193</v>
      </c>
      <c r="AK58" s="86">
        <v>2304285.4081500005</v>
      </c>
      <c r="AL58" s="86">
        <v>2314234</v>
      </c>
      <c r="AN58" s="86">
        <v>2314234</v>
      </c>
      <c r="AO58" s="86">
        <v>2314234</v>
      </c>
      <c r="AP58" s="86">
        <v>2314233.2046599998</v>
      </c>
      <c r="AQ58" s="86">
        <v>2314233.2046599998</v>
      </c>
      <c r="AS58" s="86">
        <v>2314233.2046599998</v>
      </c>
      <c r="AT58" s="86">
        <v>2314233.2046599998</v>
      </c>
      <c r="AU58" s="86">
        <v>2314233.2046599998</v>
      </c>
      <c r="AV58" s="86">
        <v>2314233.2046599998</v>
      </c>
      <c r="AX58" s="86">
        <v>2314233.2046599998</v>
      </c>
      <c r="AY58" s="86">
        <v>2313059.9869299997</v>
      </c>
      <c r="AZ58" s="86">
        <v>3252752.8958299998</v>
      </c>
      <c r="BA58" s="86">
        <v>3252700.4500299999</v>
      </c>
      <c r="BC58" s="86">
        <v>3252700.4500299999</v>
      </c>
      <c r="BD58" s="86">
        <v>3252700.4500299999</v>
      </c>
      <c r="BE58" s="86">
        <v>3252700.4500299999</v>
      </c>
      <c r="BF58" s="86">
        <v>3252700.4500299999</v>
      </c>
      <c r="BH58" s="86">
        <v>3252700.4500299999</v>
      </c>
      <c r="BI58" s="86">
        <v>3252700.4500299999</v>
      </c>
      <c r="BJ58" s="86">
        <v>3252700.4500299999</v>
      </c>
      <c r="BK58" s="86">
        <v>4267742.2144299997</v>
      </c>
      <c r="BM58" s="86">
        <v>4267742.2144299997</v>
      </c>
      <c r="BN58" s="86">
        <v>4267544</v>
      </c>
      <c r="BO58" s="86">
        <v>4267544.4333100002</v>
      </c>
      <c r="BP58" s="86">
        <v>4267544.4333100002</v>
      </c>
      <c r="BR58" s="86">
        <v>4267544.4333100002</v>
      </c>
      <c r="BS58" s="86">
        <v>4267544.4333100002</v>
      </c>
      <c r="BT58" s="86">
        <v>4267544.4333100002</v>
      </c>
      <c r="BU58" s="86">
        <v>4267545</v>
      </c>
      <c r="BW58" s="86">
        <v>4267545</v>
      </c>
    </row>
    <row r="59" spans="1:75">
      <c r="A59" s="20" t="s">
        <v>70</v>
      </c>
      <c r="C59" s="253">
        <v>0</v>
      </c>
      <c r="D59" s="86"/>
      <c r="E59" s="86">
        <v>0</v>
      </c>
      <c r="F59" s="86">
        <v>0</v>
      </c>
      <c r="G59" s="86">
        <v>0</v>
      </c>
      <c r="H59" s="86">
        <v>2512</v>
      </c>
      <c r="I59" s="86"/>
      <c r="J59" s="86">
        <v>2812.4</v>
      </c>
      <c r="K59" s="86">
        <v>3113</v>
      </c>
      <c r="L59" s="86">
        <v>3296.5</v>
      </c>
      <c r="M59" s="86">
        <v>3496</v>
      </c>
      <c r="N59" s="86"/>
      <c r="O59" s="86">
        <v>3695</v>
      </c>
      <c r="P59" s="86">
        <v>3894</v>
      </c>
      <c r="Q59" s="86">
        <v>4093</v>
      </c>
      <c r="R59" s="86">
        <v>4163</v>
      </c>
      <c r="S59" s="86"/>
      <c r="T59" s="86">
        <v>4284</v>
      </c>
      <c r="U59" s="86">
        <v>8544</v>
      </c>
      <c r="V59" s="86">
        <v>12247</v>
      </c>
      <c r="W59" s="86">
        <v>8765</v>
      </c>
      <c r="X59" s="86"/>
      <c r="Y59" s="86">
        <v>2992657</v>
      </c>
      <c r="Z59" s="86">
        <v>2990986</v>
      </c>
      <c r="AA59" s="86">
        <v>2991720.3825400001</v>
      </c>
      <c r="AB59" s="86">
        <v>2993468.8791800002</v>
      </c>
      <c r="AD59" s="86">
        <v>2995577.1923599998</v>
      </c>
      <c r="AE59" s="86">
        <v>2995963.9852499999</v>
      </c>
      <c r="AF59" s="86">
        <v>2996350.77813</v>
      </c>
      <c r="AG59" s="86">
        <v>2770787.1348300003</v>
      </c>
      <c r="AH59" s="86"/>
      <c r="AI59" s="86">
        <v>2734509.9382099998</v>
      </c>
      <c r="AJ59" s="86">
        <v>2997281.46894</v>
      </c>
      <c r="AK59" s="86">
        <v>2718841.8675199999</v>
      </c>
      <c r="AL59" s="86">
        <v>2718800</v>
      </c>
      <c r="AN59" s="86">
        <v>2720244.1106400001</v>
      </c>
      <c r="AO59" s="86">
        <v>2721739.9653199995</v>
      </c>
      <c r="AP59" s="86">
        <v>2722487.8926599999</v>
      </c>
      <c r="AQ59" s="86">
        <v>2722848.1690199994</v>
      </c>
      <c r="AS59" s="86">
        <v>2723211.5912099998</v>
      </c>
      <c r="AT59" s="86">
        <v>2326687.56005</v>
      </c>
      <c r="AU59" s="86">
        <v>2327159.1551600001</v>
      </c>
      <c r="AV59" s="86">
        <v>2327658.1440799995</v>
      </c>
      <c r="AX59" s="86">
        <v>2329941.1359399999</v>
      </c>
      <c r="AY59" s="86">
        <v>2321902.8443499999</v>
      </c>
      <c r="AZ59" s="86">
        <v>2324185.8362199999</v>
      </c>
      <c r="BA59" s="86">
        <v>2324913.1156700002</v>
      </c>
      <c r="BC59" s="86">
        <v>2310566.5085200001</v>
      </c>
      <c r="BD59" s="86">
        <v>2302380.1056599999</v>
      </c>
      <c r="BE59" s="86">
        <v>2303932.2045499999</v>
      </c>
      <c r="BF59" s="86">
        <v>2305484.3034399999</v>
      </c>
      <c r="BH59" s="86">
        <v>2307002.6610499998</v>
      </c>
      <c r="BI59" s="86">
        <v>2309918.1931699999</v>
      </c>
      <c r="BJ59" s="86">
        <v>2311358.5211900002</v>
      </c>
      <c r="BK59" s="86">
        <v>2312798.8492100001</v>
      </c>
      <c r="BM59" s="86">
        <v>2308839.2411500001</v>
      </c>
      <c r="BN59" s="86">
        <v>2283100</v>
      </c>
      <c r="BO59" s="86">
        <v>2272720.8466600003</v>
      </c>
      <c r="BP59" s="86">
        <v>2273245.9413700001</v>
      </c>
      <c r="BR59" s="86">
        <v>2265488.3228700003</v>
      </c>
      <c r="BS59" s="86">
        <v>2247108.4153599995</v>
      </c>
      <c r="BT59" s="86">
        <v>2114578.7384899994</v>
      </c>
      <c r="BU59" s="86">
        <v>2116662</v>
      </c>
      <c r="BW59" s="86">
        <v>2117920</v>
      </c>
    </row>
    <row r="60" spans="1:75">
      <c r="A60" s="20" t="s">
        <v>219</v>
      </c>
      <c r="C60" s="49">
        <v>0</v>
      </c>
      <c r="D60" s="196"/>
      <c r="E60" s="196">
        <v>0</v>
      </c>
      <c r="F60" s="196">
        <v>0</v>
      </c>
      <c r="G60" s="196">
        <v>0</v>
      </c>
      <c r="H60" s="196">
        <v>0</v>
      </c>
      <c r="I60" s="196"/>
      <c r="J60" s="196">
        <v>0</v>
      </c>
      <c r="K60" s="196">
        <v>0</v>
      </c>
      <c r="L60" s="196">
        <v>0</v>
      </c>
      <c r="M60" s="196">
        <v>0</v>
      </c>
      <c r="N60" s="196"/>
      <c r="O60" s="196">
        <v>0</v>
      </c>
      <c r="P60" s="196">
        <v>0</v>
      </c>
      <c r="Q60" s="196">
        <v>0</v>
      </c>
      <c r="R60" s="196">
        <v>0</v>
      </c>
      <c r="S60" s="196"/>
      <c r="T60" s="196">
        <v>0</v>
      </c>
      <c r="U60" s="86">
        <v>-600250</v>
      </c>
      <c r="V60" s="86">
        <v>0</v>
      </c>
      <c r="W60" s="86">
        <v>0</v>
      </c>
      <c r="X60" s="86"/>
      <c r="Y60" s="86">
        <v>0</v>
      </c>
      <c r="Z60" s="86">
        <v>0</v>
      </c>
      <c r="AA60" s="86">
        <v>0</v>
      </c>
      <c r="AB60" s="86">
        <v>0</v>
      </c>
      <c r="AD60" s="86">
        <v>0</v>
      </c>
      <c r="AE60" s="86">
        <v>9716.5018599999912</v>
      </c>
      <c r="AF60" s="86">
        <v>9716.5018599999912</v>
      </c>
      <c r="AG60" s="86">
        <v>9716.5018600000076</v>
      </c>
      <c r="AI60" s="86">
        <v>9716.5018599999912</v>
      </c>
      <c r="AJ60" s="86">
        <v>9716.5018599999912</v>
      </c>
      <c r="AK60" s="86">
        <v>9716.5018600000076</v>
      </c>
      <c r="AL60" s="86">
        <v>0</v>
      </c>
      <c r="AN60" s="86">
        <v>0</v>
      </c>
      <c r="AO60" s="86">
        <v>0</v>
      </c>
      <c r="AP60" s="86">
        <v>0</v>
      </c>
      <c r="AQ60" s="86">
        <v>0</v>
      </c>
      <c r="AS60" s="86">
        <v>0</v>
      </c>
      <c r="AT60" s="86">
        <v>0</v>
      </c>
      <c r="AU60" s="86">
        <v>0</v>
      </c>
      <c r="AV60" s="86">
        <v>0</v>
      </c>
      <c r="AX60" s="86">
        <v>0</v>
      </c>
      <c r="AY60" s="86">
        <v>0</v>
      </c>
      <c r="AZ60" s="86">
        <v>0</v>
      </c>
      <c r="BA60" s="86">
        <v>0</v>
      </c>
      <c r="BC60" s="86">
        <v>0</v>
      </c>
      <c r="BD60" s="86">
        <v>0</v>
      </c>
      <c r="BE60" s="86">
        <v>0</v>
      </c>
      <c r="BF60" s="86">
        <v>0</v>
      </c>
      <c r="BH60" s="86">
        <v>0</v>
      </c>
      <c r="BI60" s="86">
        <v>0</v>
      </c>
      <c r="BJ60" s="86">
        <v>0</v>
      </c>
      <c r="BK60" s="86">
        <v>0</v>
      </c>
      <c r="BM60" s="86">
        <v>0</v>
      </c>
      <c r="BN60" s="86">
        <v>0</v>
      </c>
      <c r="BO60" s="86">
        <v>0</v>
      </c>
      <c r="BP60" s="86">
        <v>0</v>
      </c>
      <c r="BR60" s="86">
        <v>0</v>
      </c>
      <c r="BS60" s="86">
        <v>0</v>
      </c>
      <c r="BT60" s="86">
        <v>0</v>
      </c>
      <c r="BU60" s="86">
        <v>0</v>
      </c>
      <c r="BW60" s="86">
        <v>0</v>
      </c>
    </row>
    <row r="61" spans="1:75">
      <c r="A61" s="20" t="s">
        <v>71</v>
      </c>
      <c r="C61" s="86">
        <v>102859</v>
      </c>
      <c r="D61" s="86"/>
      <c r="E61" s="86">
        <v>102439</v>
      </c>
      <c r="F61" s="86">
        <v>102018</v>
      </c>
      <c r="G61" s="86">
        <v>101593</v>
      </c>
      <c r="H61" s="86">
        <v>101168</v>
      </c>
      <c r="I61" s="86"/>
      <c r="J61" s="86">
        <v>0</v>
      </c>
      <c r="K61" s="86">
        <v>0</v>
      </c>
      <c r="L61" s="86">
        <v>0</v>
      </c>
      <c r="M61" s="86">
        <v>0</v>
      </c>
      <c r="N61" s="86"/>
      <c r="O61" s="86">
        <v>0</v>
      </c>
      <c r="P61" s="86">
        <v>0</v>
      </c>
      <c r="Q61" s="86">
        <v>0</v>
      </c>
      <c r="R61" s="86">
        <v>0</v>
      </c>
      <c r="S61" s="86"/>
      <c r="T61" s="86">
        <v>0</v>
      </c>
      <c r="U61" s="86">
        <v>0</v>
      </c>
      <c r="V61" s="86">
        <v>0</v>
      </c>
      <c r="W61" s="86">
        <v>0</v>
      </c>
      <c r="X61" s="86"/>
      <c r="Y61" s="86">
        <v>0</v>
      </c>
      <c r="Z61" s="86">
        <v>0</v>
      </c>
      <c r="AA61" s="86">
        <v>0</v>
      </c>
      <c r="AB61" s="86">
        <v>0</v>
      </c>
      <c r="AD61" s="86">
        <v>0</v>
      </c>
      <c r="AE61" s="86">
        <v>0</v>
      </c>
      <c r="AF61" s="86">
        <v>0</v>
      </c>
      <c r="AG61" s="86">
        <v>0</v>
      </c>
      <c r="AI61" s="86">
        <v>0</v>
      </c>
      <c r="AJ61" s="86">
        <v>0</v>
      </c>
      <c r="AK61" s="86">
        <v>0</v>
      </c>
      <c r="AL61" s="86">
        <v>0</v>
      </c>
      <c r="AN61" s="86">
        <v>0</v>
      </c>
      <c r="AO61" s="86">
        <v>0</v>
      </c>
      <c r="AP61" s="86">
        <v>0</v>
      </c>
      <c r="AQ61" s="86">
        <v>0</v>
      </c>
      <c r="AS61" s="86">
        <v>0</v>
      </c>
      <c r="AT61" s="86">
        <v>0</v>
      </c>
      <c r="AU61" s="86">
        <v>0</v>
      </c>
      <c r="AV61" s="86">
        <v>0</v>
      </c>
      <c r="AX61" s="86">
        <v>0</v>
      </c>
      <c r="AY61" s="86">
        <v>0</v>
      </c>
      <c r="AZ61" s="86">
        <v>0</v>
      </c>
      <c r="BA61" s="86">
        <v>0</v>
      </c>
      <c r="BC61" s="86">
        <v>0</v>
      </c>
      <c r="BD61" s="86">
        <v>0</v>
      </c>
      <c r="BE61" s="86">
        <v>0</v>
      </c>
      <c r="BF61" s="86">
        <v>0</v>
      </c>
      <c r="BH61" s="86">
        <v>0</v>
      </c>
      <c r="BI61" s="86">
        <v>0</v>
      </c>
      <c r="BJ61" s="86">
        <v>0</v>
      </c>
      <c r="BK61" s="86">
        <v>0</v>
      </c>
      <c r="BM61" s="86">
        <v>0</v>
      </c>
      <c r="BN61" s="86">
        <v>0</v>
      </c>
      <c r="BO61" s="86">
        <v>0</v>
      </c>
      <c r="BP61" s="86">
        <v>0</v>
      </c>
      <c r="BR61" s="86">
        <v>0</v>
      </c>
      <c r="BS61" s="86">
        <v>0</v>
      </c>
      <c r="BT61" s="86">
        <v>0</v>
      </c>
      <c r="BU61" s="86">
        <v>0</v>
      </c>
      <c r="BW61" s="86">
        <v>0</v>
      </c>
    </row>
    <row r="62" spans="1:75">
      <c r="A62" s="20" t="s">
        <v>407</v>
      </c>
      <c r="C62" s="86">
        <v>0</v>
      </c>
      <c r="D62" s="86"/>
      <c r="E62" s="86">
        <v>-13154</v>
      </c>
      <c r="F62" s="86">
        <v>-11881</v>
      </c>
      <c r="G62" s="86">
        <v>-11236</v>
      </c>
      <c r="H62" s="86">
        <v>0</v>
      </c>
      <c r="I62" s="86"/>
      <c r="J62" s="86">
        <v>205727</v>
      </c>
      <c r="K62" s="86">
        <v>201024</v>
      </c>
      <c r="L62" s="86">
        <v>200816.5</v>
      </c>
      <c r="M62" s="86">
        <v>13078</v>
      </c>
      <c r="N62" s="86"/>
      <c r="O62" s="86">
        <v>349055</v>
      </c>
      <c r="P62" s="86">
        <v>348441</v>
      </c>
      <c r="Q62" s="86">
        <v>348252</v>
      </c>
      <c r="R62" s="86">
        <v>1161070</v>
      </c>
      <c r="S62" s="86"/>
      <c r="T62" s="86">
        <v>1161071</v>
      </c>
      <c r="U62" s="86">
        <v>1161070</v>
      </c>
      <c r="V62" s="86">
        <v>1161070</v>
      </c>
      <c r="W62" s="86">
        <v>1469261</v>
      </c>
      <c r="X62" s="86"/>
      <c r="Y62" s="86">
        <v>1469261</v>
      </c>
      <c r="Z62" s="86">
        <v>1434293</v>
      </c>
      <c r="AA62" s="86">
        <v>1434292.6121200002</v>
      </c>
      <c r="AB62" s="86">
        <f>2490692.05951587+160000</f>
        <v>2650692.0595158702</v>
      </c>
      <c r="AD62" s="86">
        <v>2649076.8865100006</v>
      </c>
      <c r="AE62" s="86">
        <v>2489076.9417200009</v>
      </c>
      <c r="AF62" s="86">
        <v>2489076.9417200009</v>
      </c>
      <c r="AG62" s="86">
        <v>2570239.0628162464</v>
      </c>
      <c r="AI62" s="86">
        <v>2570238.8880500002</v>
      </c>
      <c r="AJ62" s="86">
        <v>773774.69055000006</v>
      </c>
      <c r="AK62" s="86">
        <v>773774.69054999982</v>
      </c>
      <c r="AL62" s="86">
        <v>972082</v>
      </c>
      <c r="AN62" s="86">
        <v>972082</v>
      </c>
      <c r="AO62" s="86">
        <v>972082</v>
      </c>
      <c r="AP62" s="86">
        <v>972081.54804999998</v>
      </c>
      <c r="AQ62" s="86">
        <v>-396995.62626969098</v>
      </c>
      <c r="AS62" s="86">
        <v>-396995.62627000007</v>
      </c>
      <c r="AT62" s="86">
        <v>65255.837279999971</v>
      </c>
      <c r="AU62" s="86">
        <v>65255.83728</v>
      </c>
      <c r="AV62" s="86">
        <v>87250.904090749944</v>
      </c>
      <c r="AX62" s="86">
        <v>87250.904089999982</v>
      </c>
      <c r="AY62" s="86">
        <v>87250.904089999982</v>
      </c>
      <c r="AZ62" s="86">
        <v>87250.904089999982</v>
      </c>
      <c r="BA62" s="86">
        <v>298476.40574999998</v>
      </c>
      <c r="BC62" s="86">
        <v>298476.40574999998</v>
      </c>
      <c r="BD62" s="86">
        <v>298476.40574999998</v>
      </c>
      <c r="BE62" s="86">
        <v>298476.40574999998</v>
      </c>
      <c r="BF62" s="86">
        <v>312181.7099450003</v>
      </c>
      <c r="BH62" s="86">
        <v>312181.70993999997</v>
      </c>
      <c r="BI62" s="86">
        <v>312181.70993999997</v>
      </c>
      <c r="BJ62" s="86">
        <v>312181.70993999997</v>
      </c>
      <c r="BK62" s="86">
        <v>623533.52605999995</v>
      </c>
      <c r="BM62" s="86">
        <v>623533.52607000002</v>
      </c>
      <c r="BN62" s="86">
        <v>581534</v>
      </c>
      <c r="BO62" s="86">
        <v>581533.56260000006</v>
      </c>
      <c r="BP62" s="86">
        <v>738813.44638999994</v>
      </c>
      <c r="BR62" s="86">
        <v>738813.44638999994</v>
      </c>
      <c r="BS62" s="86">
        <v>693079.44641000009</v>
      </c>
      <c r="BT62" s="86">
        <v>693079.44641000009</v>
      </c>
      <c r="BU62" s="86">
        <v>717492</v>
      </c>
      <c r="BW62" s="86">
        <v>717492</v>
      </c>
    </row>
    <row r="63" spans="1:75">
      <c r="A63" s="20" t="s">
        <v>406</v>
      </c>
      <c r="C63" s="86">
        <v>-13154</v>
      </c>
      <c r="D63" s="86"/>
      <c r="E63" s="86">
        <v>1337</v>
      </c>
      <c r="F63" s="86">
        <v>999</v>
      </c>
      <c r="G63" s="86">
        <v>1615</v>
      </c>
      <c r="H63" s="86">
        <v>-13940</v>
      </c>
      <c r="I63" s="86"/>
      <c r="J63" s="86">
        <v>495</v>
      </c>
      <c r="K63" s="86">
        <v>13730</v>
      </c>
      <c r="L63" s="86">
        <v>22638.5</v>
      </c>
      <c r="M63" s="86">
        <v>349756</v>
      </c>
      <c r="N63" s="86"/>
      <c r="O63" s="86">
        <v>3868</v>
      </c>
      <c r="P63" s="86">
        <v>31072</v>
      </c>
      <c r="Q63" s="86">
        <v>42670</v>
      </c>
      <c r="R63" s="86">
        <v>0</v>
      </c>
      <c r="S63" s="86"/>
      <c r="T63" s="86">
        <v>22356</v>
      </c>
      <c r="U63" s="86">
        <v>181166</v>
      </c>
      <c r="V63" s="86">
        <v>264909</v>
      </c>
      <c r="W63" s="86">
        <v>0</v>
      </c>
      <c r="X63" s="86"/>
      <c r="Y63" s="86">
        <v>452713</v>
      </c>
      <c r="Z63" s="86">
        <v>785103</v>
      </c>
      <c r="AA63" s="86">
        <v>1044336.6847300769</v>
      </c>
      <c r="AB63" s="86"/>
      <c r="AD63" s="86">
        <v>90892.722432294875</v>
      </c>
      <c r="AE63" s="86">
        <v>140740.34805435789</v>
      </c>
      <c r="AF63" s="86">
        <v>230295.7599643209</v>
      </c>
      <c r="AG63" s="86">
        <v>0</v>
      </c>
      <c r="AI63" s="86">
        <v>59466.645748124909</v>
      </c>
      <c r="AJ63" s="86">
        <v>242358.59948007518</v>
      </c>
      <c r="AK63" s="86">
        <v>350291.00500446558</v>
      </c>
      <c r="AL63" s="86">
        <v>0</v>
      </c>
      <c r="AN63" s="86">
        <v>30160.665865253166</v>
      </c>
      <c r="AO63" s="86">
        <v>65061.995187111133</v>
      </c>
      <c r="AP63" s="86">
        <v>-412511.73633554403</v>
      </c>
      <c r="AQ63" s="86">
        <v>0</v>
      </c>
      <c r="AS63" s="86">
        <v>106625.61123141136</v>
      </c>
      <c r="AT63" s="86">
        <v>79629.083222747286</v>
      </c>
      <c r="AU63" s="86">
        <v>95160.895519761456</v>
      </c>
      <c r="AV63" s="86" t="s">
        <v>592</v>
      </c>
      <c r="AX63" s="86">
        <v>182768.68671546591</v>
      </c>
      <c r="AY63" s="86">
        <v>173979.03943500013</v>
      </c>
      <c r="AZ63" s="86">
        <v>186956.42588999998</v>
      </c>
      <c r="BA63" s="86">
        <v>0</v>
      </c>
      <c r="BC63" s="86">
        <v>-11583.670549999957</v>
      </c>
      <c r="BD63" s="86">
        <v>-73324.724909999961</v>
      </c>
      <c r="BE63" s="86">
        <v>-110427.59158999985</v>
      </c>
      <c r="BF63" s="86">
        <v>0</v>
      </c>
      <c r="BH63" s="86">
        <v>-167887.93531000041</v>
      </c>
      <c r="BI63" s="86">
        <v>-110813.34539000034</v>
      </c>
      <c r="BJ63" s="86">
        <v>-85214.172100000345</v>
      </c>
      <c r="BK63" s="86">
        <v>-3.7997961044311521E-10</v>
      </c>
      <c r="BM63" s="86">
        <v>14378.000005000447</v>
      </c>
      <c r="BN63" s="86">
        <v>34323</v>
      </c>
      <c r="BO63" s="86">
        <v>50583</v>
      </c>
      <c r="BP63" s="86">
        <v>0</v>
      </c>
      <c r="BR63" s="86">
        <v>13425.849340000173</v>
      </c>
      <c r="BS63" s="86">
        <v>41191.630130000158</v>
      </c>
      <c r="BT63" s="86">
        <v>79454.173310000129</v>
      </c>
      <c r="BU63" s="86"/>
      <c r="BW63" s="86">
        <v>-30712</v>
      </c>
    </row>
    <row r="64" spans="1:75">
      <c r="A64" s="20" t="s">
        <v>323</v>
      </c>
      <c r="C64" s="86">
        <v>0</v>
      </c>
      <c r="D64" s="86"/>
      <c r="E64" s="86">
        <v>0</v>
      </c>
      <c r="F64" s="86">
        <v>0</v>
      </c>
      <c r="G64" s="86">
        <v>0</v>
      </c>
      <c r="H64" s="86">
        <v>0</v>
      </c>
      <c r="I64" s="86"/>
      <c r="J64" s="86">
        <v>0</v>
      </c>
      <c r="K64" s="86">
        <v>0</v>
      </c>
      <c r="L64" s="86">
        <v>0</v>
      </c>
      <c r="M64" s="86">
        <v>0</v>
      </c>
      <c r="N64" s="86"/>
      <c r="O64" s="86">
        <v>0</v>
      </c>
      <c r="P64" s="86">
        <v>0</v>
      </c>
      <c r="Q64" s="86">
        <v>0</v>
      </c>
      <c r="R64" s="86">
        <v>0</v>
      </c>
      <c r="S64" s="86"/>
      <c r="T64" s="86">
        <v>0</v>
      </c>
      <c r="U64" s="86">
        <v>0</v>
      </c>
      <c r="V64" s="86">
        <v>0</v>
      </c>
      <c r="W64" s="86">
        <v>0</v>
      </c>
      <c r="X64" s="86"/>
      <c r="Y64" s="86">
        <v>60550</v>
      </c>
      <c r="Z64" s="86">
        <v>61125</v>
      </c>
      <c r="AA64" s="86">
        <v>61542.882411412007</v>
      </c>
      <c r="AB64" s="86">
        <v>71574.789705000017</v>
      </c>
      <c r="AD64" s="86">
        <v>156426.56248189643</v>
      </c>
      <c r="AE64" s="86">
        <v>157140.78078118496</v>
      </c>
      <c r="AF64" s="86">
        <v>161398.83743210809</v>
      </c>
      <c r="AG64" s="86">
        <v>60724.238532205149</v>
      </c>
      <c r="AI64" s="86">
        <v>59931.423985000001</v>
      </c>
      <c r="AJ64" s="86">
        <v>60490.108054999997</v>
      </c>
      <c r="AK64" s="86">
        <v>61124.294009999998</v>
      </c>
      <c r="AL64" s="86">
        <v>63030</v>
      </c>
      <c r="AN64" s="86">
        <v>64407.023663552995</v>
      </c>
      <c r="AO64" s="86">
        <v>65453.165099999991</v>
      </c>
      <c r="AP64" s="86">
        <v>66413.711335</v>
      </c>
      <c r="AQ64" s="86">
        <v>62865.678614999997</v>
      </c>
      <c r="AS64" s="86">
        <v>63887.81289999999</v>
      </c>
      <c r="AT64" s="86">
        <v>0</v>
      </c>
      <c r="AU64" s="86">
        <v>0</v>
      </c>
      <c r="AV64" s="86">
        <v>0</v>
      </c>
      <c r="AX64" s="86">
        <v>0</v>
      </c>
      <c r="AY64" s="86">
        <v>0</v>
      </c>
      <c r="AZ64" s="86">
        <v>0</v>
      </c>
      <c r="BA64" s="86">
        <v>0</v>
      </c>
      <c r="BC64" s="86">
        <v>0</v>
      </c>
      <c r="BD64" s="86">
        <v>0</v>
      </c>
      <c r="BE64" s="86">
        <v>0</v>
      </c>
      <c r="BF64" s="86">
        <v>0</v>
      </c>
      <c r="BH64" s="86">
        <v>0</v>
      </c>
      <c r="BI64" s="86"/>
      <c r="BJ64" s="86"/>
      <c r="BK64" s="86"/>
      <c r="BM64" s="86">
        <v>0</v>
      </c>
      <c r="BN64" s="86">
        <v>0</v>
      </c>
      <c r="BO64" s="86">
        <v>0</v>
      </c>
      <c r="BP64" s="86">
        <v>0</v>
      </c>
      <c r="BR64" s="86">
        <v>0</v>
      </c>
      <c r="BS64" s="86">
        <v>0</v>
      </c>
      <c r="BT64" s="86">
        <v>0</v>
      </c>
      <c r="BU64" s="86"/>
      <c r="BW64" s="86">
        <v>0</v>
      </c>
    </row>
    <row r="65" spans="1:75"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AD65" s="20"/>
    </row>
    <row r="66" spans="1:75">
      <c r="A66" s="83" t="s">
        <v>21</v>
      </c>
      <c r="C66" s="179">
        <f>SUM(C58:C64)</f>
        <v>686738</v>
      </c>
      <c r="D66" s="193"/>
      <c r="E66" s="179">
        <f>SUM(E58:E64)</f>
        <v>687655</v>
      </c>
      <c r="F66" s="179">
        <f>SUM(F58:F64)</f>
        <v>688169</v>
      </c>
      <c r="G66" s="179">
        <f>SUM(G58:G64)</f>
        <v>689394</v>
      </c>
      <c r="H66" s="179">
        <f>SUM(H58:H63)</f>
        <v>687162</v>
      </c>
      <c r="I66" s="193"/>
      <c r="J66" s="179">
        <f t="shared" ref="J66:AA66" si="7">SUM(J58:J64)</f>
        <v>806456.8</v>
      </c>
      <c r="K66" s="179">
        <f t="shared" si="7"/>
        <v>815289</v>
      </c>
      <c r="L66" s="179">
        <f t="shared" si="7"/>
        <v>825061</v>
      </c>
      <c r="M66" s="179">
        <f>SUM(M58:M64)</f>
        <v>1185540</v>
      </c>
      <c r="N66" s="177"/>
      <c r="O66" s="179">
        <f t="shared" si="7"/>
        <v>1900199</v>
      </c>
      <c r="P66" s="179">
        <f t="shared" si="7"/>
        <v>1927390</v>
      </c>
      <c r="Q66" s="179">
        <f t="shared" si="7"/>
        <v>1938789</v>
      </c>
      <c r="R66" s="179">
        <f>SUM(R58:R64)</f>
        <v>2709470</v>
      </c>
      <c r="S66" s="177"/>
      <c r="T66" s="179">
        <f t="shared" si="7"/>
        <v>2731948</v>
      </c>
      <c r="U66" s="179">
        <f t="shared" si="7"/>
        <v>2895876</v>
      </c>
      <c r="V66" s="179">
        <f t="shared" si="7"/>
        <v>3654327</v>
      </c>
      <c r="W66" s="179">
        <f>SUM(W58:W64)</f>
        <v>3692733</v>
      </c>
      <c r="X66" s="177"/>
      <c r="Y66" s="179">
        <f t="shared" si="7"/>
        <v>7257900</v>
      </c>
      <c r="Z66" s="179">
        <f t="shared" si="7"/>
        <v>7558363</v>
      </c>
      <c r="AA66" s="179">
        <f t="shared" si="7"/>
        <v>7818580.7320614895</v>
      </c>
      <c r="AB66" s="179">
        <f>SUM(AB58:AB64)</f>
        <v>8015265.7630208703</v>
      </c>
      <c r="AD66" s="179">
        <f>SUM(AD58:AD64)</f>
        <v>8191671.3984041912</v>
      </c>
      <c r="AE66" s="179">
        <f>SUM(AE58:AE64)</f>
        <v>8092336.5922855446</v>
      </c>
      <c r="AF66" s="179">
        <f>SUM(AF58:AF64)</f>
        <v>8186536.8537264308</v>
      </c>
      <c r="AG66" s="179">
        <f>SUM(AG58:AG64)</f>
        <v>7711164.9726584516</v>
      </c>
      <c r="AI66" s="179">
        <f>SUM(AI58:AI64)</f>
        <v>7733561.432473124</v>
      </c>
      <c r="AJ66" s="179">
        <f>SUM(AJ58:AJ64)</f>
        <v>6104458.5808150759</v>
      </c>
      <c r="AK66" s="179">
        <f>SUM(AK58:AK64)</f>
        <v>6218033.7670944659</v>
      </c>
      <c r="AL66" s="179">
        <f>SUM(AL58:AL64)</f>
        <v>6068146</v>
      </c>
      <c r="AN66" s="179">
        <f>SUM(AN58:AN64)</f>
        <v>6101127.8001688067</v>
      </c>
      <c r="AO66" s="179">
        <f>SUM(AO58:AO64)</f>
        <v>6138571.1256071106</v>
      </c>
      <c r="AP66" s="179">
        <f>SUM(AP58:AP64)</f>
        <v>5662704.6203694558</v>
      </c>
      <c r="AQ66" s="179">
        <f>SUM(AQ58:AQ64)</f>
        <v>4702951.4260253087</v>
      </c>
      <c r="AS66" s="179">
        <f>SUM(AS58:AS64)</f>
        <v>4810962.5937314117</v>
      </c>
      <c r="AT66" s="179">
        <f>SUM(AT58:AT64)</f>
        <v>4785805.6852127463</v>
      </c>
      <c r="AU66" s="179">
        <f>SUM(AU58:AU64)</f>
        <v>4801809.0926197609</v>
      </c>
      <c r="AV66" s="179">
        <f>SUM(AV58:AV64)</f>
        <v>4729142.2528307494</v>
      </c>
      <c r="AX66" s="179">
        <f>SUM(AX58:AX64)</f>
        <v>4914193.931405466</v>
      </c>
      <c r="AY66" s="179">
        <f>SUM(AY58:AY64)</f>
        <v>4896192.7748050001</v>
      </c>
      <c r="AZ66" s="179">
        <f>SUM(AZ58:AZ64)</f>
        <v>5851146.0620299997</v>
      </c>
      <c r="BA66" s="179">
        <f>SUM(BA58:BA64)</f>
        <v>5876089.9714500001</v>
      </c>
      <c r="BC66" s="179">
        <f>SUM(BC58:BC64)</f>
        <v>5850159.6937500006</v>
      </c>
      <c r="BD66" s="179">
        <f>SUM(BD58:BD64)</f>
        <v>5780232.2365299994</v>
      </c>
      <c r="BE66" s="179">
        <f>SUM(BE58:BE64)</f>
        <v>5744681.4687399995</v>
      </c>
      <c r="BF66" s="179">
        <f>SUM(BF58:BF64)</f>
        <v>5870366.4634150006</v>
      </c>
      <c r="BH66" s="179">
        <f>SUM(BH58:BH64)</f>
        <v>5703996.8857099991</v>
      </c>
      <c r="BI66" s="179">
        <f>SUM(BI58:BI64)</f>
        <v>5763987.0077499999</v>
      </c>
      <c r="BJ66" s="179">
        <f>SUM(BJ58:BJ64)</f>
        <v>5791026.5090599991</v>
      </c>
      <c r="BK66" s="179">
        <f>SUM(BK58:BK64)</f>
        <v>7204074.5897000004</v>
      </c>
      <c r="BM66" s="179">
        <f>SUM(BM58:BM64)</f>
        <v>7214492.9816549998</v>
      </c>
      <c r="BN66" s="179">
        <f>SUM(BN58:BN64)</f>
        <v>7166501</v>
      </c>
      <c r="BO66" s="179">
        <f>SUM(BO58:BO64)</f>
        <v>7172381.8425700003</v>
      </c>
      <c r="BP66" s="179">
        <f>SUM(BP58:BP64)</f>
        <v>7279603.8210700005</v>
      </c>
      <c r="BR66" s="179">
        <f>SUM(BR58:BR64)</f>
        <v>7285272.0519100009</v>
      </c>
      <c r="BS66" s="179">
        <f>SUM(BS58:BS64)</f>
        <v>7248923.9252100009</v>
      </c>
      <c r="BT66" s="179">
        <f>SUM(BT58:BT64)</f>
        <v>7154656.7915200004</v>
      </c>
      <c r="BU66" s="179">
        <f>SUM(BU58:BU64)</f>
        <v>7101699</v>
      </c>
      <c r="BW66" s="179">
        <f>SUM(BW58:BW64)</f>
        <v>7072245</v>
      </c>
    </row>
    <row r="67" spans="1:75"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spans="1:75" ht="13.5" thickBot="1">
      <c r="A68" s="83" t="s">
        <v>22</v>
      </c>
      <c r="C68" s="62">
        <f>+C46+C54+C66</f>
        <v>1264849</v>
      </c>
      <c r="D68" s="193"/>
      <c r="E68" s="62">
        <f>+E46+E54+E66</f>
        <v>1320682</v>
      </c>
      <c r="F68" s="62">
        <f>+F46+F54+F66</f>
        <v>1328584</v>
      </c>
      <c r="G68" s="62">
        <f>+G46+G54+G66</f>
        <v>1336285</v>
      </c>
      <c r="H68" s="62">
        <f>+H46+H54+H66</f>
        <v>1341373</v>
      </c>
      <c r="I68" s="193"/>
      <c r="J68" s="62">
        <f>+J46+J54+J66</f>
        <v>1434569.6</v>
      </c>
      <c r="K68" s="62">
        <f>+K46+K54+K66</f>
        <v>1435670</v>
      </c>
      <c r="L68" s="62">
        <f>+L46+L54+L66</f>
        <v>1438900</v>
      </c>
      <c r="M68" s="62">
        <f>+M46+M54+M66</f>
        <v>1984872</v>
      </c>
      <c r="N68" s="177"/>
      <c r="O68" s="62">
        <f>+O46+O54+O66</f>
        <v>2822882</v>
      </c>
      <c r="P68" s="62">
        <f>+P46+P54+P66</f>
        <v>3016941</v>
      </c>
      <c r="Q68" s="62">
        <f>+Q46+Q54+Q66</f>
        <v>3524163</v>
      </c>
      <c r="R68" s="62">
        <f>+R46+R54+R66</f>
        <v>5105236</v>
      </c>
      <c r="S68" s="177"/>
      <c r="T68" s="62">
        <f>+T46+T54+T66</f>
        <v>5323710</v>
      </c>
      <c r="U68" s="62">
        <f>+U46+U54+U66</f>
        <v>5491589</v>
      </c>
      <c r="V68" s="62">
        <f>+V46+V54+V66</f>
        <v>6375153</v>
      </c>
      <c r="W68" s="62">
        <f>+W46+W54+W66</f>
        <v>6439379</v>
      </c>
      <c r="X68" s="177"/>
      <c r="Y68" s="62">
        <f>+Y46+Y54+Y66</f>
        <v>13823488</v>
      </c>
      <c r="Z68" s="62">
        <f>+Z46+Z54+Z66</f>
        <v>14708025</v>
      </c>
      <c r="AA68" s="62">
        <f>+AA46+AA54+AA66</f>
        <v>15001721.37505563</v>
      </c>
      <c r="AB68" s="62">
        <f>+AB46+AB54+AB66</f>
        <v>15399540.859158624</v>
      </c>
      <c r="AD68" s="62">
        <f>+AD46+AD54+AD66</f>
        <v>15900896.609375887</v>
      </c>
      <c r="AE68" s="62">
        <f>+AE46+AE54+AE66</f>
        <v>15965822.235852987</v>
      </c>
      <c r="AF68" s="62">
        <f>+AF46+AF54+AF66</f>
        <v>15781430.184571393</v>
      </c>
      <c r="AG68" s="62">
        <f>+AG46+AG54+AG66</f>
        <v>15463222.369289853</v>
      </c>
      <c r="AI68" s="62">
        <f>+AI46+AI54+AI66</f>
        <v>15525860.773522016</v>
      </c>
      <c r="AJ68" s="62">
        <f>+AJ46+AJ54+AJ66</f>
        <v>13128684.791917231</v>
      </c>
      <c r="AK68" s="62">
        <f>+AK46+AK54+AK66</f>
        <v>12360458.933709413</v>
      </c>
      <c r="AL68" s="62">
        <f>+AL46+AL54+AL66</f>
        <v>11982105</v>
      </c>
      <c r="AN68" s="62">
        <f>+AN46+AN54+AN66+3</f>
        <v>12152930.468318805</v>
      </c>
      <c r="AO68" s="62">
        <f>+AO46+AO54+AO66+2</f>
        <v>12128070.65456406</v>
      </c>
      <c r="AP68" s="62">
        <f>+AP46+AP54+AP66+1</f>
        <v>11682910.933668688</v>
      </c>
      <c r="AQ68" s="62">
        <f>+AQ46+AQ54+AQ66+1</f>
        <v>9162161.5664873905</v>
      </c>
      <c r="AS68" s="62">
        <f>+AS46+AS54+AS66+1</f>
        <v>8645754.0477293041</v>
      </c>
      <c r="AT68" s="62">
        <f>+AT46+AT54+AT66</f>
        <v>8519022.7976179942</v>
      </c>
      <c r="AU68" s="62">
        <f>+AU46+AU54+AU66</f>
        <v>8567372.5587198362</v>
      </c>
      <c r="AV68" s="62">
        <f>+AV46+AV54+AV66+1</f>
        <v>9180531.4974641614</v>
      </c>
      <c r="AX68" s="62">
        <f>+AX46+AX54+AX66</f>
        <v>9204852.7817604672</v>
      </c>
      <c r="AY68" s="62">
        <f>+AY46+AY54+AY66</f>
        <v>9132128.2397450004</v>
      </c>
      <c r="AZ68" s="62">
        <f>+AZ46+AZ54+AZ66</f>
        <v>9594756.2476046775</v>
      </c>
      <c r="BA68" s="62">
        <f>+BA46+BA54+BA66</f>
        <v>9797952.0153966397</v>
      </c>
      <c r="BC68" s="62">
        <f>+BC46+BC54+BC66</f>
        <v>9826662.8779750001</v>
      </c>
      <c r="BD68" s="62">
        <f>+BD46+BD54+BD66</f>
        <v>9750308.9530849997</v>
      </c>
      <c r="BE68" s="62">
        <f>+BE46+BE54+BE66</f>
        <v>9773978.827934999</v>
      </c>
      <c r="BF68" s="62">
        <f>+BF46+BF54+BF66</f>
        <v>10637147.489755001</v>
      </c>
      <c r="BH68" s="62">
        <f>+BH46+BH54+BH66</f>
        <v>9836201.069805</v>
      </c>
      <c r="BI68" s="62">
        <f>+BI46+BI54+BI66</f>
        <v>9588831.4123122152</v>
      </c>
      <c r="BJ68" s="62">
        <f>+BJ46+BJ54+BJ66</f>
        <v>9284369.1554022152</v>
      </c>
      <c r="BK68" s="62">
        <f>+BK46+BK54+BK66</f>
        <v>9946285.5366822165</v>
      </c>
      <c r="BM68" s="62">
        <f>+BM46+BM54+BM66</f>
        <v>9922463.5846500006</v>
      </c>
      <c r="BN68" s="62">
        <f>+BN46+BN54+BN66</f>
        <v>9916325.2477199994</v>
      </c>
      <c r="BO68" s="62">
        <f>+BO46+BO54+BO66</f>
        <v>10493449.288000003</v>
      </c>
      <c r="BP68" s="62">
        <f>+BP46+BP54+BP66</f>
        <v>10654156.877070002</v>
      </c>
      <c r="BR68" s="62">
        <f>+BR46+BR54+BR66</f>
        <v>11067324.758130001</v>
      </c>
      <c r="BS68" s="62">
        <f>+BS46+BS54+BS66</f>
        <v>11206244.71164</v>
      </c>
      <c r="BT68" s="62">
        <f>+BT46+BT54+BT66</f>
        <v>11447306.38559</v>
      </c>
      <c r="BU68" s="62">
        <f>+BU46+BU54+BU66</f>
        <v>11283899.62644</v>
      </c>
      <c r="BW68" s="62">
        <f>+BW46+BW54+BW66</f>
        <v>11312600</v>
      </c>
    </row>
    <row r="69" spans="1:75" s="49" customFormat="1">
      <c r="D69" s="196"/>
      <c r="I69" s="249"/>
      <c r="N69" s="196"/>
      <c r="S69" s="196"/>
      <c r="X69" s="196"/>
      <c r="AB69" s="20"/>
      <c r="AH69" s="20"/>
      <c r="AI69" s="20"/>
      <c r="BB69" s="20"/>
      <c r="BG69" s="20"/>
      <c r="BL69" s="20"/>
      <c r="BQ69" s="20"/>
      <c r="BV69" s="20"/>
    </row>
    <row r="70" spans="1:75">
      <c r="I70" s="58"/>
      <c r="BU70" s="28"/>
    </row>
    <row r="71" spans="1:75">
      <c r="I71" s="58"/>
    </row>
  </sheetData>
  <mergeCells count="12">
    <mergeCell ref="BC2:BF2"/>
    <mergeCell ref="AX2:BA2"/>
    <mergeCell ref="A1:A2"/>
    <mergeCell ref="T2:W2"/>
    <mergeCell ref="O2:R2"/>
    <mergeCell ref="J2:M2"/>
    <mergeCell ref="E2:H2"/>
    <mergeCell ref="AN2:AQ2"/>
    <mergeCell ref="AI2:AL2"/>
    <mergeCell ref="AD2:AG2"/>
    <mergeCell ref="Y2:AB2"/>
    <mergeCell ref="AS2:AV2"/>
  </mergeCells>
  <pageMargins left="0.25" right="0.25" top="0.75" bottom="0.75" header="0.3" footer="0.3"/>
  <pageSetup paperSize="9" scale="55" orientation="portrait" r:id="rId1"/>
  <ignoredErrors>
    <ignoredError sqref="H66:I66 N66 S66" formulaRange="1"/>
    <ignoredError sqref="AU28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Q49"/>
  <sheetViews>
    <sheetView showGridLines="0" topLeftCell="B25" zoomScale="70" zoomScaleNormal="70" workbookViewId="0">
      <selection activeCell="A3" sqref="A3"/>
    </sheetView>
  </sheetViews>
  <sheetFormatPr defaultColWidth="8.7265625" defaultRowHeight="13"/>
  <cols>
    <col min="1" max="1" width="42.453125" style="20" bestFit="1" customWidth="1"/>
    <col min="2" max="3" width="13.1796875" style="20" bestFit="1" customWidth="1"/>
    <col min="4" max="4" width="13.54296875" style="20" bestFit="1" customWidth="1"/>
    <col min="5" max="11" width="13.1796875" style="20" bestFit="1" customWidth="1"/>
    <col min="12" max="12" width="13.1796875" style="20" customWidth="1"/>
    <col min="13" max="17" width="13.1796875" style="20" bestFit="1" customWidth="1"/>
    <col min="18" max="16384" width="8.7265625" style="20"/>
  </cols>
  <sheetData>
    <row r="1" spans="1:17">
      <c r="A1" s="174"/>
      <c r="B1" s="175">
        <v>43281</v>
      </c>
      <c r="C1" s="175">
        <v>43373</v>
      </c>
      <c r="D1" s="175">
        <v>43465</v>
      </c>
      <c r="E1" s="175">
        <v>43555</v>
      </c>
      <c r="F1" s="175">
        <v>43646</v>
      </c>
      <c r="G1" s="175">
        <v>43738</v>
      </c>
      <c r="H1" s="175">
        <v>43830</v>
      </c>
      <c r="I1" s="175">
        <v>43921</v>
      </c>
      <c r="J1" s="175">
        <v>44012</v>
      </c>
      <c r="K1" s="175">
        <v>44104</v>
      </c>
      <c r="L1" s="175">
        <v>44196</v>
      </c>
      <c r="M1" s="175">
        <v>44286</v>
      </c>
      <c r="N1" s="175">
        <v>44377</v>
      </c>
      <c r="O1" s="175">
        <v>44469</v>
      </c>
      <c r="P1" s="175">
        <v>44561</v>
      </c>
      <c r="Q1" s="175">
        <v>44651</v>
      </c>
    </row>
    <row r="2" spans="1:17">
      <c r="A2" s="24" t="s">
        <v>504</v>
      </c>
      <c r="B2" s="176">
        <f t="shared" ref="B2:I2" si="0">SUM(B3:B9)</f>
        <v>1147194.7487699999</v>
      </c>
      <c r="C2" s="176">
        <f t="shared" si="0"/>
        <v>1071147.77618</v>
      </c>
      <c r="D2" s="176">
        <f t="shared" si="0"/>
        <v>1697830.9304350002</v>
      </c>
      <c r="E2" s="176">
        <f t="shared" si="0"/>
        <v>816689.05415500002</v>
      </c>
      <c r="F2" s="176">
        <f t="shared" si="0"/>
        <v>933098.95577000023</v>
      </c>
      <c r="G2" s="176">
        <f t="shared" si="0"/>
        <v>664157.02558499982</v>
      </c>
      <c r="H2" s="176">
        <f t="shared" si="0"/>
        <v>1502457.3108749997</v>
      </c>
      <c r="I2" s="176">
        <f t="shared" si="0"/>
        <v>1473324.9348399998</v>
      </c>
      <c r="J2" s="176">
        <f t="shared" ref="J2:K2" si="1">SUM(J3:J9)</f>
        <v>1517324</v>
      </c>
      <c r="K2" s="176">
        <f t="shared" si="1"/>
        <v>2030175.7829900002</v>
      </c>
      <c r="L2" s="176">
        <f t="shared" ref="L2:M2" si="2">SUM(L3:L9)</f>
        <v>1405611.3232599995</v>
      </c>
      <c r="M2" s="176">
        <f t="shared" si="2"/>
        <v>1017264.9937299998</v>
      </c>
      <c r="N2" s="176">
        <f t="shared" ref="N2:O2" si="3">SUM(N3:N9)</f>
        <v>834979.23457000032</v>
      </c>
      <c r="O2" s="176">
        <f t="shared" si="3"/>
        <v>1254042.9108099998</v>
      </c>
      <c r="P2" s="176">
        <f>SUM(P3:P9)</f>
        <v>1064043.4154300001</v>
      </c>
      <c r="Q2" s="176">
        <f t="shared" ref="Q2" si="4">SUM(Q3:Q9)</f>
        <v>985299.77965000004</v>
      </c>
    </row>
    <row r="3" spans="1:17">
      <c r="A3" s="28" t="s">
        <v>505</v>
      </c>
      <c r="B3" s="86">
        <v>968175.24194999994</v>
      </c>
      <c r="C3" s="86">
        <v>902131.85053500009</v>
      </c>
      <c r="D3" s="86">
        <v>1523755.77624</v>
      </c>
      <c r="E3" s="86">
        <v>684263.32723499998</v>
      </c>
      <c r="F3" s="86">
        <v>782672.75057000003</v>
      </c>
      <c r="G3" s="86">
        <v>504464.78236499988</v>
      </c>
      <c r="H3" s="86">
        <v>1265430.0909699998</v>
      </c>
      <c r="I3" s="86">
        <v>1228238.49924</v>
      </c>
      <c r="J3" s="86">
        <v>1255717</v>
      </c>
      <c r="K3" s="86">
        <v>1900813.5760700002</v>
      </c>
      <c r="L3" s="86">
        <v>1195933.8262199997</v>
      </c>
      <c r="M3" s="86">
        <v>813485.42738999985</v>
      </c>
      <c r="N3" s="86">
        <v>713020.9794300003</v>
      </c>
      <c r="O3" s="86">
        <v>1110738.9553899998</v>
      </c>
      <c r="P3" s="86">
        <v>949423.96661</v>
      </c>
      <c r="Q3" s="86">
        <v>844303.99422999995</v>
      </c>
    </row>
    <row r="4" spans="1:17">
      <c r="A4" s="30" t="s">
        <v>506</v>
      </c>
      <c r="B4" s="178">
        <v>67782.196694999991</v>
      </c>
      <c r="C4" s="178">
        <v>77282.924749999991</v>
      </c>
      <c r="D4" s="178">
        <v>78992.887570000006</v>
      </c>
      <c r="E4" s="178">
        <v>60184.859939999995</v>
      </c>
      <c r="F4" s="178">
        <v>68058.161989999993</v>
      </c>
      <c r="G4" s="178">
        <v>53067.306875000002</v>
      </c>
      <c r="H4" s="178">
        <v>33353.375065000007</v>
      </c>
      <c r="I4" s="178">
        <v>36234.602029999987</v>
      </c>
      <c r="J4" s="178">
        <v>45984</v>
      </c>
      <c r="K4" s="178">
        <v>47469.5671</v>
      </c>
      <c r="L4" s="178">
        <v>42851.391099999993</v>
      </c>
      <c r="M4" s="178">
        <v>47338.908370000005</v>
      </c>
      <c r="N4" s="178">
        <v>44407.997089999997</v>
      </c>
      <c r="O4" s="178">
        <v>51214.727650000008</v>
      </c>
      <c r="P4" s="178">
        <v>58167.206860000006</v>
      </c>
      <c r="Q4" s="178">
        <v>58111.99581</v>
      </c>
    </row>
    <row r="5" spans="1:17">
      <c r="A5" s="20" t="s">
        <v>507</v>
      </c>
      <c r="B5" s="86">
        <v>3629.8541499999997</v>
      </c>
      <c r="C5" s="86">
        <v>7603.2675899999995</v>
      </c>
      <c r="D5" s="86">
        <v>12896.555910000001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6">
        <v>0</v>
      </c>
      <c r="N5" s="86">
        <v>0</v>
      </c>
      <c r="O5" s="86">
        <v>0</v>
      </c>
      <c r="P5" s="86">
        <v>0</v>
      </c>
      <c r="Q5" s="86">
        <v>0</v>
      </c>
    </row>
    <row r="6" spans="1:17">
      <c r="A6" s="30" t="s">
        <v>508</v>
      </c>
      <c r="B6" s="178">
        <v>0</v>
      </c>
      <c r="C6" s="178">
        <v>0</v>
      </c>
      <c r="D6" s="178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8">
        <v>0</v>
      </c>
      <c r="P6" s="178">
        <v>0</v>
      </c>
      <c r="Q6" s="178">
        <v>0</v>
      </c>
    </row>
    <row r="7" spans="1:17">
      <c r="A7" s="20" t="s">
        <v>509</v>
      </c>
      <c r="B7" s="86">
        <v>3999.1933649999996</v>
      </c>
      <c r="C7" s="86">
        <v>4611.0051099999982</v>
      </c>
      <c r="D7" s="86">
        <v>3811.1138499999979</v>
      </c>
      <c r="E7" s="86">
        <v>4688.3156349999954</v>
      </c>
      <c r="F7" s="86">
        <v>4777.1693249999935</v>
      </c>
      <c r="G7" s="86">
        <v>5450.8456849999966</v>
      </c>
      <c r="H7" s="86">
        <v>4513.0892449999974</v>
      </c>
      <c r="I7" s="86">
        <v>5593.5443249999998</v>
      </c>
      <c r="J7" s="86">
        <v>5601</v>
      </c>
      <c r="K7" s="86">
        <v>6075.651219999997</v>
      </c>
      <c r="L7" s="86">
        <v>1426.5601099999922</v>
      </c>
      <c r="M7" s="86">
        <v>1127.7138699999998</v>
      </c>
      <c r="N7" s="86">
        <v>608.47093999999993</v>
      </c>
      <c r="O7" s="86">
        <v>15208.8719</v>
      </c>
      <c r="P7" s="86">
        <v>13519.663289999999</v>
      </c>
      <c r="Q7" s="86">
        <v>36804.221979999995</v>
      </c>
    </row>
    <row r="8" spans="1:17">
      <c r="A8" s="30" t="s">
        <v>510</v>
      </c>
      <c r="B8" s="178">
        <v>51660.331655000016</v>
      </c>
      <c r="C8" s="178">
        <v>55923.286940000042</v>
      </c>
      <c r="D8" s="178">
        <v>53183.180349999981</v>
      </c>
      <c r="E8" s="178">
        <v>58941.521100000042</v>
      </c>
      <c r="F8" s="178">
        <v>61187.062405000048</v>
      </c>
      <c r="G8" s="178">
        <v>62881.022855000032</v>
      </c>
      <c r="H8" s="178">
        <v>22531.511590000002</v>
      </c>
      <c r="I8" s="178">
        <v>22822.515870000097</v>
      </c>
      <c r="J8" s="178">
        <v>24545</v>
      </c>
      <c r="K8" s="178">
        <v>23139.312120000057</v>
      </c>
      <c r="L8" s="178">
        <v>15182.678030000001</v>
      </c>
      <c r="M8" s="178">
        <v>15440.972309999939</v>
      </c>
      <c r="N8" s="178">
        <v>12123.894970000054</v>
      </c>
      <c r="O8" s="178">
        <v>21366.539689999994</v>
      </c>
      <c r="P8" s="178">
        <v>23377.809959999962</v>
      </c>
      <c r="Q8" s="178">
        <v>26661.312350000007</v>
      </c>
    </row>
    <row r="9" spans="1:17" s="28" customFormat="1">
      <c r="A9" s="28" t="s">
        <v>511</v>
      </c>
      <c r="B9" s="86">
        <v>51947.930954999996</v>
      </c>
      <c r="C9" s="86">
        <v>23595.441255000002</v>
      </c>
      <c r="D9" s="86">
        <v>25191.416515000001</v>
      </c>
      <c r="E9" s="86">
        <v>8611.0302449999945</v>
      </c>
      <c r="F9" s="86">
        <v>16403.811479999997</v>
      </c>
      <c r="G9" s="86">
        <v>38293.067804999991</v>
      </c>
      <c r="H9" s="86">
        <v>176629.24400500002</v>
      </c>
      <c r="I9" s="86">
        <v>180435.77337499999</v>
      </c>
      <c r="J9" s="86">
        <v>185477</v>
      </c>
      <c r="K9" s="86">
        <v>52677.676479999995</v>
      </c>
      <c r="L9" s="86">
        <v>150216.86780000001</v>
      </c>
      <c r="M9" s="86">
        <v>139871.97178999998</v>
      </c>
      <c r="N9" s="86">
        <v>64817.892140000004</v>
      </c>
      <c r="O9" s="86">
        <v>55513.816180000002</v>
      </c>
      <c r="P9" s="86">
        <v>19554.768710000004</v>
      </c>
      <c r="Q9" s="86">
        <v>19418.255279999998</v>
      </c>
    </row>
    <row r="10" spans="1:17">
      <c r="A10" s="36" t="s">
        <v>512</v>
      </c>
      <c r="B10" s="179">
        <f t="shared" ref="B10:H10" si="5">SUM(B11:B17)</f>
        <v>8603114.204274999</v>
      </c>
      <c r="C10" s="179">
        <f t="shared" si="5"/>
        <v>8702831.0515749976</v>
      </c>
      <c r="D10" s="179">
        <f t="shared" si="5"/>
        <v>8939316.5593200028</v>
      </c>
      <c r="E10" s="179">
        <f t="shared" si="5"/>
        <v>9019512.0156550035</v>
      </c>
      <c r="F10" s="179">
        <f t="shared" si="5"/>
        <v>8655732.4565272164</v>
      </c>
      <c r="G10" s="179">
        <f t="shared" si="5"/>
        <v>8620212.1298322156</v>
      </c>
      <c r="H10" s="179">
        <f t="shared" si="5"/>
        <v>8443828.473592218</v>
      </c>
      <c r="I10" s="179">
        <f t="shared" ref="I10:J10" si="6">SUM(I11:I17)</f>
        <v>8449138.6496649981</v>
      </c>
      <c r="J10" s="179">
        <f t="shared" si="6"/>
        <v>8399001</v>
      </c>
      <c r="K10" s="179">
        <f t="shared" ref="K10:L10" si="7">SUM(K11:K17)</f>
        <v>8463273.7116300017</v>
      </c>
      <c r="L10" s="179">
        <f t="shared" si="7"/>
        <v>9248545.5539199971</v>
      </c>
      <c r="M10" s="179">
        <f t="shared" ref="M10:N10" si="8">SUM(M11:M17)</f>
        <v>10050059.764500003</v>
      </c>
      <c r="N10" s="179">
        <f t="shared" si="8"/>
        <v>10371265.481240001</v>
      </c>
      <c r="O10" s="179">
        <f>SUM(O11:O17)</f>
        <v>10193263.474950004</v>
      </c>
      <c r="P10" s="179">
        <f>SUM(P11:P17)</f>
        <v>10219855.275740001</v>
      </c>
      <c r="Q10" s="179">
        <f t="shared" ref="Q10" si="9">SUM(Q11:Q17)</f>
        <v>10327296.826639999</v>
      </c>
    </row>
    <row r="11" spans="1:17">
      <c r="A11" s="30" t="s">
        <v>63</v>
      </c>
      <c r="B11" s="178">
        <v>0</v>
      </c>
      <c r="C11" s="178">
        <v>0</v>
      </c>
      <c r="D11" s="178">
        <v>0</v>
      </c>
      <c r="E11" s="178"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  <c r="O11" s="178">
        <v>0</v>
      </c>
      <c r="P11" s="178">
        <v>0</v>
      </c>
      <c r="Q11" s="178">
        <v>0</v>
      </c>
    </row>
    <row r="12" spans="1:17">
      <c r="A12" s="28" t="s">
        <v>513</v>
      </c>
      <c r="B12" s="86">
        <v>8556.4973099999988</v>
      </c>
      <c r="C12" s="86">
        <v>8556.2392899999995</v>
      </c>
      <c r="D12" s="86">
        <v>0</v>
      </c>
      <c r="E12" s="86">
        <v>0</v>
      </c>
      <c r="F12" s="86">
        <v>2274.3493922160001</v>
      </c>
      <c r="G12" s="86">
        <v>2269.2101822160002</v>
      </c>
      <c r="H12" s="86">
        <v>2265.0992122160001</v>
      </c>
      <c r="I12" s="86">
        <v>2271.4571900000005</v>
      </c>
      <c r="J12" s="86">
        <v>2483</v>
      </c>
      <c r="K12" s="86">
        <v>2400.0603700000001</v>
      </c>
      <c r="L12" s="86">
        <v>436.18315000000001</v>
      </c>
      <c r="M12" s="86">
        <v>440.56306000000001</v>
      </c>
      <c r="N12" s="86">
        <v>415.21815000000004</v>
      </c>
      <c r="O12" s="86">
        <v>418.35139000000004</v>
      </c>
      <c r="P12" s="86">
        <v>418.35139000000004</v>
      </c>
      <c r="Q12" s="86">
        <v>376.00207</v>
      </c>
    </row>
    <row r="13" spans="1:17">
      <c r="A13" s="180" t="s">
        <v>514</v>
      </c>
      <c r="B13" s="178">
        <v>223296.52155999994</v>
      </c>
      <c r="C13" s="178">
        <v>223296.52155999994</v>
      </c>
      <c r="D13" s="178">
        <v>223969.22303999998</v>
      </c>
      <c r="E13" s="178">
        <v>223969.22303999998</v>
      </c>
      <c r="F13" s="178">
        <v>224088.47042999999</v>
      </c>
      <c r="G13" s="178">
        <v>224088.47042999999</v>
      </c>
      <c r="H13" s="178">
        <v>244585.52542999998</v>
      </c>
      <c r="I13" s="178">
        <v>245869.74135</v>
      </c>
      <c r="J13" s="178">
        <v>244879</v>
      </c>
      <c r="K13" s="178">
        <v>244873.27977000002</v>
      </c>
      <c r="L13" s="178">
        <v>252357.78810000001</v>
      </c>
      <c r="M13" s="178">
        <v>252357.78810000001</v>
      </c>
      <c r="N13" s="178">
        <v>252629.68848999997</v>
      </c>
      <c r="O13" s="178">
        <v>252632.21559000001</v>
      </c>
      <c r="P13" s="178">
        <v>251444.81466</v>
      </c>
      <c r="Q13" s="178">
        <v>251444.81466</v>
      </c>
    </row>
    <row r="14" spans="1:17">
      <c r="A14" s="28" t="s">
        <v>515</v>
      </c>
      <c r="B14" s="86">
        <v>116029.803285</v>
      </c>
      <c r="C14" s="86">
        <v>119213.839595</v>
      </c>
      <c r="D14" s="86">
        <v>123759.57951000003</v>
      </c>
      <c r="E14" s="86">
        <v>168100.166115</v>
      </c>
      <c r="F14" s="86">
        <v>175826.83811000001</v>
      </c>
      <c r="G14" s="86">
        <v>287396.84699499997</v>
      </c>
      <c r="H14" s="86">
        <v>492121.52049999998</v>
      </c>
      <c r="I14" s="86">
        <v>480071.59235500003</v>
      </c>
      <c r="J14" s="86">
        <v>395918</v>
      </c>
      <c r="K14" s="86">
        <v>424571.07308000006</v>
      </c>
      <c r="L14" s="86">
        <v>316972.86101999995</v>
      </c>
      <c r="M14" s="86">
        <v>331460.11111</v>
      </c>
      <c r="N14" s="86">
        <v>328972.83857000008</v>
      </c>
      <c r="O14" s="86">
        <v>361430.64211000002</v>
      </c>
      <c r="P14" s="86">
        <v>356905.32639</v>
      </c>
      <c r="Q14" s="86">
        <v>378880.97645000007</v>
      </c>
    </row>
    <row r="15" spans="1:17">
      <c r="A15" s="30" t="s">
        <v>516</v>
      </c>
      <c r="B15" s="178">
        <v>11106.373850000002</v>
      </c>
      <c r="C15" s="178">
        <v>11397.86774</v>
      </c>
      <c r="D15" s="178">
        <v>12773.02318</v>
      </c>
      <c r="E15" s="178">
        <v>13750.071209999998</v>
      </c>
      <c r="F15" s="178">
        <v>14360.113799999999</v>
      </c>
      <c r="G15" s="178">
        <v>15135.814350000002</v>
      </c>
      <c r="H15" s="178">
        <v>16353.369559999999</v>
      </c>
      <c r="I15" s="178">
        <v>16971.15093</v>
      </c>
      <c r="J15" s="178">
        <v>18424</v>
      </c>
      <c r="K15" s="178">
        <v>19796.064550000003</v>
      </c>
      <c r="L15" s="178">
        <v>17868.412170000007</v>
      </c>
      <c r="M15" s="178">
        <v>14627.59699</v>
      </c>
      <c r="N15" s="178">
        <v>15718.774979999998</v>
      </c>
      <c r="O15" s="178">
        <v>16506.599090000003</v>
      </c>
      <c r="P15" s="178">
        <v>15703.429470000001</v>
      </c>
      <c r="Q15" s="178">
        <v>16333.23108</v>
      </c>
    </row>
    <row r="16" spans="1:17">
      <c r="A16" s="28" t="s">
        <v>168</v>
      </c>
      <c r="B16" s="86">
        <v>7689283.0178799992</v>
      </c>
      <c r="C16" s="86">
        <v>7785524.5929999985</v>
      </c>
      <c r="D16" s="86">
        <v>8023972.7432000022</v>
      </c>
      <c r="E16" s="86">
        <v>8058850.5649000024</v>
      </c>
      <c r="F16" s="86">
        <v>7684340.6944050007</v>
      </c>
      <c r="G16" s="86">
        <v>7536479.7974849995</v>
      </c>
      <c r="H16" s="86">
        <v>7133660.9685000023</v>
      </c>
      <c r="I16" s="86">
        <v>7149112.7174499994</v>
      </c>
      <c r="J16" s="86">
        <v>7182455</v>
      </c>
      <c r="K16" s="86">
        <v>7216791.243470001</v>
      </c>
      <c r="L16" s="86">
        <v>8106068.3190899976</v>
      </c>
      <c r="M16" s="86">
        <v>8896331.7148500029</v>
      </c>
      <c r="N16" s="86">
        <v>9218686.970660001</v>
      </c>
      <c r="O16" s="86">
        <v>9007433.6763800029</v>
      </c>
      <c r="P16" s="86">
        <v>9040541.3634400014</v>
      </c>
      <c r="Q16" s="86">
        <v>9125419.8119900003</v>
      </c>
    </row>
    <row r="17" spans="1:17">
      <c r="A17" s="30" t="s">
        <v>8</v>
      </c>
      <c r="B17" s="178">
        <v>554841.99038999993</v>
      </c>
      <c r="C17" s="178">
        <v>554841.99038999993</v>
      </c>
      <c r="D17" s="178">
        <v>554841.99038999993</v>
      </c>
      <c r="E17" s="178">
        <v>554841.99038999993</v>
      </c>
      <c r="F17" s="178">
        <v>554841.99038999993</v>
      </c>
      <c r="G17" s="178">
        <v>554841.99038999993</v>
      </c>
      <c r="H17" s="178">
        <v>554841.99038999993</v>
      </c>
      <c r="I17" s="178">
        <v>554841.99038999993</v>
      </c>
      <c r="J17" s="178">
        <v>554842</v>
      </c>
      <c r="K17" s="178">
        <v>554841.99038999993</v>
      </c>
      <c r="L17" s="178">
        <v>554841.99038999993</v>
      </c>
      <c r="M17" s="178">
        <v>554841.99038999993</v>
      </c>
      <c r="N17" s="178">
        <v>554841.99038999993</v>
      </c>
      <c r="O17" s="178">
        <v>554841.99038999993</v>
      </c>
      <c r="P17" s="178">
        <v>554841.99038999993</v>
      </c>
      <c r="Q17" s="178">
        <v>554841.99038999993</v>
      </c>
    </row>
    <row r="18" spans="1:17" ht="13.5" thickBot="1">
      <c r="A18" s="181" t="s">
        <v>517</v>
      </c>
      <c r="B18" s="182">
        <f t="shared" ref="B18:I18" si="10">B10+B2</f>
        <v>9750308.9530449994</v>
      </c>
      <c r="C18" s="182">
        <f t="shared" si="10"/>
        <v>9773978.8277549967</v>
      </c>
      <c r="D18" s="182">
        <f t="shared" si="10"/>
        <v>10637147.489755003</v>
      </c>
      <c r="E18" s="182">
        <f t="shared" si="10"/>
        <v>9836201.069810003</v>
      </c>
      <c r="F18" s="182">
        <f t="shared" si="10"/>
        <v>9588831.4122972172</v>
      </c>
      <c r="G18" s="182">
        <f t="shared" si="10"/>
        <v>9284369.1554172151</v>
      </c>
      <c r="H18" s="182">
        <f t="shared" si="10"/>
        <v>9946285.7844672184</v>
      </c>
      <c r="I18" s="182">
        <f t="shared" si="10"/>
        <v>9922463.5845049974</v>
      </c>
      <c r="J18" s="182">
        <f t="shared" ref="J18:K18" si="11">J10+J2</f>
        <v>9916325</v>
      </c>
      <c r="K18" s="182">
        <f t="shared" si="11"/>
        <v>10493449.494620003</v>
      </c>
      <c r="L18" s="182">
        <f t="shared" ref="L18:M18" si="12">L10+L2</f>
        <v>10654156.877179997</v>
      </c>
      <c r="M18" s="182">
        <f t="shared" si="12"/>
        <v>11067324.758230003</v>
      </c>
      <c r="N18" s="182">
        <f t="shared" ref="N18:O18" si="13">N10+N2</f>
        <v>11206244.715810001</v>
      </c>
      <c r="O18" s="182">
        <f t="shared" si="13"/>
        <v>11447306.385760004</v>
      </c>
      <c r="P18" s="182">
        <f>P10+P2</f>
        <v>11283898.691170001</v>
      </c>
      <c r="Q18" s="182">
        <f t="shared" ref="Q18" si="14">Q10+Q2</f>
        <v>11312596.60629</v>
      </c>
    </row>
    <row r="19" spans="1:17" ht="13.5" thickTop="1"/>
    <row r="20" spans="1:17">
      <c r="A20" s="183" t="s">
        <v>10</v>
      </c>
      <c r="B20" s="175">
        <v>43281</v>
      </c>
      <c r="C20" s="175">
        <v>43373</v>
      </c>
      <c r="D20" s="175">
        <v>43465</v>
      </c>
      <c r="E20" s="175">
        <f>E1</f>
        <v>43555</v>
      </c>
      <c r="F20" s="175">
        <f>F1</f>
        <v>43646</v>
      </c>
      <c r="G20" s="175">
        <f>G1</f>
        <v>43738</v>
      </c>
      <c r="H20" s="175">
        <v>43830</v>
      </c>
      <c r="I20" s="175">
        <f t="shared" ref="I20:N20" si="15">I1</f>
        <v>43921</v>
      </c>
      <c r="J20" s="175">
        <f t="shared" si="15"/>
        <v>44012</v>
      </c>
      <c r="K20" s="175">
        <f t="shared" si="15"/>
        <v>44104</v>
      </c>
      <c r="L20" s="175">
        <f t="shared" si="15"/>
        <v>44196</v>
      </c>
      <c r="M20" s="175">
        <f t="shared" si="15"/>
        <v>44286</v>
      </c>
      <c r="N20" s="175">
        <f t="shared" si="15"/>
        <v>44377</v>
      </c>
      <c r="O20" s="175">
        <f t="shared" ref="O20:Q20" si="16">O1</f>
        <v>44469</v>
      </c>
      <c r="P20" s="175">
        <f t="shared" si="16"/>
        <v>44561</v>
      </c>
      <c r="Q20" s="175">
        <f t="shared" si="16"/>
        <v>44651</v>
      </c>
    </row>
    <row r="21" spans="1:17">
      <c r="A21" s="24" t="s">
        <v>518</v>
      </c>
      <c r="B21" s="176">
        <f t="shared" ref="B21:H21" si="17">SUM(B22:B31)</f>
        <v>589784.49548499985</v>
      </c>
      <c r="C21" s="176">
        <f t="shared" si="17"/>
        <v>537792.18046499998</v>
      </c>
      <c r="D21" s="176">
        <f t="shared" si="17"/>
        <v>1153076.3118350001</v>
      </c>
      <c r="E21" s="176">
        <f t="shared" si="17"/>
        <v>437504.40313500009</v>
      </c>
      <c r="F21" s="176">
        <f t="shared" si="17"/>
        <v>414637.23857499991</v>
      </c>
      <c r="G21" s="176">
        <f t="shared" si="17"/>
        <v>313752.70212865411</v>
      </c>
      <c r="H21" s="176">
        <f t="shared" si="17"/>
        <v>309084.45334000001</v>
      </c>
      <c r="I21" s="176">
        <f t="shared" ref="I21:J21" si="18">SUM(I22:I31)</f>
        <v>286250.34343000001</v>
      </c>
      <c r="J21" s="176">
        <f t="shared" si="18"/>
        <v>160984</v>
      </c>
      <c r="K21" s="176">
        <f t="shared" ref="K21:L21" si="19">SUM(K22:K31)</f>
        <v>321102.17040000006</v>
      </c>
      <c r="L21" s="176">
        <f t="shared" si="19"/>
        <v>393423.50994999992</v>
      </c>
      <c r="M21" s="176">
        <f t="shared" ref="M21:N21" si="20">SUM(M22:M31)</f>
        <v>417593.30317999993</v>
      </c>
      <c r="N21" s="176">
        <f t="shared" si="20"/>
        <v>534351.11257999996</v>
      </c>
      <c r="O21" s="176">
        <f t="shared" ref="O21:Q21" si="21">SUM(O22:O31)</f>
        <v>616362.92008000007</v>
      </c>
      <c r="P21" s="176">
        <f t="shared" si="21"/>
        <v>683414.12722000002</v>
      </c>
      <c r="Q21" s="176">
        <f t="shared" si="21"/>
        <v>750662.41299999994</v>
      </c>
    </row>
    <row r="22" spans="1:17" ht="12.75" customHeight="1">
      <c r="A22" s="184" t="s">
        <v>519</v>
      </c>
      <c r="B22" s="178">
        <v>522171.839485</v>
      </c>
      <c r="C22" s="178">
        <v>400630.37237499992</v>
      </c>
      <c r="D22" s="178">
        <v>1040253.0338900001</v>
      </c>
      <c r="E22" s="178">
        <v>361343.11629999999</v>
      </c>
      <c r="F22" s="178">
        <v>342570.51811999996</v>
      </c>
      <c r="G22" s="178">
        <v>244416.75641999999</v>
      </c>
      <c r="H22" s="178">
        <v>249623.10169000001</v>
      </c>
      <c r="I22" s="178">
        <v>256982.14718</v>
      </c>
      <c r="J22" s="178">
        <v>120889</v>
      </c>
      <c r="K22" s="178">
        <v>280521.62616999994</v>
      </c>
      <c r="L22" s="178">
        <v>286241.20398999995</v>
      </c>
      <c r="M22" s="178">
        <v>286404.72228999995</v>
      </c>
      <c r="N22" s="178">
        <v>300171.45495999994</v>
      </c>
      <c r="O22" s="178">
        <v>324212.95289999997</v>
      </c>
      <c r="P22" s="178">
        <v>473536.60281000007</v>
      </c>
      <c r="Q22" s="178">
        <v>513744.86765999993</v>
      </c>
    </row>
    <row r="23" spans="1:17" ht="12.75" customHeight="1">
      <c r="A23" s="185" t="s">
        <v>520</v>
      </c>
      <c r="B23" s="86">
        <v>0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</row>
    <row r="24" spans="1:17" ht="12.75" customHeight="1">
      <c r="A24" s="184" t="s">
        <v>521</v>
      </c>
      <c r="B24" s="178">
        <v>14133.839199999993</v>
      </c>
      <c r="C24" s="178">
        <v>19745.152865</v>
      </c>
      <c r="D24" s="178">
        <v>20377.43075</v>
      </c>
      <c r="E24" s="178">
        <v>26016.377179999992</v>
      </c>
      <c r="F24" s="178">
        <v>22144.832369999989</v>
      </c>
      <c r="G24" s="178">
        <v>13824.810010000005</v>
      </c>
      <c r="H24" s="178">
        <v>20691.225300000006</v>
      </c>
      <c r="I24" s="178">
        <v>16695.618510000004</v>
      </c>
      <c r="J24" s="178">
        <v>15143</v>
      </c>
      <c r="K24" s="178">
        <v>20399.042190000018</v>
      </c>
      <c r="L24" s="178">
        <v>2586.3010799999829</v>
      </c>
      <c r="M24" s="178">
        <v>11915.387840000001</v>
      </c>
      <c r="N24" s="178">
        <v>14620.00999</v>
      </c>
      <c r="O24" s="178">
        <v>31273.701010000004</v>
      </c>
      <c r="P24" s="178">
        <v>28604.81191</v>
      </c>
      <c r="Q24" s="178">
        <v>17037.706650000004</v>
      </c>
    </row>
    <row r="25" spans="1:17" ht="12.75" customHeight="1">
      <c r="A25" s="28" t="s">
        <v>522</v>
      </c>
      <c r="B25" s="86">
        <v>2217.9195649999983</v>
      </c>
      <c r="C25" s="86">
        <v>2171.5231950000039</v>
      </c>
      <c r="D25" s="86">
        <v>2782.2434399999984</v>
      </c>
      <c r="E25" s="86">
        <v>3043.5637399999973</v>
      </c>
      <c r="F25" s="86">
        <v>2689.0304549999919</v>
      </c>
      <c r="G25" s="86">
        <v>1981.4461900000017</v>
      </c>
      <c r="H25" s="86">
        <v>2685.8982199999991</v>
      </c>
      <c r="I25" s="86">
        <v>1541.2366550000099</v>
      </c>
      <c r="J25" s="86">
        <v>1743</v>
      </c>
      <c r="K25" s="86">
        <v>2292.1562800000333</v>
      </c>
      <c r="L25" s="86">
        <v>1969.4756799999893</v>
      </c>
      <c r="M25" s="86">
        <v>2607.8958600000005</v>
      </c>
      <c r="N25" s="86">
        <v>2157.5780700000005</v>
      </c>
      <c r="O25" s="86">
        <v>13935.106780000002</v>
      </c>
      <c r="P25" s="86">
        <v>10702.465789999998</v>
      </c>
      <c r="Q25" s="86">
        <v>40385.004059999992</v>
      </c>
    </row>
    <row r="26" spans="1:17" ht="12.75" customHeight="1">
      <c r="A26" s="30" t="s">
        <v>523</v>
      </c>
      <c r="B26" s="178">
        <v>3699.4823499999998</v>
      </c>
      <c r="C26" s="178">
        <v>5180.3760199999997</v>
      </c>
      <c r="D26" s="178">
        <v>1161.3703150000006</v>
      </c>
      <c r="E26" s="178">
        <v>2534.9770350000013</v>
      </c>
      <c r="F26" s="178">
        <v>2583.8124999999995</v>
      </c>
      <c r="G26" s="178">
        <v>2425.7043549999994</v>
      </c>
      <c r="H26" s="178">
        <v>17031.465219999998</v>
      </c>
      <c r="I26" s="178">
        <v>1114.2994549999989</v>
      </c>
      <c r="J26" s="178">
        <v>1276</v>
      </c>
      <c r="K26" s="178">
        <v>954.4953100000015</v>
      </c>
      <c r="L26" s="178">
        <v>358.13614999999993</v>
      </c>
      <c r="M26" s="178">
        <v>420.58351000000062</v>
      </c>
      <c r="N26" s="178">
        <v>508.67568999999935</v>
      </c>
      <c r="O26" s="178">
        <v>8668.6974500000015</v>
      </c>
      <c r="P26" s="178">
        <v>442.11616999999978</v>
      </c>
      <c r="Q26" s="178">
        <v>513.94728000000009</v>
      </c>
    </row>
    <row r="27" spans="1:17" ht="12.75" customHeight="1">
      <c r="A27" s="28" t="s">
        <v>524</v>
      </c>
      <c r="B27" s="86">
        <v>7462.4442100000015</v>
      </c>
      <c r="C27" s="86">
        <v>8661.2221000000009</v>
      </c>
      <c r="D27" s="86">
        <v>7500.0000000000027</v>
      </c>
      <c r="E27" s="86">
        <v>1717.9626600000001</v>
      </c>
      <c r="F27" s="86">
        <v>3645.3084300000023</v>
      </c>
      <c r="G27" s="86">
        <v>5572.6542000000009</v>
      </c>
      <c r="H27" s="86">
        <v>11199.999970000003</v>
      </c>
      <c r="I27" s="86">
        <v>2924.9999700000003</v>
      </c>
      <c r="J27" s="86">
        <v>5850</v>
      </c>
      <c r="K27" s="86">
        <v>8774.9999700000026</v>
      </c>
      <c r="L27" s="86">
        <v>11699.999970000003</v>
      </c>
      <c r="M27" s="86">
        <v>5039.1565300000002</v>
      </c>
      <c r="N27" s="86">
        <v>6083.4767699999993</v>
      </c>
      <c r="O27" s="86">
        <v>7941.7383899999995</v>
      </c>
      <c r="P27" s="86">
        <v>9800.0000099999997</v>
      </c>
      <c r="Q27" s="86">
        <v>2620.0788900000002</v>
      </c>
    </row>
    <row r="28" spans="1:17" ht="12.75" customHeight="1">
      <c r="A28" s="30" t="s">
        <v>525</v>
      </c>
      <c r="B28" s="178">
        <v>2848.0796799999998</v>
      </c>
      <c r="C28" s="178">
        <v>3293.0955899999999</v>
      </c>
      <c r="D28" s="178">
        <v>2622.4930500000005</v>
      </c>
      <c r="E28" s="178">
        <v>2577.3772800000002</v>
      </c>
      <c r="F28" s="178">
        <v>3198.8431499999997</v>
      </c>
      <c r="G28" s="178">
        <v>3348.6500799999994</v>
      </c>
      <c r="H28" s="178">
        <v>2643.3953700000002</v>
      </c>
      <c r="I28" s="178">
        <v>2793.6324900000004</v>
      </c>
      <c r="J28" s="178">
        <v>4282</v>
      </c>
      <c r="K28" s="178">
        <v>4311.7396200000012</v>
      </c>
      <c r="L28" s="178">
        <v>2913.5556500000002</v>
      </c>
      <c r="M28" s="178">
        <v>7175.6133599999994</v>
      </c>
      <c r="N28" s="178">
        <v>3710.1542399999998</v>
      </c>
      <c r="O28" s="178">
        <v>3730.9851500000004</v>
      </c>
      <c r="P28" s="178">
        <v>3100.6347400000004</v>
      </c>
      <c r="Q28" s="178">
        <v>8704.252629999999</v>
      </c>
    </row>
    <row r="29" spans="1:17" ht="12.75" customHeight="1">
      <c r="A29" s="28" t="s">
        <v>526</v>
      </c>
      <c r="B29" s="86">
        <v>1.0000001639127731E-5</v>
      </c>
      <c r="C29" s="86">
        <v>1.0000001639127731E-5</v>
      </c>
      <c r="D29" s="86">
        <v>0.24771000000000001</v>
      </c>
      <c r="E29" s="86">
        <v>0.24771000000000001</v>
      </c>
      <c r="F29" s="86">
        <v>0.24771000000000001</v>
      </c>
      <c r="G29" s="86">
        <v>0.24771000000000001</v>
      </c>
      <c r="H29" s="86">
        <v>0.24771000000000001</v>
      </c>
      <c r="I29" s="86">
        <v>0.247720000008121</v>
      </c>
      <c r="J29" s="86">
        <v>0</v>
      </c>
      <c r="K29" s="86">
        <v>0</v>
      </c>
      <c r="L29" s="86">
        <v>0</v>
      </c>
      <c r="M29" s="86">
        <v>48988.81626</v>
      </c>
      <c r="N29" s="86">
        <v>47364.134939999996</v>
      </c>
      <c r="O29" s="86">
        <v>23683.892459999999</v>
      </c>
      <c r="P29" s="86">
        <v>7603.8693499999999</v>
      </c>
      <c r="Q29" s="86">
        <v>7603.8693499999999</v>
      </c>
    </row>
    <row r="30" spans="1:17" ht="12.75" customHeight="1">
      <c r="A30" s="30" t="s">
        <v>67</v>
      </c>
      <c r="B30" s="178">
        <v>33234.707359999964</v>
      </c>
      <c r="C30" s="178">
        <v>93612.766199999969</v>
      </c>
      <c r="D30" s="178">
        <v>69190.656129999945</v>
      </c>
      <c r="E30" s="178">
        <v>31465.993030000001</v>
      </c>
      <c r="F30" s="178">
        <v>35158.457020000002</v>
      </c>
      <c r="G30" s="178">
        <v>39907.738043654106</v>
      </c>
      <c r="H30" s="178">
        <v>4.4237822294235228E-12</v>
      </c>
      <c r="I30" s="178">
        <v>2.1478626877069499E-11</v>
      </c>
      <c r="J30" s="178">
        <v>0</v>
      </c>
      <c r="K30" s="178">
        <v>0</v>
      </c>
      <c r="L30" s="178">
        <v>31691.286040000043</v>
      </c>
      <c r="M30" s="178">
        <v>52349.879510000006</v>
      </c>
      <c r="N30" s="178">
        <v>158553.19399999999</v>
      </c>
      <c r="O30" s="178">
        <v>140511.35607000001</v>
      </c>
      <c r="P30" s="178">
        <v>81585.095239999995</v>
      </c>
      <c r="Q30" s="178">
        <v>65887.843339999992</v>
      </c>
    </row>
    <row r="31" spans="1:17" ht="12.75" customHeight="1">
      <c r="A31" s="28" t="s">
        <v>527</v>
      </c>
      <c r="B31" s="86">
        <v>4016.1836250000006</v>
      </c>
      <c r="C31" s="86">
        <v>4497.6721100000004</v>
      </c>
      <c r="D31" s="86">
        <v>9188.8365499999982</v>
      </c>
      <c r="E31" s="86">
        <v>8804.7881999999991</v>
      </c>
      <c r="F31" s="86">
        <v>2646.1888200000003</v>
      </c>
      <c r="G31" s="86">
        <v>2274.6951200000008</v>
      </c>
      <c r="H31" s="86">
        <v>5209.1198599999998</v>
      </c>
      <c r="I31" s="86">
        <v>4198.1614499999896</v>
      </c>
      <c r="J31" s="86">
        <v>11801</v>
      </c>
      <c r="K31" s="86">
        <v>3848.1108600000093</v>
      </c>
      <c r="L31" s="86">
        <v>55963.551389999986</v>
      </c>
      <c r="M31" s="86">
        <v>2691.2480200000064</v>
      </c>
      <c r="N31" s="86">
        <v>1182.4339200000031</v>
      </c>
      <c r="O31" s="86">
        <v>62404.489870000005</v>
      </c>
      <c r="P31" s="86">
        <v>68038.531199999998</v>
      </c>
      <c r="Q31" s="86">
        <v>94164.843139999983</v>
      </c>
    </row>
    <row r="32" spans="1:17" ht="12.75" customHeight="1">
      <c r="A32" s="36" t="s">
        <v>528</v>
      </c>
      <c r="B32" s="179">
        <f t="shared" ref="B32:H32" si="22">SUM(B33:B37)</f>
        <v>3380292.22107</v>
      </c>
      <c r="C32" s="179">
        <f t="shared" si="22"/>
        <v>3491505.1787399985</v>
      </c>
      <c r="D32" s="179">
        <f t="shared" si="22"/>
        <v>3613704.714505</v>
      </c>
      <c r="E32" s="179">
        <f t="shared" si="22"/>
        <v>3694699.7809600001</v>
      </c>
      <c r="F32" s="179">
        <f t="shared" si="22"/>
        <v>3410207.1659872159</v>
      </c>
      <c r="G32" s="179">
        <f t="shared" si="22"/>
        <v>3179589.9442135622</v>
      </c>
      <c r="H32" s="179">
        <f t="shared" si="22"/>
        <v>2433126.7413522163</v>
      </c>
      <c r="I32" s="179">
        <f t="shared" ref="I32:J32" si="23">SUM(I33:I37)</f>
        <v>2421720.2595650009</v>
      </c>
      <c r="J32" s="179">
        <f t="shared" si="23"/>
        <v>2588840</v>
      </c>
      <c r="K32" s="179">
        <f t="shared" ref="K32:L32" si="24">SUM(K33:K37)</f>
        <v>2999965.2750300011</v>
      </c>
      <c r="L32" s="179">
        <f t="shared" si="24"/>
        <v>2981129.5460500014</v>
      </c>
      <c r="M32" s="179">
        <f t="shared" ref="M32:N32" si="25">SUM(M33:M37)</f>
        <v>3364459.4030399998</v>
      </c>
      <c r="N32" s="179">
        <f t="shared" si="25"/>
        <v>3422969.6738499999</v>
      </c>
      <c r="O32" s="179">
        <f t="shared" ref="O32:Q32" si="26">SUM(O33:O37)</f>
        <v>3676286.67399</v>
      </c>
      <c r="P32" s="179">
        <f t="shared" si="26"/>
        <v>3498786.1764600002</v>
      </c>
      <c r="Q32" s="179">
        <f t="shared" si="26"/>
        <v>3489690.8142799991</v>
      </c>
    </row>
    <row r="33" spans="1:17" ht="12.75" customHeight="1">
      <c r="A33" s="184" t="s">
        <v>529</v>
      </c>
      <c r="B33" s="178">
        <v>511489.42367500014</v>
      </c>
      <c r="C33" s="178">
        <v>532221.85871499975</v>
      </c>
      <c r="D33" s="178">
        <v>632821.40465499996</v>
      </c>
      <c r="E33" s="178">
        <v>796066.99119999981</v>
      </c>
      <c r="F33" s="178">
        <v>725275.55185721559</v>
      </c>
      <c r="G33" s="178">
        <v>710274.10184721579</v>
      </c>
      <c r="H33" s="178">
        <v>782668.87200721609</v>
      </c>
      <c r="I33" s="178">
        <v>813802.77752500109</v>
      </c>
      <c r="J33" s="178">
        <v>839936</v>
      </c>
      <c r="K33" s="178">
        <v>866693.33339000074</v>
      </c>
      <c r="L33" s="178">
        <v>892287.45470000082</v>
      </c>
      <c r="M33" s="178">
        <v>904167.06927000009</v>
      </c>
      <c r="N33" s="178">
        <v>951512.88978999981</v>
      </c>
      <c r="O33" s="178">
        <v>918532.52691999974</v>
      </c>
      <c r="P33" s="178">
        <v>908935.19823999982</v>
      </c>
      <c r="Q33" s="178">
        <v>938244.54589999944</v>
      </c>
    </row>
    <row r="34" spans="1:17" ht="12.75" customHeight="1">
      <c r="A34" s="185" t="s">
        <v>530</v>
      </c>
      <c r="B34" s="86">
        <v>2399652.8729650001</v>
      </c>
      <c r="C34" s="86">
        <v>2472265.7467449992</v>
      </c>
      <c r="D34" s="86">
        <v>2505137.28877</v>
      </c>
      <c r="E34" s="86">
        <v>2419522.79373</v>
      </c>
      <c r="F34" s="86">
        <v>2205618.2109400001</v>
      </c>
      <c r="G34" s="86">
        <v>2004899.7167500001</v>
      </c>
      <c r="H34" s="86">
        <v>1551175.1117100001</v>
      </c>
      <c r="I34" s="86">
        <v>1507973.7563499999</v>
      </c>
      <c r="J34" s="86">
        <v>1638740</v>
      </c>
      <c r="K34" s="86">
        <v>2023715.2843600002</v>
      </c>
      <c r="L34" s="86">
        <v>1979551.0840500002</v>
      </c>
      <c r="M34" s="86">
        <v>2343335.8702600002</v>
      </c>
      <c r="N34" s="86">
        <v>2331414.29471</v>
      </c>
      <c r="O34" s="86">
        <v>2610784.8890800001</v>
      </c>
      <c r="P34" s="86">
        <v>2440561.6820100001</v>
      </c>
      <c r="Q34" s="86">
        <v>2401101.5289499997</v>
      </c>
    </row>
    <row r="35" spans="1:17" ht="12.75" customHeight="1">
      <c r="A35" s="184" t="s">
        <v>531</v>
      </c>
      <c r="B35" s="178">
        <v>21731.948669999998</v>
      </c>
      <c r="C35" s="178">
        <v>21731.948669999998</v>
      </c>
      <c r="D35" s="178">
        <v>864.19914000000153</v>
      </c>
      <c r="E35" s="178">
        <v>864.19914000000017</v>
      </c>
      <c r="F35" s="178">
        <v>864.19914000000017</v>
      </c>
      <c r="G35" s="178">
        <v>864.19914000000017</v>
      </c>
      <c r="H35" s="178">
        <v>72768.975705000004</v>
      </c>
      <c r="I35" s="178">
        <v>73324.323619999996</v>
      </c>
      <c r="J35" s="178">
        <v>74610</v>
      </c>
      <c r="K35" s="178">
        <v>73135.186530000006</v>
      </c>
      <c r="L35" s="178">
        <v>78372.971880000012</v>
      </c>
      <c r="M35" s="178">
        <v>81484.103669999997</v>
      </c>
      <c r="N35" s="178">
        <v>106862.96948</v>
      </c>
      <c r="O35" s="178">
        <v>110251.62376999999</v>
      </c>
      <c r="P35" s="178">
        <v>115900.29944</v>
      </c>
      <c r="Q35" s="178">
        <v>119576.98276</v>
      </c>
    </row>
    <row r="36" spans="1:17" ht="12.75" customHeight="1">
      <c r="A36" s="185" t="s">
        <v>67</v>
      </c>
      <c r="B36" s="86">
        <v>447417.97576</v>
      </c>
      <c r="C36" s="86">
        <v>465285.62461</v>
      </c>
      <c r="D36" s="86">
        <v>474881.82193999999</v>
      </c>
      <c r="E36" s="86">
        <v>478245.79689000006</v>
      </c>
      <c r="F36" s="86">
        <v>478449.20405</v>
      </c>
      <c r="G36" s="86">
        <v>463551.92647634592</v>
      </c>
      <c r="H36" s="86">
        <v>13885.770729999998</v>
      </c>
      <c r="I36" s="86">
        <v>13991.390869999999</v>
      </c>
      <c r="J36" s="86">
        <v>21471</v>
      </c>
      <c r="K36" s="86">
        <v>21122.189340000001</v>
      </c>
      <c r="L36" s="86">
        <v>17498.365259999999</v>
      </c>
      <c r="M36" s="86">
        <v>17802.434659999999</v>
      </c>
      <c r="N36" s="86">
        <v>17658.355500000001</v>
      </c>
      <c r="O36" s="86">
        <v>16868.14948</v>
      </c>
      <c r="P36" s="86">
        <v>16172.607219999998</v>
      </c>
      <c r="Q36" s="86">
        <v>15989.012650000001</v>
      </c>
    </row>
    <row r="37" spans="1:17" ht="12.75" customHeight="1">
      <c r="A37" s="184" t="s">
        <v>532</v>
      </c>
      <c r="B37" s="178">
        <v>0</v>
      </c>
      <c r="C37" s="178">
        <v>0</v>
      </c>
      <c r="D37" s="178">
        <v>0</v>
      </c>
      <c r="E37" s="178">
        <v>0</v>
      </c>
      <c r="F37" s="178">
        <v>0</v>
      </c>
      <c r="G37" s="178">
        <v>0</v>
      </c>
      <c r="H37" s="178">
        <v>12628.011200000003</v>
      </c>
      <c r="I37" s="178">
        <v>12628.011200000001</v>
      </c>
      <c r="J37" s="178">
        <v>14083</v>
      </c>
      <c r="K37" s="178">
        <v>15299.28141</v>
      </c>
      <c r="L37" s="178">
        <v>13419.67016</v>
      </c>
      <c r="M37" s="178">
        <v>17669.925179999998</v>
      </c>
      <c r="N37" s="178">
        <v>15521.16437</v>
      </c>
      <c r="O37" s="178">
        <v>19849.484740000004</v>
      </c>
      <c r="P37" s="178">
        <v>17216.38955</v>
      </c>
      <c r="Q37" s="178">
        <v>14778.744020000002</v>
      </c>
    </row>
    <row r="38" spans="1:17" ht="12.75" customHeight="1">
      <c r="A38" s="36" t="s">
        <v>533</v>
      </c>
      <c r="B38" s="179">
        <f t="shared" ref="B38:H38" si="27">SUM(B39:B46)</f>
        <v>5780232.2365299994</v>
      </c>
      <c r="C38" s="179">
        <f t="shared" si="27"/>
        <v>5744681.4687400004</v>
      </c>
      <c r="D38" s="179">
        <f t="shared" si="27"/>
        <v>5870366.4634150006</v>
      </c>
      <c r="E38" s="179">
        <f t="shared" si="27"/>
        <v>5703996.8857099991</v>
      </c>
      <c r="F38" s="179">
        <f t="shared" si="27"/>
        <v>5763987.0077499989</v>
      </c>
      <c r="G38" s="179">
        <f t="shared" si="27"/>
        <v>5791026.5090599991</v>
      </c>
      <c r="H38" s="179">
        <f t="shared" si="27"/>
        <v>7204074.5897000004</v>
      </c>
      <c r="I38" s="179">
        <f t="shared" ref="I38:J38" si="28">SUM(I39:I46)</f>
        <v>7214492.9816549998</v>
      </c>
      <c r="J38" s="179">
        <f t="shared" si="28"/>
        <v>7166501</v>
      </c>
      <c r="K38" s="179">
        <f t="shared" ref="K38:L38" si="29">SUM(K39:K46)</f>
        <v>7172381.8425700003</v>
      </c>
      <c r="L38" s="179">
        <f t="shared" si="29"/>
        <v>7279603.8210700005</v>
      </c>
      <c r="M38" s="179">
        <f t="shared" ref="M38:N38" si="30">SUM(M39:M46)</f>
        <v>7285272.0519100009</v>
      </c>
      <c r="N38" s="179">
        <f t="shared" si="30"/>
        <v>7248923.9252100009</v>
      </c>
      <c r="O38" s="179">
        <f t="shared" ref="O38:Q38" si="31">SUM(O39:O46)</f>
        <v>7154656.7910100007</v>
      </c>
      <c r="P38" s="179">
        <f t="shared" si="31"/>
        <v>7101698.3868199997</v>
      </c>
      <c r="Q38" s="179">
        <f t="shared" si="31"/>
        <v>7072243.3790100003</v>
      </c>
    </row>
    <row r="39" spans="1:17" ht="12.75" customHeight="1">
      <c r="A39" s="184" t="s">
        <v>534</v>
      </c>
      <c r="B39" s="178">
        <v>3314456.6247899998</v>
      </c>
      <c r="C39" s="178">
        <v>3314456.6247899998</v>
      </c>
      <c r="D39" s="178">
        <v>3314456.6247899998</v>
      </c>
      <c r="E39" s="178">
        <v>3314456.6247899998</v>
      </c>
      <c r="F39" s="178">
        <v>3314456.6247899998</v>
      </c>
      <c r="G39" s="178">
        <v>3314456.6247899998</v>
      </c>
      <c r="H39" s="178">
        <v>4369144.1247899998</v>
      </c>
      <c r="I39" s="178">
        <v>4369144.1247899998</v>
      </c>
      <c r="J39" s="178">
        <v>4369144</v>
      </c>
      <c r="K39" s="178">
        <v>4369144.1247899998</v>
      </c>
      <c r="L39" s="178">
        <v>4369144.1247899998</v>
      </c>
      <c r="M39" s="178">
        <v>4369144.1247899998</v>
      </c>
      <c r="N39" s="178">
        <v>4369144.1247899998</v>
      </c>
      <c r="O39" s="178">
        <v>4369144.1242800001</v>
      </c>
      <c r="P39" s="178">
        <v>4369144.1242800001</v>
      </c>
      <c r="Q39" s="178">
        <v>4369144.1242800001</v>
      </c>
    </row>
    <row r="40" spans="1:17" ht="12.75" customHeight="1">
      <c r="A40" s="185" t="s">
        <v>535</v>
      </c>
      <c r="B40" s="86">
        <v>0</v>
      </c>
      <c r="C40" s="86">
        <v>0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</row>
    <row r="41" spans="1:17" ht="12.75" customHeight="1">
      <c r="A41" s="184" t="s">
        <v>536</v>
      </c>
      <c r="B41" s="178">
        <v>-61756.174759999994</v>
      </c>
      <c r="C41" s="178">
        <v>-61756.174759999994</v>
      </c>
      <c r="D41" s="178">
        <v>-61756.174759999994</v>
      </c>
      <c r="E41" s="178">
        <v>-61756.174759999994</v>
      </c>
      <c r="F41" s="178">
        <v>-61756.174759999994</v>
      </c>
      <c r="G41" s="178">
        <v>-61756.174759999994</v>
      </c>
      <c r="H41" s="178">
        <v>-101401.91035999998</v>
      </c>
      <c r="I41" s="178">
        <v>-101401.91035999999</v>
      </c>
      <c r="J41" s="178">
        <v>-101600</v>
      </c>
      <c r="K41" s="178">
        <v>-101599.69147999999</v>
      </c>
      <c r="L41" s="178">
        <v>-101599.69147999999</v>
      </c>
      <c r="M41" s="178">
        <v>-101599.69148000001</v>
      </c>
      <c r="N41" s="178">
        <v>-101599.69148000001</v>
      </c>
      <c r="O41" s="178">
        <v>-101599.69148000001</v>
      </c>
      <c r="P41" s="178">
        <v>-101599.69148000001</v>
      </c>
      <c r="Q41" s="178">
        <v>-101599.69148000001</v>
      </c>
    </row>
    <row r="42" spans="1:17" ht="12.75" customHeight="1">
      <c r="A42" s="185" t="s">
        <v>70</v>
      </c>
      <c r="B42" s="86">
        <v>2302380.1056599999</v>
      </c>
      <c r="C42" s="86">
        <v>2303932.2045499999</v>
      </c>
      <c r="D42" s="86">
        <v>2305484.3034399999</v>
      </c>
      <c r="E42" s="86">
        <v>2307002.6610499998</v>
      </c>
      <c r="F42" s="86">
        <v>2309918.1931699999</v>
      </c>
      <c r="G42" s="86">
        <v>2311358.5211900002</v>
      </c>
      <c r="H42" s="86">
        <v>2312798.8492100001</v>
      </c>
      <c r="I42" s="86">
        <v>2308839.2411500001</v>
      </c>
      <c r="J42" s="86">
        <v>2283100</v>
      </c>
      <c r="K42" s="86">
        <v>2272720.8466600003</v>
      </c>
      <c r="L42" s="86">
        <v>2273245.9413700001</v>
      </c>
      <c r="M42" s="86">
        <v>2265488.3228700003</v>
      </c>
      <c r="N42" s="86">
        <v>2247108.4153599995</v>
      </c>
      <c r="O42" s="86">
        <v>2114578.7384899994</v>
      </c>
      <c r="P42" s="86">
        <v>2116662.0849699997</v>
      </c>
      <c r="Q42" s="86">
        <v>2117919.1927899998</v>
      </c>
    </row>
    <row r="43" spans="1:17" ht="12.75" customHeight="1">
      <c r="A43" s="184" t="s">
        <v>406</v>
      </c>
      <c r="B43" s="178">
        <v>-73324.724909999961</v>
      </c>
      <c r="C43" s="178">
        <v>-110427.59158999985</v>
      </c>
      <c r="D43" s="178">
        <v>6.8859662860631946E-11</v>
      </c>
      <c r="E43" s="178">
        <v>-167887.93531000041</v>
      </c>
      <c r="F43" s="178">
        <v>-110813.34539000034</v>
      </c>
      <c r="G43" s="178">
        <v>-85214.172100000345</v>
      </c>
      <c r="H43" s="178">
        <v>-3.7997961044311521E-10</v>
      </c>
      <c r="I43" s="178">
        <v>14378.000005000447</v>
      </c>
      <c r="J43" s="178">
        <v>34323</v>
      </c>
      <c r="K43" s="178">
        <v>50583</v>
      </c>
      <c r="L43" s="178">
        <v>0</v>
      </c>
      <c r="M43" s="178">
        <v>13425.849340000173</v>
      </c>
      <c r="N43" s="178">
        <v>41191.630130000158</v>
      </c>
      <c r="O43" s="178">
        <v>79454.173310000129</v>
      </c>
      <c r="P43" s="178">
        <v>0</v>
      </c>
      <c r="Q43" s="178">
        <v>-30712.115629999982</v>
      </c>
    </row>
    <row r="44" spans="1:17" ht="12.75" customHeight="1">
      <c r="A44" s="185" t="s">
        <v>537</v>
      </c>
      <c r="B44" s="86">
        <v>0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</row>
    <row r="45" spans="1:17" ht="12.75" customHeight="1">
      <c r="A45" s="184" t="s">
        <v>538</v>
      </c>
      <c r="B45" s="178">
        <v>298476.40574999998</v>
      </c>
      <c r="C45" s="178">
        <v>298476.40574999998</v>
      </c>
      <c r="D45" s="178">
        <v>312181.7099450003</v>
      </c>
      <c r="E45" s="178">
        <v>312181.70993999997</v>
      </c>
      <c r="F45" s="178">
        <v>312181.70993999997</v>
      </c>
      <c r="G45" s="178">
        <v>312181.70993999997</v>
      </c>
      <c r="H45" s="178">
        <v>623533.52605999995</v>
      </c>
      <c r="I45" s="178">
        <v>623533.52607000002</v>
      </c>
      <c r="J45" s="178">
        <v>581534</v>
      </c>
      <c r="K45" s="178">
        <v>581533.56260000006</v>
      </c>
      <c r="L45" s="178">
        <v>738813.44638999994</v>
      </c>
      <c r="M45" s="178">
        <v>738813.44638999994</v>
      </c>
      <c r="N45" s="178">
        <v>693079.44641000009</v>
      </c>
      <c r="O45" s="178">
        <v>693079.44641000009</v>
      </c>
      <c r="P45" s="178">
        <v>717491.86904999998</v>
      </c>
      <c r="Q45" s="178">
        <v>717491.86904999998</v>
      </c>
    </row>
    <row r="46" spans="1:17" ht="12.75" customHeight="1">
      <c r="A46" s="185" t="s">
        <v>343</v>
      </c>
      <c r="B46" s="86">
        <v>0</v>
      </c>
      <c r="C46" s="86">
        <v>0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86">
        <v>0</v>
      </c>
    </row>
    <row r="47" spans="1:17" ht="12.75" customHeight="1" thickBot="1">
      <c r="A47" s="181" t="s">
        <v>539</v>
      </c>
      <c r="B47" s="186">
        <f t="shared" ref="B47:H47" si="32">B21+B32+B38</f>
        <v>9750308.9530849997</v>
      </c>
      <c r="C47" s="186">
        <f t="shared" si="32"/>
        <v>9773978.8279449977</v>
      </c>
      <c r="D47" s="186">
        <f t="shared" si="32"/>
        <v>10637147.489755001</v>
      </c>
      <c r="E47" s="186">
        <f t="shared" si="32"/>
        <v>9836201.069805</v>
      </c>
      <c r="F47" s="186">
        <f t="shared" si="32"/>
        <v>9588831.4123122152</v>
      </c>
      <c r="G47" s="186">
        <f t="shared" si="32"/>
        <v>9284369.1554022152</v>
      </c>
      <c r="H47" s="186">
        <f t="shared" si="32"/>
        <v>9946285.7843922172</v>
      </c>
      <c r="I47" s="186">
        <f t="shared" ref="I47:J47" si="33">I21+I32+I38</f>
        <v>9922463.5846500006</v>
      </c>
      <c r="J47" s="186">
        <f t="shared" si="33"/>
        <v>9916325</v>
      </c>
      <c r="K47" s="186">
        <f t="shared" ref="K47:L47" si="34">K21+K32+K38</f>
        <v>10493449.288000003</v>
      </c>
      <c r="L47" s="186">
        <f t="shared" si="34"/>
        <v>10654156.877070002</v>
      </c>
      <c r="M47" s="186">
        <f t="shared" ref="M47:N47" si="35">M21+M32+M38</f>
        <v>11067324.758130001</v>
      </c>
      <c r="N47" s="186">
        <f t="shared" si="35"/>
        <v>11206244.71164</v>
      </c>
      <c r="O47" s="186">
        <f t="shared" ref="O47" si="36">O21+O32+O38</f>
        <v>11447306.385080002</v>
      </c>
      <c r="P47" s="186">
        <f>P21+P32+P38</f>
        <v>11283898.6905</v>
      </c>
      <c r="Q47" s="186">
        <f>Q21+Q32+Q38</f>
        <v>11312596.60629</v>
      </c>
    </row>
    <row r="48" spans="1:17" ht="13.5" thickTop="1"/>
    <row r="49" spans="16:16">
      <c r="P49" s="28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AG77"/>
  <sheetViews>
    <sheetView showGridLines="0" zoomScale="90" zoomScaleNormal="90" workbookViewId="0">
      <pane xSplit="1" ySplit="3" topLeftCell="AC58" activePane="bottomRight" state="frozen"/>
      <selection pane="topRight" activeCell="B1" sqref="B1"/>
      <selection pane="bottomLeft" activeCell="A5" sqref="A5"/>
      <selection pane="bottomRight" activeCell="AG68" sqref="AG68"/>
    </sheetView>
  </sheetViews>
  <sheetFormatPr defaultColWidth="8.7265625" defaultRowHeight="13"/>
  <cols>
    <col min="1" max="1" width="58.1796875" style="20" bestFit="1" customWidth="1"/>
    <col min="2" max="2" width="1.81640625" style="28" customWidth="1"/>
    <col min="3" max="3" width="16.26953125" style="20" customWidth="1"/>
    <col min="4" max="4" width="1.81640625" style="28" customWidth="1"/>
    <col min="5" max="5" width="16.26953125" style="20" customWidth="1"/>
    <col min="6" max="6" width="1.81640625" style="28" customWidth="1"/>
    <col min="7" max="7" width="16.26953125" style="20" customWidth="1"/>
    <col min="8" max="8" width="1.81640625" style="28" customWidth="1"/>
    <col min="9" max="9" width="16.26953125" style="20" customWidth="1"/>
    <col min="10" max="10" width="1.81640625" style="28" customWidth="1"/>
    <col min="11" max="11" width="16.26953125" style="20" customWidth="1"/>
    <col min="12" max="12" width="1.81640625" style="28" customWidth="1"/>
    <col min="13" max="13" width="16.26953125" style="20" customWidth="1"/>
    <col min="14" max="14" width="1.7265625" style="20" customWidth="1"/>
    <col min="15" max="15" width="16.26953125" style="20" customWidth="1"/>
    <col min="16" max="16" width="1.7265625" style="20" customWidth="1"/>
    <col min="17" max="17" width="16.26953125" style="20" customWidth="1"/>
    <col min="18" max="18" width="1.7265625" style="20" customWidth="1"/>
    <col min="19" max="19" width="16.26953125" style="20" customWidth="1"/>
    <col min="20" max="20" width="1.7265625" style="20" customWidth="1"/>
    <col min="21" max="21" width="16.26953125" style="20" customWidth="1"/>
    <col min="22" max="22" width="1.7265625" style="20" customWidth="1"/>
    <col min="23" max="23" width="15.54296875" style="20" customWidth="1"/>
    <col min="24" max="24" width="1.7265625" style="20" customWidth="1"/>
    <col min="25" max="25" width="15.54296875" style="20" customWidth="1"/>
    <col min="26" max="26" width="1.7265625" style="20" customWidth="1"/>
    <col min="27" max="27" width="15.54296875" style="20" customWidth="1"/>
    <col min="28" max="28" width="1.7265625" style="20" customWidth="1"/>
    <col min="29" max="29" width="15.54296875" style="20" customWidth="1"/>
    <col min="30" max="30" width="1.7265625" style="20" customWidth="1"/>
    <col min="31" max="31" width="15.54296875" style="20" customWidth="1"/>
    <col min="32" max="32" width="1.7265625" style="20" customWidth="1"/>
    <col min="33" max="33" width="15.54296875" style="20" customWidth="1"/>
    <col min="34" max="16384" width="8.7265625" style="20"/>
  </cols>
  <sheetData>
    <row r="1" spans="1:33" ht="12.75" customHeight="1">
      <c r="A1" s="317"/>
      <c r="B1" s="254"/>
    </row>
    <row r="2" spans="1:33" ht="12.75" customHeight="1">
      <c r="A2" s="317"/>
      <c r="C2" s="69" t="s">
        <v>159</v>
      </c>
      <c r="E2" s="69" t="s">
        <v>159</v>
      </c>
      <c r="G2" s="69" t="s">
        <v>160</v>
      </c>
      <c r="I2" s="69" t="s">
        <v>160</v>
      </c>
      <c r="J2" s="187"/>
      <c r="K2" s="69" t="s">
        <v>160</v>
      </c>
      <c r="L2" s="187"/>
      <c r="M2" s="69" t="s">
        <v>160</v>
      </c>
      <c r="N2" s="188"/>
      <c r="O2" s="69" t="s">
        <v>160</v>
      </c>
      <c r="Q2" s="69" t="s">
        <v>160</v>
      </c>
      <c r="S2" s="69" t="s">
        <v>160</v>
      </c>
      <c r="U2" s="69" t="s">
        <v>160</v>
      </c>
      <c r="W2" s="69" t="s">
        <v>160</v>
      </c>
      <c r="Y2" s="69" t="s">
        <v>160</v>
      </c>
      <c r="AA2" s="69" t="s">
        <v>160</v>
      </c>
      <c r="AC2" s="273" t="s">
        <v>160</v>
      </c>
      <c r="AE2" s="305" t="s">
        <v>160</v>
      </c>
      <c r="AG2" s="309" t="s">
        <v>160</v>
      </c>
    </row>
    <row r="3" spans="1:33">
      <c r="C3" s="189">
        <v>2007</v>
      </c>
      <c r="D3" s="190"/>
      <c r="E3" s="189">
        <v>2008</v>
      </c>
      <c r="F3" s="190"/>
      <c r="G3" s="189">
        <v>2009</v>
      </c>
      <c r="H3" s="190"/>
      <c r="I3" s="189">
        <v>2010</v>
      </c>
      <c r="J3" s="190"/>
      <c r="K3" s="189">
        <v>2011</v>
      </c>
      <c r="L3" s="190"/>
      <c r="M3" s="189">
        <v>2012</v>
      </c>
      <c r="O3" s="189">
        <v>2013</v>
      </c>
      <c r="Q3" s="189">
        <v>2014</v>
      </c>
      <c r="S3" s="189">
        <v>2015</v>
      </c>
      <c r="U3" s="189">
        <v>2016</v>
      </c>
      <c r="W3" s="189">
        <v>2017</v>
      </c>
      <c r="Y3" s="189">
        <v>2018</v>
      </c>
      <c r="AA3" s="189">
        <v>2019</v>
      </c>
      <c r="AC3" s="275">
        <v>2020</v>
      </c>
      <c r="AE3" s="189">
        <v>2021</v>
      </c>
      <c r="AG3" s="189" t="s">
        <v>683</v>
      </c>
    </row>
    <row r="5" spans="1:33">
      <c r="A5" s="83" t="s">
        <v>40</v>
      </c>
      <c r="B5" s="254"/>
      <c r="F5" s="196"/>
      <c r="G5" s="49"/>
      <c r="H5" s="196"/>
      <c r="I5" s="49"/>
      <c r="J5" s="196"/>
      <c r="K5" s="49"/>
      <c r="L5" s="196"/>
      <c r="M5" s="49"/>
    </row>
    <row r="6" spans="1:33">
      <c r="A6" s="20" t="s">
        <v>350</v>
      </c>
      <c r="C6" s="86">
        <v>-13154</v>
      </c>
      <c r="D6" s="86"/>
      <c r="E6" s="86">
        <v>-1579</v>
      </c>
      <c r="F6" s="86"/>
      <c r="G6" s="86">
        <v>166703</v>
      </c>
      <c r="H6" s="86"/>
      <c r="I6" s="86">
        <v>813368</v>
      </c>
      <c r="J6" s="86"/>
      <c r="K6" s="86">
        <v>335408</v>
      </c>
      <c r="L6" s="86"/>
      <c r="M6" s="86">
        <v>1227429</v>
      </c>
      <c r="O6" s="86">
        <v>97262.431633198197</v>
      </c>
      <c r="Q6" s="86">
        <v>278477</v>
      </c>
      <c r="S6" s="86">
        <v>-908183.13031831011</v>
      </c>
      <c r="U6" s="86">
        <v>-572</v>
      </c>
      <c r="W6" s="86">
        <v>272560</v>
      </c>
      <c r="Y6" s="86">
        <v>171307</v>
      </c>
      <c r="AA6" s="86">
        <v>500037</v>
      </c>
      <c r="AC6" s="86">
        <v>320648</v>
      </c>
      <c r="AE6" s="86">
        <v>50587</v>
      </c>
      <c r="AG6" s="86">
        <v>-846</v>
      </c>
    </row>
    <row r="7" spans="1:33">
      <c r="A7" s="83" t="s">
        <v>41</v>
      </c>
      <c r="B7" s="254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AC7" s="28"/>
      <c r="AE7" s="28"/>
      <c r="AG7" s="28"/>
    </row>
    <row r="8" spans="1:33">
      <c r="A8" s="83" t="s">
        <v>42</v>
      </c>
      <c r="B8" s="254"/>
      <c r="C8" s="193"/>
      <c r="D8" s="255"/>
      <c r="E8" s="193"/>
      <c r="F8" s="193"/>
      <c r="G8" s="193"/>
      <c r="H8" s="193"/>
      <c r="I8" s="193"/>
      <c r="J8" s="193"/>
      <c r="K8" s="193"/>
      <c r="L8" s="193"/>
      <c r="M8" s="193"/>
      <c r="AC8" s="28"/>
      <c r="AE8" s="28"/>
      <c r="AG8" s="28"/>
    </row>
    <row r="9" spans="1:33">
      <c r="A9" s="20" t="s">
        <v>408</v>
      </c>
      <c r="C9" s="86">
        <v>5447</v>
      </c>
      <c r="D9" s="256"/>
      <c r="E9" s="86">
        <v>15619</v>
      </c>
      <c r="F9" s="86"/>
      <c r="G9" s="86">
        <v>32.4</v>
      </c>
      <c r="H9" s="86"/>
      <c r="I9" s="86">
        <v>131</v>
      </c>
      <c r="J9" s="86"/>
      <c r="K9" s="86">
        <v>270</v>
      </c>
      <c r="L9" s="86"/>
      <c r="M9" s="86">
        <v>279</v>
      </c>
      <c r="O9" s="86">
        <v>11705.32514821417</v>
      </c>
      <c r="Q9" s="86">
        <v>17670.299977002502</v>
      </c>
      <c r="S9" s="86">
        <v>13363.924381871166</v>
      </c>
      <c r="U9" s="86">
        <v>77825.41788989288</v>
      </c>
      <c r="W9" s="86">
        <v>11223</v>
      </c>
      <c r="Y9" s="86">
        <v>11455</v>
      </c>
      <c r="AA9" s="86">
        <v>19409</v>
      </c>
      <c r="AC9" s="86">
        <v>9976</v>
      </c>
      <c r="AE9" s="86">
        <v>14721</v>
      </c>
      <c r="AG9" s="86">
        <v>8067.3</v>
      </c>
    </row>
    <row r="10" spans="1:33">
      <c r="A10" s="20" t="s">
        <v>165</v>
      </c>
      <c r="C10" s="86">
        <v>0</v>
      </c>
      <c r="D10" s="256"/>
      <c r="E10" s="86">
        <v>0</v>
      </c>
      <c r="F10" s="86"/>
      <c r="G10" s="86">
        <v>80644.399999999994</v>
      </c>
      <c r="H10" s="86"/>
      <c r="I10" s="86">
        <v>304340</v>
      </c>
      <c r="J10" s="86"/>
      <c r="K10" s="86">
        <v>151273</v>
      </c>
      <c r="L10" s="86"/>
      <c r="M10" s="86">
        <v>663660</v>
      </c>
      <c r="O10" s="86">
        <v>0</v>
      </c>
      <c r="Q10" s="86">
        <v>0</v>
      </c>
      <c r="S10" s="86">
        <v>0</v>
      </c>
      <c r="U10" s="86">
        <v>0</v>
      </c>
      <c r="W10" s="86">
        <v>0</v>
      </c>
      <c r="Y10" s="86">
        <v>0</v>
      </c>
      <c r="AA10" s="86">
        <v>0</v>
      </c>
      <c r="AC10" s="86">
        <v>0</v>
      </c>
      <c r="AE10" s="86">
        <v>0</v>
      </c>
      <c r="AG10" s="86">
        <v>0</v>
      </c>
    </row>
    <row r="11" spans="1:33">
      <c r="A11" s="20" t="s">
        <v>166</v>
      </c>
      <c r="C11" s="86">
        <v>0</v>
      </c>
      <c r="D11" s="256"/>
      <c r="E11" s="86">
        <v>0</v>
      </c>
      <c r="F11" s="86"/>
      <c r="G11" s="86">
        <v>0</v>
      </c>
      <c r="H11" s="86"/>
      <c r="I11" s="86">
        <v>-9579</v>
      </c>
      <c r="J11" s="86"/>
      <c r="K11" s="86">
        <v>-3244</v>
      </c>
      <c r="L11" s="86"/>
      <c r="M11" s="86">
        <v>-2253</v>
      </c>
      <c r="O11" s="86">
        <v>-31010.367029195819</v>
      </c>
      <c r="Q11" s="86">
        <v>-9523.1427630278613</v>
      </c>
      <c r="S11" s="86">
        <v>-10888.116395000001</v>
      </c>
      <c r="U11" s="86">
        <v>5553.4229750000013</v>
      </c>
      <c r="W11" s="86">
        <v>-42805</v>
      </c>
      <c r="Y11" s="86">
        <v>-10735</v>
      </c>
      <c r="AA11" s="86">
        <v>-25828</v>
      </c>
      <c r="AC11" s="86">
        <v>-62937</v>
      </c>
      <c r="AE11" s="86">
        <v>-29634</v>
      </c>
      <c r="AG11" s="86">
        <v>-2201.6</v>
      </c>
    </row>
    <row r="12" spans="1:33">
      <c r="A12" s="20" t="s">
        <v>43</v>
      </c>
      <c r="C12" s="86">
        <v>17918</v>
      </c>
      <c r="D12" s="256"/>
      <c r="E12" s="86">
        <v>67146</v>
      </c>
      <c r="F12" s="86"/>
      <c r="G12" s="86">
        <v>33264</v>
      </c>
      <c r="H12" s="86"/>
      <c r="I12" s="86">
        <v>59736</v>
      </c>
      <c r="J12" s="86"/>
      <c r="K12" s="86">
        <v>181447</v>
      </c>
      <c r="L12" s="86"/>
      <c r="M12" s="86">
        <v>489864</v>
      </c>
      <c r="O12" s="86">
        <v>558908.2296949703</v>
      </c>
      <c r="Q12" s="86">
        <v>551603.10296491673</v>
      </c>
      <c r="S12" s="86">
        <v>545666.36911500001</v>
      </c>
      <c r="U12" s="86">
        <v>395085.29538500006</v>
      </c>
      <c r="W12" s="86">
        <v>372230</v>
      </c>
      <c r="Y12" s="86">
        <v>352135</v>
      </c>
      <c r="AA12" s="86">
        <v>263656</v>
      </c>
      <c r="AC12" s="86">
        <v>93375</v>
      </c>
      <c r="AE12" s="86">
        <v>175253</v>
      </c>
      <c r="AG12" s="86">
        <v>80821.8</v>
      </c>
    </row>
    <row r="13" spans="1:33">
      <c r="A13" s="20" t="s">
        <v>249</v>
      </c>
      <c r="C13" s="86">
        <v>0</v>
      </c>
      <c r="D13" s="256"/>
      <c r="E13" s="86">
        <v>0</v>
      </c>
      <c r="F13" s="86"/>
      <c r="G13" s="86">
        <v>0</v>
      </c>
      <c r="H13" s="86"/>
      <c r="I13" s="86">
        <v>-10395</v>
      </c>
      <c r="J13" s="86"/>
      <c r="K13" s="86">
        <v>61906</v>
      </c>
      <c r="L13" s="86"/>
      <c r="M13" s="86">
        <v>48353</v>
      </c>
      <c r="O13" s="86">
        <v>86785.195571467513</v>
      </c>
      <c r="P13" s="86"/>
      <c r="Q13" s="86">
        <v>91079.591570000004</v>
      </c>
      <c r="S13" s="86">
        <v>362111.71714999998</v>
      </c>
      <c r="U13" s="86">
        <v>-121756.96830999998</v>
      </c>
      <c r="W13" s="86">
        <v>9197</v>
      </c>
      <c r="Y13" s="86">
        <v>106725</v>
      </c>
      <c r="AA13" s="86">
        <v>-20112</v>
      </c>
      <c r="AC13" s="86">
        <v>0</v>
      </c>
      <c r="AE13" s="86">
        <v>0</v>
      </c>
      <c r="AG13" s="86">
        <v>0</v>
      </c>
    </row>
    <row r="14" spans="1:33">
      <c r="A14" s="257" t="s">
        <v>341</v>
      </c>
      <c r="C14" s="86">
        <v>0</v>
      </c>
      <c r="D14" s="256"/>
      <c r="E14" s="86">
        <v>0</v>
      </c>
      <c r="F14" s="86"/>
      <c r="G14" s="86">
        <v>0</v>
      </c>
      <c r="H14" s="86"/>
      <c r="I14" s="86">
        <v>0</v>
      </c>
      <c r="J14" s="86"/>
      <c r="K14" s="86">
        <v>0</v>
      </c>
      <c r="L14" s="86"/>
      <c r="M14" s="86">
        <v>0</v>
      </c>
      <c r="O14" s="86">
        <v>7887.5722200000009</v>
      </c>
      <c r="P14" s="86"/>
      <c r="Q14" s="86">
        <v>-5414.9053300000023</v>
      </c>
      <c r="S14" s="86">
        <v>-5417.9442299999982</v>
      </c>
      <c r="U14" s="86">
        <v>1513.4429000000023</v>
      </c>
      <c r="W14" s="86">
        <v>1397</v>
      </c>
      <c r="Y14" s="86">
        <v>24</v>
      </c>
      <c r="AA14" s="86">
        <v>654</v>
      </c>
      <c r="AC14" s="86">
        <v>0</v>
      </c>
      <c r="AE14" s="86">
        <v>0</v>
      </c>
      <c r="AG14" s="86">
        <v>0</v>
      </c>
    </row>
    <row r="15" spans="1:33">
      <c r="A15" s="257" t="s">
        <v>342</v>
      </c>
      <c r="C15" s="86">
        <v>0</v>
      </c>
      <c r="D15" s="256"/>
      <c r="E15" s="86">
        <v>0</v>
      </c>
      <c r="F15" s="86"/>
      <c r="G15" s="86">
        <v>0</v>
      </c>
      <c r="H15" s="86"/>
      <c r="I15" s="86">
        <v>0</v>
      </c>
      <c r="J15" s="86"/>
      <c r="K15" s="86">
        <v>0</v>
      </c>
      <c r="L15" s="86"/>
      <c r="M15" s="86">
        <v>0</v>
      </c>
      <c r="O15" s="86">
        <v>24780.354299999999</v>
      </c>
      <c r="P15" s="86"/>
      <c r="Q15" s="86">
        <v>15044.521229999997</v>
      </c>
      <c r="S15" s="86">
        <v>16483.877410000001</v>
      </c>
      <c r="U15" s="86">
        <v>-8566.9960700000083</v>
      </c>
      <c r="W15" s="86">
        <v>-3982</v>
      </c>
      <c r="Y15" s="86">
        <v>-9738</v>
      </c>
      <c r="AA15" s="86">
        <v>4391</v>
      </c>
      <c r="AC15" s="86">
        <v>0</v>
      </c>
      <c r="AE15" s="86">
        <v>0</v>
      </c>
      <c r="AG15" s="86">
        <v>0</v>
      </c>
    </row>
    <row r="16" spans="1:33">
      <c r="A16" s="257" t="s">
        <v>343</v>
      </c>
      <c r="C16" s="86">
        <v>0</v>
      </c>
      <c r="D16" s="256"/>
      <c r="E16" s="86">
        <v>0</v>
      </c>
      <c r="F16" s="86"/>
      <c r="G16" s="86">
        <v>0</v>
      </c>
      <c r="H16" s="86"/>
      <c r="I16" s="86">
        <v>0</v>
      </c>
      <c r="J16" s="86"/>
      <c r="K16" s="86">
        <v>0</v>
      </c>
      <c r="L16" s="86"/>
      <c r="M16" s="86">
        <v>0</v>
      </c>
      <c r="O16" s="86">
        <v>-10850.551172794851</v>
      </c>
      <c r="P16" s="86"/>
      <c r="Q16" s="86">
        <v>-2932.967705</v>
      </c>
      <c r="S16" s="86">
        <v>134.22216500000096</v>
      </c>
      <c r="U16" s="86">
        <v>-1732.8532050000008</v>
      </c>
      <c r="W16" s="86">
        <v>0</v>
      </c>
      <c r="Y16" s="86">
        <v>0</v>
      </c>
      <c r="AA16" s="86">
        <v>0</v>
      </c>
      <c r="AC16" s="86">
        <v>0</v>
      </c>
      <c r="AE16" s="86">
        <v>0</v>
      </c>
      <c r="AG16" s="86">
        <v>0</v>
      </c>
    </row>
    <row r="17" spans="1:33">
      <c r="A17" s="20" t="s">
        <v>173</v>
      </c>
      <c r="C17" s="86">
        <v>0</v>
      </c>
      <c r="D17" s="256"/>
      <c r="E17" s="86">
        <v>0</v>
      </c>
      <c r="F17" s="86"/>
      <c r="G17" s="86">
        <v>-2001</v>
      </c>
      <c r="H17" s="86"/>
      <c r="I17" s="86">
        <v>14467</v>
      </c>
      <c r="J17" s="86"/>
      <c r="K17" s="86">
        <v>-21</v>
      </c>
      <c r="L17" s="86"/>
      <c r="M17" s="86">
        <v>-65843</v>
      </c>
      <c r="O17" s="86">
        <v>-22047.061989999995</v>
      </c>
      <c r="P17" s="86"/>
      <c r="Q17" s="86">
        <v>-13980.364850000005</v>
      </c>
      <c r="S17" s="86">
        <v>-30804.20003</v>
      </c>
      <c r="U17" s="86">
        <v>18846.973660000003</v>
      </c>
      <c r="W17" s="86">
        <v>505</v>
      </c>
      <c r="Y17" s="86">
        <v>-11106</v>
      </c>
      <c r="AA17" s="86">
        <v>19808</v>
      </c>
      <c r="AC17" s="86">
        <v>0</v>
      </c>
      <c r="AE17" s="86">
        <v>0</v>
      </c>
      <c r="AG17" s="86">
        <v>0</v>
      </c>
    </row>
    <row r="18" spans="1:33">
      <c r="A18" s="20" t="s">
        <v>44</v>
      </c>
      <c r="C18" s="86">
        <v>0</v>
      </c>
      <c r="D18" s="256"/>
      <c r="E18" s="86">
        <v>1614</v>
      </c>
      <c r="F18" s="86"/>
      <c r="G18" s="86">
        <v>984</v>
      </c>
      <c r="H18" s="86"/>
      <c r="I18" s="86">
        <v>667</v>
      </c>
      <c r="J18" s="86"/>
      <c r="K18" s="86">
        <v>4602</v>
      </c>
      <c r="L18" s="86"/>
      <c r="M18" s="86">
        <v>3511</v>
      </c>
      <c r="O18" s="86">
        <v>1821.5740500000379</v>
      </c>
      <c r="P18" s="86"/>
      <c r="Q18" s="86">
        <v>922.6778699999619</v>
      </c>
      <c r="S18" s="86">
        <v>4047.6876099999999</v>
      </c>
      <c r="U18" s="86">
        <v>1805.60133</v>
      </c>
      <c r="W18" s="86">
        <v>6066</v>
      </c>
      <c r="Y18" s="86">
        <v>6313</v>
      </c>
      <c r="AA18" s="86">
        <v>5824</v>
      </c>
      <c r="AC18" s="86">
        <v>5807</v>
      </c>
      <c r="AE18" s="86">
        <v>8495</v>
      </c>
      <c r="AG18" s="86">
        <v>1742.1</v>
      </c>
    </row>
    <row r="19" spans="1:33">
      <c r="A19" s="20" t="s">
        <v>164</v>
      </c>
      <c r="C19" s="86">
        <v>0</v>
      </c>
      <c r="D19" s="256"/>
      <c r="E19" s="86">
        <v>0</v>
      </c>
      <c r="F19" s="86"/>
      <c r="G19" s="86">
        <v>-202386</v>
      </c>
      <c r="H19" s="86"/>
      <c r="I19" s="86">
        <v>-1025537</v>
      </c>
      <c r="J19" s="86"/>
      <c r="K19" s="86">
        <v>-443863</v>
      </c>
      <c r="L19" s="86"/>
      <c r="M19" s="86">
        <v>-1746275</v>
      </c>
      <c r="O19" s="86">
        <v>99266.873184678174</v>
      </c>
      <c r="P19" s="86"/>
      <c r="Q19" s="86">
        <v>54136.966087007931</v>
      </c>
      <c r="S19" s="86">
        <v>551486.9546249999</v>
      </c>
      <c r="U19" s="86">
        <v>152284</v>
      </c>
      <c r="W19" s="86">
        <v>-178261</v>
      </c>
      <c r="Y19" s="86">
        <v>-200061</v>
      </c>
      <c r="AA19" s="86">
        <v>-596893</v>
      </c>
      <c r="AC19" s="86">
        <v>-139883</v>
      </c>
      <c r="AE19" s="86">
        <v>14204</v>
      </c>
      <c r="AG19" s="86">
        <v>0</v>
      </c>
    </row>
    <row r="20" spans="1:33">
      <c r="A20" s="20" t="s">
        <v>363</v>
      </c>
      <c r="C20" s="86">
        <v>0</v>
      </c>
      <c r="D20" s="256"/>
      <c r="E20" s="86">
        <v>0</v>
      </c>
      <c r="F20" s="86"/>
      <c r="G20" s="86">
        <v>0</v>
      </c>
      <c r="H20" s="86"/>
      <c r="I20" s="86">
        <v>0</v>
      </c>
      <c r="J20" s="86"/>
      <c r="K20" s="86">
        <v>0</v>
      </c>
      <c r="L20" s="86"/>
      <c r="M20" s="86">
        <v>0</v>
      </c>
      <c r="O20" s="86">
        <v>0</v>
      </c>
      <c r="P20" s="86"/>
      <c r="Q20" s="86">
        <v>-184883.83572000015</v>
      </c>
      <c r="S20" s="86">
        <v>71864.730190507602</v>
      </c>
      <c r="U20" s="86">
        <v>-21819.152154808082</v>
      </c>
      <c r="W20" s="86">
        <v>-17638</v>
      </c>
      <c r="Y20" s="86">
        <v>0</v>
      </c>
      <c r="AA20" s="86">
        <v>42757</v>
      </c>
      <c r="AC20" s="86">
        <v>0</v>
      </c>
      <c r="AE20" s="86">
        <v>6015</v>
      </c>
      <c r="AG20" s="86">
        <v>0</v>
      </c>
    </row>
    <row r="21" spans="1:33">
      <c r="A21" s="20" t="s">
        <v>258</v>
      </c>
      <c r="C21" s="86">
        <v>0</v>
      </c>
      <c r="D21" s="256"/>
      <c r="E21" s="86">
        <v>0</v>
      </c>
      <c r="F21" s="86"/>
      <c r="G21" s="86">
        <v>0</v>
      </c>
      <c r="H21" s="86"/>
      <c r="I21" s="86">
        <v>0</v>
      </c>
      <c r="J21" s="86"/>
      <c r="K21" s="86">
        <v>-2186</v>
      </c>
      <c r="L21" s="86"/>
      <c r="M21" s="86">
        <v>6369</v>
      </c>
      <c r="O21" s="86">
        <v>22952.933698368957</v>
      </c>
      <c r="P21" s="86"/>
      <c r="Q21" s="86">
        <v>18968.905585774453</v>
      </c>
      <c r="S21" s="86">
        <v>17810.166115015363</v>
      </c>
      <c r="U21" s="86">
        <v>16848.311735863583</v>
      </c>
      <c r="W21" s="86">
        <v>-58014</v>
      </c>
      <c r="Y21" s="86">
        <v>-26956</v>
      </c>
      <c r="AA21" s="86">
        <v>-15439</v>
      </c>
      <c r="AC21" s="86">
        <v>-13024</v>
      </c>
      <c r="AE21" s="86">
        <v>10474</v>
      </c>
      <c r="AG21" s="86">
        <v>-1438.4000000000005</v>
      </c>
    </row>
    <row r="22" spans="1:33">
      <c r="A22" s="20" t="s">
        <v>393</v>
      </c>
      <c r="C22" s="86">
        <v>0</v>
      </c>
      <c r="D22" s="256"/>
      <c r="E22" s="86">
        <v>0</v>
      </c>
      <c r="F22" s="86"/>
      <c r="G22" s="86">
        <v>0</v>
      </c>
      <c r="H22" s="86"/>
      <c r="I22" s="86">
        <v>0</v>
      </c>
      <c r="J22" s="86"/>
      <c r="K22" s="86">
        <v>0</v>
      </c>
      <c r="L22" s="86"/>
      <c r="M22" s="86">
        <v>0</v>
      </c>
      <c r="O22" s="86">
        <v>0</v>
      </c>
      <c r="P22" s="86"/>
      <c r="Q22" s="86">
        <v>0</v>
      </c>
      <c r="S22" s="86">
        <v>0</v>
      </c>
      <c r="U22" s="86">
        <v>-57532.375</v>
      </c>
      <c r="W22" s="86">
        <v>0</v>
      </c>
      <c r="Y22" s="86">
        <v>0</v>
      </c>
      <c r="AA22" s="86">
        <v>0</v>
      </c>
      <c r="AC22" s="86">
        <v>0</v>
      </c>
      <c r="AE22" s="86">
        <v>0</v>
      </c>
      <c r="AG22" s="86">
        <v>0</v>
      </c>
    </row>
    <row r="23" spans="1:33">
      <c r="A23" s="20" t="s">
        <v>609</v>
      </c>
      <c r="C23" s="86"/>
      <c r="D23" s="256"/>
      <c r="E23" s="86"/>
      <c r="F23" s="86"/>
      <c r="G23" s="86">
        <v>0</v>
      </c>
      <c r="H23" s="86"/>
      <c r="I23" s="86">
        <v>0</v>
      </c>
      <c r="J23" s="86"/>
      <c r="K23" s="86">
        <v>0</v>
      </c>
      <c r="L23" s="86"/>
      <c r="M23" s="86">
        <v>0</v>
      </c>
      <c r="O23" s="86">
        <v>0</v>
      </c>
      <c r="P23" s="86"/>
      <c r="Q23" s="86">
        <v>0</v>
      </c>
      <c r="S23" s="86">
        <v>0</v>
      </c>
      <c r="U23" s="86">
        <v>0</v>
      </c>
      <c r="W23" s="86">
        <v>0</v>
      </c>
      <c r="Y23" s="86">
        <v>-27627</v>
      </c>
      <c r="AA23" s="86">
        <v>27171</v>
      </c>
      <c r="AC23" s="86">
        <v>455.3</v>
      </c>
      <c r="AE23" s="86">
        <v>1404</v>
      </c>
      <c r="AG23" s="86">
        <v>-93.6</v>
      </c>
    </row>
    <row r="24" spans="1:33">
      <c r="A24" s="20" t="s">
        <v>424</v>
      </c>
      <c r="C24" s="86"/>
      <c r="D24" s="256"/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-12455</v>
      </c>
      <c r="V24" s="86">
        <v>0</v>
      </c>
      <c r="W24" s="86">
        <v>-52992</v>
      </c>
      <c r="Y24" s="86">
        <v>-46010</v>
      </c>
      <c r="AA24" s="86">
        <v>-8588</v>
      </c>
      <c r="AC24" s="86">
        <v>-508.2</v>
      </c>
      <c r="AE24" s="86">
        <v>0</v>
      </c>
      <c r="AG24" s="86">
        <v>0</v>
      </c>
    </row>
    <row r="25" spans="1:33">
      <c r="C25" s="86"/>
      <c r="D25" s="256"/>
      <c r="E25" s="86"/>
      <c r="F25" s="86"/>
      <c r="G25" s="86"/>
      <c r="H25" s="86"/>
      <c r="I25" s="86"/>
      <c r="J25" s="86"/>
      <c r="K25" s="86"/>
      <c r="L25" s="86"/>
      <c r="M25" s="86"/>
      <c r="O25" s="86"/>
      <c r="P25" s="86"/>
      <c r="Q25" s="86"/>
      <c r="S25" s="86"/>
      <c r="U25" s="86"/>
      <c r="W25" s="86"/>
      <c r="AC25" s="28"/>
    </row>
    <row r="26" spans="1:33" s="83" customFormat="1">
      <c r="A26" s="83" t="s">
        <v>171</v>
      </c>
      <c r="B26" s="254"/>
      <c r="C26" s="193"/>
      <c r="D26" s="255"/>
      <c r="E26" s="193"/>
      <c r="F26" s="193"/>
      <c r="G26" s="193"/>
      <c r="H26" s="193"/>
      <c r="I26" s="193"/>
      <c r="J26" s="193"/>
      <c r="K26" s="193"/>
      <c r="L26" s="193"/>
      <c r="M26" s="193"/>
      <c r="O26" s="193"/>
      <c r="P26" s="193"/>
      <c r="Q26" s="193"/>
      <c r="S26" s="193"/>
      <c r="U26" s="193"/>
      <c r="W26" s="193"/>
      <c r="Y26" s="193"/>
      <c r="AA26" s="193"/>
      <c r="AC26" s="193"/>
      <c r="AE26" s="193"/>
      <c r="AG26" s="193"/>
    </row>
    <row r="27" spans="1:33">
      <c r="A27" s="20" t="s">
        <v>2</v>
      </c>
      <c r="C27" s="86">
        <v>-5624</v>
      </c>
      <c r="D27" s="258"/>
      <c r="E27" s="86">
        <v>-4010</v>
      </c>
      <c r="F27" s="86"/>
      <c r="G27" s="86">
        <v>-1319</v>
      </c>
      <c r="H27" s="86"/>
      <c r="I27" s="86">
        <v>-33982</v>
      </c>
      <c r="J27" s="86"/>
      <c r="K27" s="86">
        <v>-6567</v>
      </c>
      <c r="L27" s="86"/>
      <c r="M27" s="86">
        <v>-25128</v>
      </c>
      <c r="O27" s="86">
        <v>-3056.2702432354645</v>
      </c>
      <c r="P27" s="86"/>
      <c r="Q27" s="86">
        <v>-19188.822044919358</v>
      </c>
      <c r="S27" s="86">
        <v>-131258.38143666953</v>
      </c>
      <c r="U27" s="86">
        <v>-9448</v>
      </c>
      <c r="W27" s="86">
        <v>10546</v>
      </c>
      <c r="Y27" s="86">
        <v>4116</v>
      </c>
      <c r="AA27" s="86">
        <v>35109</v>
      </c>
      <c r="AC27" s="86">
        <v>-9812</v>
      </c>
      <c r="AE27" s="86">
        <v>-14087</v>
      </c>
      <c r="AG27" s="86">
        <v>-2079.4</v>
      </c>
    </row>
    <row r="28" spans="1:33">
      <c r="A28" s="20" t="s">
        <v>3</v>
      </c>
      <c r="C28" s="86">
        <v>-2008</v>
      </c>
      <c r="D28" s="258"/>
      <c r="E28" s="86">
        <v>-2927</v>
      </c>
      <c r="F28" s="86"/>
      <c r="G28" s="86">
        <v>-1626</v>
      </c>
      <c r="H28" s="86"/>
      <c r="I28" s="86">
        <v>-3249</v>
      </c>
      <c r="J28" s="86"/>
      <c r="K28" s="86">
        <v>-9397</v>
      </c>
      <c r="L28" s="86"/>
      <c r="M28" s="86">
        <v>-108725</v>
      </c>
      <c r="O28" s="86">
        <v>-130769.25482364005</v>
      </c>
      <c r="P28" s="86"/>
      <c r="Q28" s="86">
        <v>-201665.23502585359</v>
      </c>
      <c r="S28" s="86">
        <v>-113531.90899749746</v>
      </c>
      <c r="U28" s="86">
        <v>-172208</v>
      </c>
      <c r="W28" s="86">
        <v>3923</v>
      </c>
      <c r="Y28" s="86">
        <v>10363</v>
      </c>
      <c r="AA28" s="86">
        <v>26420</v>
      </c>
      <c r="AC28" s="268">
        <v>5656</v>
      </c>
      <c r="AE28" s="268">
        <v>5621</v>
      </c>
      <c r="AG28" s="268">
        <v>2377.1999999999998</v>
      </c>
    </row>
    <row r="29" spans="1:33">
      <c r="A29" s="20" t="s">
        <v>201</v>
      </c>
      <c r="C29" s="86">
        <v>0</v>
      </c>
      <c r="D29" s="256"/>
      <c r="E29" s="86">
        <v>0</v>
      </c>
      <c r="F29" s="86"/>
      <c r="G29" s="86">
        <v>-23749</v>
      </c>
      <c r="H29" s="86"/>
      <c r="I29" s="86">
        <v>22795</v>
      </c>
      <c r="J29" s="86"/>
      <c r="K29" s="86">
        <v>-11533</v>
      </c>
      <c r="L29" s="86"/>
      <c r="M29" s="86">
        <v>12295</v>
      </c>
      <c r="O29" s="86">
        <v>0</v>
      </c>
      <c r="P29" s="86"/>
      <c r="Q29" s="86">
        <v>312.88847999999996</v>
      </c>
      <c r="S29" s="86">
        <v>0</v>
      </c>
      <c r="U29" s="86">
        <v>0</v>
      </c>
      <c r="W29" s="86">
        <v>0</v>
      </c>
      <c r="Y29" s="86">
        <v>0</v>
      </c>
      <c r="AA29" s="86">
        <v>0</v>
      </c>
      <c r="AC29" s="86">
        <v>0</v>
      </c>
      <c r="AE29" s="86">
        <v>0</v>
      </c>
      <c r="AG29" s="86">
        <v>0</v>
      </c>
    </row>
    <row r="30" spans="1:33">
      <c r="A30" s="20" t="s">
        <v>53</v>
      </c>
      <c r="C30" s="86">
        <v>0</v>
      </c>
      <c r="D30" s="256"/>
      <c r="E30" s="86">
        <v>0</v>
      </c>
      <c r="F30" s="86"/>
      <c r="G30" s="86">
        <v>3135</v>
      </c>
      <c r="H30" s="86"/>
      <c r="I30" s="86">
        <v>22479</v>
      </c>
      <c r="J30" s="86"/>
      <c r="K30" s="86">
        <v>0</v>
      </c>
      <c r="L30" s="86"/>
      <c r="M30" s="86">
        <v>34000</v>
      </c>
      <c r="O30" s="86">
        <v>0</v>
      </c>
      <c r="P30" s="86"/>
      <c r="Q30" s="86">
        <v>0</v>
      </c>
      <c r="S30" s="86">
        <v>0</v>
      </c>
      <c r="U30" s="86">
        <v>0</v>
      </c>
      <c r="W30" s="86">
        <v>0</v>
      </c>
      <c r="Y30" s="86">
        <v>0</v>
      </c>
      <c r="AA30" s="86">
        <v>0</v>
      </c>
      <c r="AC30" s="86">
        <v>0</v>
      </c>
      <c r="AE30" s="86">
        <v>0</v>
      </c>
      <c r="AG30" s="86">
        <v>0</v>
      </c>
    </row>
    <row r="31" spans="1:33">
      <c r="A31" s="20" t="s">
        <v>45</v>
      </c>
      <c r="C31" s="86">
        <v>-3105</v>
      </c>
      <c r="D31" s="256"/>
      <c r="E31" s="86">
        <v>1962</v>
      </c>
      <c r="F31" s="86"/>
      <c r="G31" s="86">
        <v>-641</v>
      </c>
      <c r="H31" s="86"/>
      <c r="I31" s="86">
        <v>-19138</v>
      </c>
      <c r="J31" s="86"/>
      <c r="K31" s="86">
        <v>-7363</v>
      </c>
      <c r="L31" s="86"/>
      <c r="M31" s="86">
        <v>20532</v>
      </c>
      <c r="O31" s="86">
        <v>10946.396309469092</v>
      </c>
      <c r="P31" s="86"/>
      <c r="Q31" s="86">
        <v>18076.906334722706</v>
      </c>
      <c r="S31" s="86">
        <v>9404.657551769893</v>
      </c>
      <c r="U31" s="86">
        <v>-31118</v>
      </c>
      <c r="W31" s="86">
        <v>-28362</v>
      </c>
      <c r="Y31" s="86">
        <v>7523</v>
      </c>
      <c r="AA31" s="86">
        <v>6560</v>
      </c>
      <c r="AC31" s="86">
        <v>24429</v>
      </c>
      <c r="AE31" s="86">
        <v>65949</v>
      </c>
      <c r="AG31" s="86">
        <v>-2476.1</v>
      </c>
    </row>
    <row r="32" spans="1:33">
      <c r="C32" s="86"/>
      <c r="D32" s="256"/>
      <c r="E32" s="86"/>
      <c r="F32" s="86"/>
      <c r="G32" s="86"/>
      <c r="H32" s="86"/>
      <c r="I32" s="86"/>
      <c r="J32" s="86"/>
      <c r="K32" s="86"/>
      <c r="L32" s="86"/>
      <c r="M32" s="86"/>
      <c r="O32" s="86"/>
      <c r="P32" s="86"/>
      <c r="Q32" s="86"/>
      <c r="S32" s="86"/>
      <c r="U32" s="86"/>
      <c r="W32" s="86"/>
      <c r="Y32" s="86"/>
      <c r="AA32" s="86"/>
      <c r="AC32" s="86"/>
      <c r="AE32" s="86"/>
      <c r="AG32" s="86"/>
    </row>
    <row r="33" spans="1:33">
      <c r="A33" s="83" t="s">
        <v>172</v>
      </c>
      <c r="C33" s="86"/>
      <c r="D33" s="256"/>
      <c r="E33" s="86"/>
      <c r="F33" s="86"/>
      <c r="G33" s="86"/>
      <c r="H33" s="86"/>
      <c r="I33" s="86"/>
      <c r="J33" s="86"/>
      <c r="K33" s="86"/>
      <c r="L33" s="86"/>
      <c r="M33" s="86"/>
      <c r="O33" s="86"/>
      <c r="P33" s="86"/>
      <c r="Q33" s="86"/>
      <c r="S33" s="86"/>
      <c r="U33" s="86"/>
      <c r="W33" s="86"/>
      <c r="Y33" s="86"/>
      <c r="AA33" s="86"/>
      <c r="AC33" s="86"/>
      <c r="AE33" s="86"/>
      <c r="AG33" s="86"/>
    </row>
    <row r="34" spans="1:33">
      <c r="A34" s="20" t="s">
        <v>73</v>
      </c>
      <c r="C34" s="86">
        <v>2630</v>
      </c>
      <c r="D34" s="256"/>
      <c r="E34" s="86">
        <v>1965</v>
      </c>
      <c r="F34" s="86"/>
      <c r="G34" s="86">
        <v>0</v>
      </c>
      <c r="H34" s="86"/>
      <c r="I34" s="86">
        <v>0</v>
      </c>
      <c r="J34" s="86"/>
      <c r="K34" s="86">
        <f>4500+0.4</f>
        <v>4500.3999999999996</v>
      </c>
      <c r="L34" s="86"/>
      <c r="M34" s="86">
        <v>2095</v>
      </c>
      <c r="O34" s="86">
        <v>-12638.890518481794</v>
      </c>
      <c r="P34" s="86"/>
      <c r="Q34" s="86">
        <v>-19683.170144889013</v>
      </c>
      <c r="S34" s="86">
        <v>-26210.538094839743</v>
      </c>
      <c r="U34" s="86">
        <v>-1213</v>
      </c>
      <c r="W34" s="86">
        <v>-6659</v>
      </c>
      <c r="Y34" s="86">
        <v>-5318</v>
      </c>
      <c r="AA34" s="86">
        <v>-7740</v>
      </c>
      <c r="AC34" s="86">
        <v>-11143</v>
      </c>
      <c r="AE34" s="86">
        <v>-10319</v>
      </c>
      <c r="AG34" s="86">
        <v>-10586.6</v>
      </c>
    </row>
    <row r="35" spans="1:33">
      <c r="A35" s="20" t="s">
        <v>46</v>
      </c>
      <c r="C35" s="86">
        <v>56481</v>
      </c>
      <c r="E35" s="86">
        <v>2643</v>
      </c>
      <c r="F35" s="86"/>
      <c r="G35" s="86">
        <v>4454.5</v>
      </c>
      <c r="H35" s="86"/>
      <c r="I35" s="86">
        <v>4939</v>
      </c>
      <c r="J35" s="86"/>
      <c r="K35" s="86">
        <f>15356+0.2</f>
        <v>15356.2</v>
      </c>
      <c r="L35" s="86"/>
      <c r="M35" s="86">
        <v>6646</v>
      </c>
      <c r="O35" s="86">
        <v>29601.218509366539</v>
      </c>
      <c r="P35" s="86"/>
      <c r="Q35" s="86">
        <v>-24473.371605856151</v>
      </c>
      <c r="S35" s="86">
        <v>-9242.1632002316564</v>
      </c>
      <c r="U35" s="86">
        <v>2210.9208231895891</v>
      </c>
      <c r="W35" s="86">
        <v>2469</v>
      </c>
      <c r="Y35" s="86">
        <v>11786</v>
      </c>
      <c r="AA35" s="86">
        <v>-25015</v>
      </c>
      <c r="AC35" s="86">
        <v>-38426</v>
      </c>
      <c r="AE35" s="86">
        <v>-11415</v>
      </c>
      <c r="AG35" s="86">
        <v>-22302.699999999997</v>
      </c>
    </row>
    <row r="36" spans="1:33">
      <c r="A36" s="20" t="s">
        <v>344</v>
      </c>
      <c r="O36" s="86">
        <v>87354.892720601812</v>
      </c>
      <c r="P36" s="86"/>
      <c r="Q36" s="86">
        <v>-25047.068453711407</v>
      </c>
      <c r="S36" s="86">
        <v>-12163.024242404263</v>
      </c>
      <c r="U36" s="86">
        <v>-41045</v>
      </c>
      <c r="W36" s="86">
        <v>-30602</v>
      </c>
      <c r="Y36" s="86">
        <v>-5669</v>
      </c>
      <c r="AA36" s="86">
        <v>2489</v>
      </c>
      <c r="AC36" s="86">
        <v>-4819</v>
      </c>
      <c r="AE36" s="86">
        <v>-561</v>
      </c>
      <c r="AG36" s="86">
        <v>25926.399999999998</v>
      </c>
    </row>
    <row r="37" spans="1:33">
      <c r="A37" s="83" t="s">
        <v>174</v>
      </c>
      <c r="B37" s="254"/>
      <c r="C37" s="179">
        <f>SUM(C6:C35)</f>
        <v>58585</v>
      </c>
      <c r="D37" s="255"/>
      <c r="E37" s="179">
        <f>SUM(E6:E35)</f>
        <v>82433</v>
      </c>
      <c r="F37" s="193"/>
      <c r="G37" s="179">
        <f>SUM(G6:G35)</f>
        <v>57495.299999999988</v>
      </c>
      <c r="H37" s="193"/>
      <c r="I37" s="179">
        <f>SUM(I6:I35)</f>
        <v>141042</v>
      </c>
      <c r="J37" s="177"/>
      <c r="K37" s="179">
        <f>SUM(K6:K35)</f>
        <v>270588.59999999998</v>
      </c>
      <c r="L37" s="177"/>
      <c r="M37" s="179">
        <f>SUM(M6:M35)</f>
        <v>566809</v>
      </c>
      <c r="O37" s="179">
        <f>SUM(O6:O36)</f>
        <v>828900.60126298666</v>
      </c>
      <c r="Q37" s="179">
        <f>SUM(Q6:Q36)</f>
        <v>539499.97645616671</v>
      </c>
      <c r="S37" s="179">
        <f>SUM(S6:S36)</f>
        <v>344674.89936921111</v>
      </c>
      <c r="U37" s="179">
        <f>SUM(U6:U36)</f>
        <v>192506.04195913803</v>
      </c>
      <c r="W37" s="179">
        <f t="shared" ref="W37:AD37" si="0">SUM(W6:W36)</f>
        <v>270801</v>
      </c>
      <c r="X37" s="179">
        <f t="shared" si="0"/>
        <v>0</v>
      </c>
      <c r="Y37" s="179">
        <f t="shared" si="0"/>
        <v>338527</v>
      </c>
      <c r="Z37" s="179">
        <f t="shared" si="0"/>
        <v>0</v>
      </c>
      <c r="AA37" s="179">
        <f t="shared" si="0"/>
        <v>254670</v>
      </c>
      <c r="AB37" s="179">
        <f t="shared" si="0"/>
        <v>0</v>
      </c>
      <c r="AC37" s="179">
        <f>SUM(AC6:AC36)</f>
        <v>179794.09999999998</v>
      </c>
      <c r="AD37" s="179">
        <f t="shared" si="0"/>
        <v>0</v>
      </c>
      <c r="AE37" s="179">
        <f>SUM(AE6:AE36)</f>
        <v>286707</v>
      </c>
      <c r="AF37" s="179">
        <f t="shared" ref="AF37" si="1">SUM(AF6:AF36)</f>
        <v>0</v>
      </c>
      <c r="AG37" s="179">
        <f>SUM(AG6:AG36)</f>
        <v>76910.399999999994</v>
      </c>
    </row>
    <row r="38" spans="1:33" ht="14">
      <c r="C38" s="86"/>
      <c r="D38" s="256"/>
      <c r="E38" s="86"/>
      <c r="F38" s="86"/>
      <c r="G38" s="86"/>
      <c r="H38" s="86"/>
      <c r="I38" s="86"/>
      <c r="J38" s="86"/>
      <c r="K38" s="86"/>
      <c r="L38" s="86"/>
      <c r="M38" s="86"/>
      <c r="O38" s="86"/>
      <c r="AC38" s="28"/>
      <c r="AE38" s="308"/>
      <c r="AG38" s="308"/>
    </row>
    <row r="39" spans="1:33">
      <c r="A39" s="83" t="s">
        <v>202</v>
      </c>
      <c r="B39" s="254"/>
      <c r="C39" s="86"/>
      <c r="D39" s="256"/>
      <c r="E39" s="86"/>
      <c r="F39" s="86"/>
      <c r="G39" s="86"/>
      <c r="H39" s="86"/>
      <c r="I39" s="86"/>
      <c r="J39" s="86"/>
      <c r="K39" s="86"/>
      <c r="L39" s="86"/>
      <c r="M39" s="86"/>
      <c r="O39" s="86"/>
      <c r="U39" s="103"/>
      <c r="W39" s="103"/>
      <c r="Y39" s="103"/>
      <c r="AA39" s="103"/>
      <c r="AC39" s="103"/>
      <c r="AE39" s="103"/>
      <c r="AG39" s="103"/>
    </row>
    <row r="40" spans="1:33">
      <c r="A40" s="20" t="s">
        <v>5</v>
      </c>
      <c r="C40" s="86">
        <v>93372</v>
      </c>
      <c r="D40" s="256"/>
      <c r="E40" s="86">
        <v>0</v>
      </c>
      <c r="F40" s="86"/>
      <c r="G40" s="86">
        <v>0</v>
      </c>
      <c r="H40" s="86"/>
      <c r="I40" s="86">
        <v>0</v>
      </c>
      <c r="J40" s="86"/>
      <c r="K40" s="86">
        <v>0</v>
      </c>
      <c r="L40" s="86"/>
      <c r="M40" s="86">
        <v>0</v>
      </c>
      <c r="O40" s="86">
        <v>0</v>
      </c>
      <c r="Q40" s="86">
        <v>0</v>
      </c>
      <c r="S40" s="86">
        <v>0</v>
      </c>
      <c r="U40" s="86">
        <v>0</v>
      </c>
      <c r="W40" s="86">
        <v>0</v>
      </c>
      <c r="Y40" s="86">
        <v>0</v>
      </c>
      <c r="AA40" s="86">
        <v>0</v>
      </c>
      <c r="AC40" s="86">
        <v>0</v>
      </c>
      <c r="AE40" s="86">
        <v>0</v>
      </c>
      <c r="AG40" s="86">
        <v>0</v>
      </c>
    </row>
    <row r="41" spans="1:33">
      <c r="A41" s="20" t="s">
        <v>52</v>
      </c>
      <c r="C41" s="86">
        <v>0</v>
      </c>
      <c r="D41" s="256"/>
      <c r="E41" s="86">
        <v>0</v>
      </c>
      <c r="F41" s="86"/>
      <c r="G41" s="86">
        <v>11957</v>
      </c>
      <c r="H41" s="86"/>
      <c r="I41" s="86">
        <v>86082</v>
      </c>
      <c r="J41" s="86"/>
      <c r="K41" s="86">
        <v>89700</v>
      </c>
      <c r="L41" s="86"/>
      <c r="M41" s="86">
        <v>129723</v>
      </c>
      <c r="O41" s="86">
        <v>488193.260953244</v>
      </c>
      <c r="Q41" s="86">
        <v>911445.31316020794</v>
      </c>
      <c r="S41" s="86">
        <v>589256.59236158896</v>
      </c>
      <c r="U41" s="86">
        <v>213432.97693955409</v>
      </c>
      <c r="W41" s="86">
        <v>84000</v>
      </c>
      <c r="Y41" s="86">
        <v>57000</v>
      </c>
      <c r="AA41" s="86">
        <v>1128450</v>
      </c>
      <c r="AC41" s="86">
        <v>137556</v>
      </c>
      <c r="AE41" s="86">
        <v>453758</v>
      </c>
      <c r="AG41" s="86">
        <v>0</v>
      </c>
    </row>
    <row r="42" spans="1:33">
      <c r="A42" s="20" t="s">
        <v>58</v>
      </c>
      <c r="C42" s="86">
        <v>-969096</v>
      </c>
      <c r="D42" s="256"/>
      <c r="E42" s="86">
        <v>-245345</v>
      </c>
      <c r="F42" s="86"/>
      <c r="G42" s="86">
        <v>-38</v>
      </c>
      <c r="H42" s="86"/>
      <c r="I42" s="86">
        <v>-1282</v>
      </c>
      <c r="J42" s="86"/>
      <c r="K42" s="86">
        <f>-1885+40</f>
        <v>-1845</v>
      </c>
      <c r="L42" s="86"/>
      <c r="M42" s="86">
        <v>-4948</v>
      </c>
      <c r="O42" s="86">
        <v>-298.20415892751038</v>
      </c>
      <c r="Q42" s="86">
        <v>-280</v>
      </c>
      <c r="S42" s="86">
        <v>-572.95923000000005</v>
      </c>
      <c r="U42" s="86">
        <v>-2093.0425433987716</v>
      </c>
      <c r="W42" s="86">
        <v>-666</v>
      </c>
      <c r="Y42" s="86">
        <v>-2670</v>
      </c>
      <c r="AA42" s="86">
        <v>-4122</v>
      </c>
      <c r="AC42" s="86">
        <v>-5423</v>
      </c>
      <c r="AE42" s="86">
        <v>-3960</v>
      </c>
      <c r="AG42" s="86">
        <v>-913.5</v>
      </c>
    </row>
    <row r="43" spans="1:33" ht="13.5" customHeight="1">
      <c r="A43" s="20" t="s">
        <v>167</v>
      </c>
      <c r="C43" s="86">
        <v>0</v>
      </c>
      <c r="D43" s="256"/>
      <c r="E43" s="86">
        <v>0</v>
      </c>
      <c r="F43" s="86"/>
      <c r="G43" s="86">
        <v>-370454</v>
      </c>
      <c r="H43" s="86"/>
      <c r="I43" s="86">
        <v>-2015999</v>
      </c>
      <c r="J43" s="86"/>
      <c r="K43" s="86">
        <v>-166028.4</v>
      </c>
      <c r="L43" s="86"/>
      <c r="M43" s="86">
        <v>-1243507</v>
      </c>
      <c r="O43" s="59">
        <v>-229880.33486325899</v>
      </c>
      <c r="Q43" s="59">
        <v>-195101.75516558331</v>
      </c>
      <c r="S43" s="59">
        <v>-54991.368036590102</v>
      </c>
      <c r="U43" s="59">
        <v>-334841.9459195559</v>
      </c>
      <c r="W43" s="59">
        <v>-564146</v>
      </c>
      <c r="Y43" s="59">
        <v>-196765</v>
      </c>
      <c r="AA43" s="59">
        <v>-179555</v>
      </c>
      <c r="AC43" s="59">
        <v>-770890</v>
      </c>
      <c r="AE43" s="59">
        <v>-352466</v>
      </c>
      <c r="AG43" s="59">
        <v>-73818.2</v>
      </c>
    </row>
    <row r="44" spans="1:33">
      <c r="A44" s="20" t="s">
        <v>324</v>
      </c>
      <c r="C44" s="86">
        <v>0</v>
      </c>
      <c r="E44" s="86">
        <v>0</v>
      </c>
      <c r="G44" s="86">
        <v>0</v>
      </c>
      <c r="I44" s="86">
        <v>0</v>
      </c>
      <c r="K44" s="86">
        <v>0</v>
      </c>
      <c r="L44" s="86"/>
      <c r="M44" s="86">
        <v>67609</v>
      </c>
      <c r="O44" s="86">
        <v>0</v>
      </c>
      <c r="Q44" s="86">
        <v>0</v>
      </c>
      <c r="S44" s="86">
        <v>0</v>
      </c>
      <c r="U44" s="86">
        <v>0</v>
      </c>
      <c r="W44" s="86">
        <v>0</v>
      </c>
      <c r="Y44" s="86">
        <v>0</v>
      </c>
      <c r="AA44" s="86">
        <v>0</v>
      </c>
      <c r="AC44" s="86">
        <v>0</v>
      </c>
      <c r="AE44" s="86">
        <v>0</v>
      </c>
      <c r="AG44" s="86">
        <v>0</v>
      </c>
    </row>
    <row r="45" spans="1:33">
      <c r="A45" s="20" t="s">
        <v>364</v>
      </c>
      <c r="C45" s="86">
        <v>0</v>
      </c>
      <c r="E45" s="86">
        <v>0</v>
      </c>
      <c r="G45" s="86">
        <v>0</v>
      </c>
      <c r="I45" s="86">
        <v>0</v>
      </c>
      <c r="K45" s="86">
        <v>0</v>
      </c>
      <c r="L45" s="86"/>
      <c r="M45" s="86">
        <v>0</v>
      </c>
      <c r="O45" s="86">
        <v>0</v>
      </c>
      <c r="Q45" s="86">
        <v>1832199.73266</v>
      </c>
      <c r="S45" s="86">
        <v>1040501.9504100002</v>
      </c>
      <c r="U45" s="86">
        <v>211679.47217449904</v>
      </c>
      <c r="W45" s="86">
        <v>240249</v>
      </c>
      <c r="Y45" s="86">
        <v>0</v>
      </c>
      <c r="AA45" s="86">
        <v>0</v>
      </c>
      <c r="AC45" s="86">
        <v>0</v>
      </c>
      <c r="AE45" s="86">
        <v>0</v>
      </c>
      <c r="AG45" s="86">
        <v>0</v>
      </c>
    </row>
    <row r="46" spans="1:33">
      <c r="A46" s="20" t="s">
        <v>594</v>
      </c>
      <c r="C46" s="86">
        <v>0</v>
      </c>
      <c r="E46" s="86">
        <v>0</v>
      </c>
      <c r="G46" s="86">
        <v>0</v>
      </c>
      <c r="I46" s="86">
        <v>0</v>
      </c>
      <c r="K46" s="86">
        <v>0</v>
      </c>
      <c r="L46" s="86">
        <v>0</v>
      </c>
      <c r="M46" s="86">
        <v>0</v>
      </c>
      <c r="O46" s="86">
        <v>0</v>
      </c>
      <c r="Q46" s="86">
        <v>0</v>
      </c>
      <c r="S46" s="86">
        <v>0</v>
      </c>
      <c r="U46" s="86">
        <v>-248421</v>
      </c>
      <c r="W46" s="86">
        <v>-637814</v>
      </c>
      <c r="Y46" s="59">
        <v>470499</v>
      </c>
      <c r="AA46" s="59">
        <v>412543</v>
      </c>
      <c r="AC46" s="59">
        <v>100441</v>
      </c>
      <c r="AE46" s="59">
        <v>111463</v>
      </c>
      <c r="AG46" s="59">
        <v>0</v>
      </c>
    </row>
    <row r="47" spans="1:33">
      <c r="A47" s="20" t="s">
        <v>13</v>
      </c>
      <c r="C47" s="86">
        <v>19936</v>
      </c>
      <c r="D47" s="256"/>
      <c r="E47" s="86">
        <v>-9842</v>
      </c>
      <c r="F47" s="86"/>
      <c r="G47" s="86">
        <v>23170</v>
      </c>
      <c r="H47" s="86"/>
      <c r="I47" s="86">
        <v>46350</v>
      </c>
      <c r="J47" s="86"/>
      <c r="K47" s="86">
        <v>-65609</v>
      </c>
      <c r="L47" s="86"/>
      <c r="M47" s="86">
        <v>-3250</v>
      </c>
      <c r="O47" s="86">
        <v>0</v>
      </c>
      <c r="P47" s="86"/>
      <c r="Q47" s="86">
        <v>6362.7185995113232</v>
      </c>
      <c r="S47" s="86">
        <v>-453.25162999999998</v>
      </c>
      <c r="U47" s="86">
        <v>0</v>
      </c>
      <c r="W47" s="86">
        <v>-25000</v>
      </c>
      <c r="Y47" s="86">
        <v>-27896</v>
      </c>
      <c r="AA47" s="86">
        <v>-588333</v>
      </c>
      <c r="AC47" s="86">
        <v>-2374</v>
      </c>
      <c r="AE47" s="86">
        <v>-827950</v>
      </c>
      <c r="AG47" s="86">
        <v>-18737.7</v>
      </c>
    </row>
    <row r="48" spans="1:33">
      <c r="A48" s="83" t="s">
        <v>203</v>
      </c>
      <c r="B48" s="254"/>
      <c r="C48" s="179">
        <f>SUM(C40:C47)</f>
        <v>-855788</v>
      </c>
      <c r="D48" s="255"/>
      <c r="E48" s="179">
        <f>SUM(E40:E47)</f>
        <v>-255187</v>
      </c>
      <c r="F48" s="193"/>
      <c r="G48" s="179">
        <f>SUM(G40:G47)</f>
        <v>-335365</v>
      </c>
      <c r="H48" s="193"/>
      <c r="I48" s="179">
        <f>SUM(I40:I47)</f>
        <v>-1884849</v>
      </c>
      <c r="J48" s="177"/>
      <c r="K48" s="179">
        <f>SUM(K40:K47)</f>
        <v>-143782.39999999999</v>
      </c>
      <c r="L48" s="177"/>
      <c r="M48" s="179">
        <f>SUM(M40:M47)</f>
        <v>-1054373</v>
      </c>
      <c r="O48" s="179">
        <f>SUM(O40:O47)</f>
        <v>258014.72193105752</v>
      </c>
      <c r="Q48" s="179">
        <f>SUM(Q40:Q47)</f>
        <v>2554626.0092541361</v>
      </c>
      <c r="S48" s="179">
        <f>SUM(S40:S47)</f>
        <v>1573740.963874999</v>
      </c>
      <c r="T48" s="179"/>
      <c r="U48" s="179">
        <f>SUM(U40:U47)</f>
        <v>-160243.53934890154</v>
      </c>
      <c r="V48" s="179"/>
      <c r="W48" s="179">
        <f>SUM(W40:W47)</f>
        <v>-903377</v>
      </c>
      <c r="X48" s="179"/>
      <c r="Y48" s="179">
        <f>SUM(Y40:Y47)</f>
        <v>300168</v>
      </c>
      <c r="Z48" s="179"/>
      <c r="AA48" s="179">
        <f>SUM(AA40:AA47)</f>
        <v>768983</v>
      </c>
      <c r="AB48" s="179"/>
      <c r="AC48" s="179">
        <f>SUM(AC40:AC47)</f>
        <v>-540690</v>
      </c>
      <c r="AD48" s="179"/>
      <c r="AE48" s="179">
        <f>SUM(AE40:AE47)</f>
        <v>-619155</v>
      </c>
      <c r="AF48" s="179"/>
      <c r="AG48" s="179">
        <f>SUM(AG40:AG47)</f>
        <v>-93469.4</v>
      </c>
    </row>
    <row r="49" spans="1:33">
      <c r="C49" s="86"/>
      <c r="D49" s="256"/>
      <c r="E49" s="86"/>
      <c r="F49" s="86"/>
      <c r="G49" s="86"/>
      <c r="H49" s="86"/>
      <c r="I49" s="86"/>
      <c r="J49" s="86"/>
      <c r="K49" s="86"/>
      <c r="L49" s="86"/>
      <c r="M49" s="86"/>
      <c r="O49" s="86"/>
    </row>
    <row r="50" spans="1:33">
      <c r="A50" s="83" t="s">
        <v>199</v>
      </c>
      <c r="B50" s="254"/>
      <c r="C50" s="86"/>
      <c r="D50" s="256"/>
      <c r="E50" s="86"/>
      <c r="F50" s="86"/>
      <c r="G50" s="86"/>
      <c r="H50" s="86"/>
      <c r="I50" s="86"/>
      <c r="J50" s="86"/>
      <c r="K50" s="86"/>
      <c r="L50" s="86"/>
      <c r="M50" s="86"/>
      <c r="O50" s="86"/>
    </row>
    <row r="51" spans="1:33">
      <c r="A51" s="20" t="s">
        <v>47</v>
      </c>
      <c r="C51" s="86">
        <v>497605</v>
      </c>
      <c r="D51" s="256"/>
      <c r="E51" s="86">
        <v>87368</v>
      </c>
      <c r="F51" s="86"/>
      <c r="G51" s="86">
        <v>80000.399999999994</v>
      </c>
      <c r="H51" s="86"/>
      <c r="I51" s="86">
        <v>1529070.5</v>
      </c>
      <c r="J51" s="86"/>
      <c r="K51" s="86">
        <v>378016</v>
      </c>
      <c r="L51" s="86"/>
      <c r="M51" s="86">
        <v>1949143</v>
      </c>
      <c r="O51" s="86">
        <v>1112837.4246800002</v>
      </c>
      <c r="Q51" s="86">
        <v>527536.67945060669</v>
      </c>
      <c r="S51" s="86">
        <v>32518.5</v>
      </c>
      <c r="U51" s="86">
        <v>970000</v>
      </c>
      <c r="W51" s="86">
        <v>525000</v>
      </c>
      <c r="Y51" s="86">
        <v>1140740</v>
      </c>
      <c r="AA51" s="86">
        <v>0</v>
      </c>
      <c r="AC51" s="86">
        <v>800000</v>
      </c>
      <c r="AE51" s="86">
        <v>750000</v>
      </c>
      <c r="AG51" s="86">
        <v>0</v>
      </c>
    </row>
    <row r="52" spans="1:33">
      <c r="A52" s="20" t="s">
        <v>48</v>
      </c>
      <c r="C52" s="86">
        <v>-16460</v>
      </c>
      <c r="D52" s="258"/>
      <c r="E52" s="86">
        <v>-73272</v>
      </c>
      <c r="F52" s="86"/>
      <c r="G52" s="86">
        <v>-57253</v>
      </c>
      <c r="H52" s="86"/>
      <c r="I52" s="86">
        <v>-367206</v>
      </c>
      <c r="J52" s="86"/>
      <c r="K52" s="86">
        <v>-360267</v>
      </c>
      <c r="L52" s="86"/>
      <c r="M52" s="86">
        <v>-1883006</v>
      </c>
      <c r="O52" s="86">
        <v>-1471602.1173747878</v>
      </c>
      <c r="Q52" s="86">
        <v>-2146716.1916026976</v>
      </c>
      <c r="S52" s="86">
        <v>-681673.40760000004</v>
      </c>
      <c r="U52" s="86">
        <v>-1452998.3521550002</v>
      </c>
      <c r="W52" s="86">
        <v>-1382069</v>
      </c>
      <c r="Y52" s="86">
        <v>-789934</v>
      </c>
      <c r="AA52" s="86">
        <v>-1873462</v>
      </c>
      <c r="AC52" s="86">
        <v>-416891</v>
      </c>
      <c r="AE52" s="86">
        <v>-289630</v>
      </c>
      <c r="AG52" s="86">
        <v>-88561.600000000006</v>
      </c>
    </row>
    <row r="53" spans="1:33">
      <c r="A53" s="257" t="s">
        <v>335</v>
      </c>
      <c r="C53" s="86">
        <v>0</v>
      </c>
      <c r="E53" s="86">
        <v>0</v>
      </c>
      <c r="G53" s="86">
        <v>0</v>
      </c>
      <c r="I53" s="86">
        <v>0</v>
      </c>
      <c r="K53" s="86">
        <v>0</v>
      </c>
      <c r="L53" s="86"/>
      <c r="M53" s="86">
        <v>8442</v>
      </c>
      <c r="O53" s="59">
        <v>23323.67453</v>
      </c>
      <c r="Q53" s="59">
        <v>14066.97781</v>
      </c>
      <c r="S53" s="59">
        <v>28540.008249999999</v>
      </c>
      <c r="U53" s="59">
        <v>8497.4314900000008</v>
      </c>
      <c r="W53" s="59">
        <v>726</v>
      </c>
      <c r="Y53" s="59">
        <v>19700</v>
      </c>
      <c r="AA53" s="59">
        <v>17780</v>
      </c>
      <c r="AC53" s="59">
        <v>0</v>
      </c>
      <c r="AE53" s="59">
        <v>0</v>
      </c>
      <c r="AG53" s="59">
        <v>0</v>
      </c>
    </row>
    <row r="54" spans="1:33">
      <c r="A54" s="20" t="s">
        <v>336</v>
      </c>
      <c r="C54" s="86">
        <v>0</v>
      </c>
      <c r="E54" s="86">
        <v>0</v>
      </c>
      <c r="G54" s="86">
        <v>0</v>
      </c>
      <c r="I54" s="86">
        <v>0</v>
      </c>
      <c r="K54" s="86">
        <v>0</v>
      </c>
      <c r="L54" s="86"/>
      <c r="M54" s="86">
        <v>-1158</v>
      </c>
      <c r="O54" s="86">
        <v>0</v>
      </c>
      <c r="Q54" s="86">
        <v>0</v>
      </c>
      <c r="S54" s="86">
        <v>0</v>
      </c>
      <c r="U54" s="86">
        <v>-16306.87405</v>
      </c>
      <c r="W54" s="86">
        <v>-9802</v>
      </c>
      <c r="Y54" s="86">
        <v>0</v>
      </c>
      <c r="AA54" s="86">
        <v>-29082</v>
      </c>
      <c r="AC54" s="86">
        <v>0</v>
      </c>
      <c r="AE54" s="86">
        <v>0</v>
      </c>
      <c r="AG54" s="86">
        <v>0</v>
      </c>
    </row>
    <row r="55" spans="1:33">
      <c r="A55" s="20" t="s">
        <v>49</v>
      </c>
      <c r="C55" s="86">
        <v>597033</v>
      </c>
      <c r="D55" s="256"/>
      <c r="E55" s="86">
        <v>389</v>
      </c>
      <c r="F55" s="86"/>
      <c r="G55" s="86">
        <v>221787</v>
      </c>
      <c r="H55" s="86"/>
      <c r="I55" s="86">
        <v>750724.5</v>
      </c>
      <c r="J55" s="86"/>
      <c r="K55" s="86">
        <v>692062</v>
      </c>
      <c r="L55" s="86"/>
      <c r="M55" s="86">
        <v>16978</v>
      </c>
      <c r="O55" s="86">
        <v>9716.5018600001295</v>
      </c>
      <c r="Q55" s="86">
        <v>4818.6772199999996</v>
      </c>
      <c r="S55" s="86">
        <v>0</v>
      </c>
      <c r="U55" s="86">
        <v>0</v>
      </c>
      <c r="W55" s="86">
        <v>952935</v>
      </c>
      <c r="Y55" s="86">
        <v>0</v>
      </c>
      <c r="AA55" s="86">
        <v>1054688</v>
      </c>
      <c r="AC55" s="86">
        <v>0</v>
      </c>
      <c r="AE55" s="86">
        <v>0</v>
      </c>
      <c r="AG55" s="86">
        <v>0</v>
      </c>
    </row>
    <row r="56" spans="1:33">
      <c r="A56" s="20" t="s">
        <v>54</v>
      </c>
      <c r="C56" s="86">
        <v>0</v>
      </c>
      <c r="D56" s="256"/>
      <c r="E56" s="86">
        <v>0</v>
      </c>
      <c r="F56" s="86"/>
      <c r="G56" s="86">
        <v>0</v>
      </c>
      <c r="H56" s="86"/>
      <c r="I56" s="86">
        <v>-25698</v>
      </c>
      <c r="J56" s="86"/>
      <c r="K56" s="86">
        <v>-21591</v>
      </c>
      <c r="L56" s="86"/>
      <c r="M56" s="86">
        <v>0</v>
      </c>
      <c r="O56" s="86">
        <v>0</v>
      </c>
      <c r="Q56" s="86">
        <v>0</v>
      </c>
      <c r="S56" s="86">
        <v>0</v>
      </c>
      <c r="U56" s="86">
        <v>0</v>
      </c>
      <c r="W56" s="86">
        <v>-14468</v>
      </c>
      <c r="Y56" s="86">
        <v>0</v>
      </c>
      <c r="AA56" s="86">
        <v>-39646</v>
      </c>
      <c r="AC56" s="86">
        <v>-197.8</v>
      </c>
      <c r="AE56" s="86">
        <v>0</v>
      </c>
      <c r="AG56" s="86">
        <v>0</v>
      </c>
    </row>
    <row r="57" spans="1:33">
      <c r="A57" s="20" t="s">
        <v>259</v>
      </c>
      <c r="C57" s="86">
        <v>0</v>
      </c>
      <c r="D57" s="256"/>
      <c r="E57" s="86">
        <v>0</v>
      </c>
      <c r="F57" s="86"/>
      <c r="G57" s="86">
        <v>0</v>
      </c>
      <c r="H57" s="86"/>
      <c r="I57" s="86">
        <v>0</v>
      </c>
      <c r="J57" s="86"/>
      <c r="K57" s="86">
        <v>-15132</v>
      </c>
      <c r="L57" s="86"/>
      <c r="M57" s="86">
        <v>-60000</v>
      </c>
      <c r="O57" s="86">
        <v>-160000</v>
      </c>
      <c r="Q57" s="86">
        <v>-1796463.7420882117</v>
      </c>
      <c r="S57" s="86">
        <v>-662817.81149999984</v>
      </c>
      <c r="U57" s="86">
        <v>-2723.240040000001</v>
      </c>
      <c r="W57" s="86">
        <v>-6851</v>
      </c>
      <c r="Y57" s="86">
        <v>-65792</v>
      </c>
      <c r="AA57" s="86">
        <v>0</v>
      </c>
      <c r="AC57" s="86">
        <v>-42000</v>
      </c>
      <c r="AE57" s="86">
        <v>-94723</v>
      </c>
      <c r="AG57" s="86">
        <v>0</v>
      </c>
    </row>
    <row r="58" spans="1:33">
      <c r="A58" s="20" t="s">
        <v>337</v>
      </c>
      <c r="B58" s="28">
        <v>-2480</v>
      </c>
      <c r="C58" s="86">
        <v>0</v>
      </c>
      <c r="D58" s="256"/>
      <c r="E58" s="86">
        <v>0</v>
      </c>
      <c r="F58" s="86"/>
      <c r="G58" s="86">
        <v>0</v>
      </c>
      <c r="H58" s="86"/>
      <c r="I58" s="86">
        <v>0</v>
      </c>
      <c r="J58" s="86"/>
      <c r="K58" s="86">
        <v>0</v>
      </c>
      <c r="L58" s="86"/>
      <c r="M58" s="86">
        <v>-1615</v>
      </c>
      <c r="O58" s="86">
        <v>-225950.23863000001</v>
      </c>
      <c r="Q58" s="86">
        <v>-52910.386500000001</v>
      </c>
      <c r="S58" s="86">
        <v>0</v>
      </c>
      <c r="U58" s="86">
        <v>0</v>
      </c>
      <c r="W58" s="86">
        <v>-8811</v>
      </c>
      <c r="Y58" s="86">
        <v>-25742</v>
      </c>
      <c r="AA58" s="86">
        <v>1489</v>
      </c>
      <c r="AC58" s="86">
        <v>-45360</v>
      </c>
      <c r="AE58" s="86">
        <v>-167244</v>
      </c>
      <c r="AG58" s="86">
        <v>0</v>
      </c>
    </row>
    <row r="59" spans="1:33">
      <c r="A59" s="20" t="s">
        <v>404</v>
      </c>
      <c r="C59" s="86">
        <v>0</v>
      </c>
      <c r="D59" s="256"/>
      <c r="E59" s="86">
        <v>0</v>
      </c>
      <c r="F59" s="86"/>
      <c r="G59" s="86">
        <v>0</v>
      </c>
      <c r="H59" s="86">
        <v>0</v>
      </c>
      <c r="I59" s="86">
        <v>0</v>
      </c>
      <c r="J59" s="86"/>
      <c r="K59" s="86">
        <v>0</v>
      </c>
      <c r="L59" s="86"/>
      <c r="M59" s="86">
        <v>0</v>
      </c>
      <c r="O59" s="86">
        <v>0</v>
      </c>
      <c r="Q59" s="86">
        <v>0</v>
      </c>
      <c r="S59" s="86">
        <v>0</v>
      </c>
      <c r="U59" s="86">
        <v>-61631.745939999964</v>
      </c>
      <c r="W59" s="86">
        <v>-6474</v>
      </c>
      <c r="Y59" s="86">
        <v>-25856</v>
      </c>
      <c r="AA59" s="86">
        <v>-6909</v>
      </c>
      <c r="AC59" s="86">
        <v>-11020</v>
      </c>
      <c r="AE59" s="86">
        <v>-9104</v>
      </c>
      <c r="AG59" s="86">
        <v>0</v>
      </c>
    </row>
    <row r="60" spans="1:33">
      <c r="A60" s="20" t="s">
        <v>677</v>
      </c>
      <c r="C60" s="86">
        <v>0</v>
      </c>
      <c r="D60" s="256"/>
      <c r="E60" s="86">
        <v>0</v>
      </c>
      <c r="F60" s="86"/>
      <c r="G60" s="86">
        <v>0</v>
      </c>
      <c r="H60" s="86"/>
      <c r="I60" s="86">
        <v>0</v>
      </c>
      <c r="J60" s="86"/>
      <c r="K60" s="86">
        <v>0</v>
      </c>
      <c r="L60" s="86"/>
      <c r="M60" s="86">
        <v>0</v>
      </c>
      <c r="O60" s="86">
        <v>0</v>
      </c>
      <c r="Q60" s="86">
        <v>0</v>
      </c>
      <c r="S60" s="86">
        <v>0</v>
      </c>
      <c r="U60" s="86">
        <v>0</v>
      </c>
      <c r="W60" s="86">
        <v>0</v>
      </c>
      <c r="Y60" s="86">
        <v>0</v>
      </c>
      <c r="AA60" s="86">
        <v>0</v>
      </c>
      <c r="AC60" s="86">
        <v>0</v>
      </c>
      <c r="AE60" s="86">
        <v>3602</v>
      </c>
      <c r="AG60" s="86">
        <v>0</v>
      </c>
    </row>
    <row r="61" spans="1:33">
      <c r="A61" s="83" t="s">
        <v>200</v>
      </c>
      <c r="B61" s="254"/>
      <c r="C61" s="179">
        <f>SUM(C51:C60)</f>
        <v>1078178</v>
      </c>
      <c r="D61" s="255"/>
      <c r="E61" s="179">
        <f>SUM(E51:E60)</f>
        <v>14485</v>
      </c>
      <c r="F61" s="193"/>
      <c r="G61" s="179">
        <f>SUM(G51:G60)</f>
        <v>244534.39999999999</v>
      </c>
      <c r="H61" s="193"/>
      <c r="I61" s="179">
        <f>SUM(I51:I60)</f>
        <v>1886891</v>
      </c>
      <c r="J61" s="177"/>
      <c r="K61" s="179">
        <f>SUM(K51:K60)</f>
        <v>673088</v>
      </c>
      <c r="L61" s="177"/>
      <c r="M61" s="179">
        <f>SUM(M51:M60)</f>
        <v>28784</v>
      </c>
      <c r="O61" s="179">
        <f>SUM(O51:O60)</f>
        <v>-711674.75493478752</v>
      </c>
      <c r="Q61" s="179">
        <f>SUM(Q51:Q60)</f>
        <v>-3449667.9857103024</v>
      </c>
      <c r="S61" s="179">
        <f>SUM(S51:S60)</f>
        <v>-1283432.7108499999</v>
      </c>
      <c r="T61" s="179"/>
      <c r="U61" s="179">
        <f>SUM(U51:U60)</f>
        <v>-555162.7806950002</v>
      </c>
      <c r="V61" s="179"/>
      <c r="W61" s="179">
        <f>SUM(W51:W60)</f>
        <v>50186</v>
      </c>
      <c r="X61" s="179"/>
      <c r="Y61" s="179">
        <f>SUM(Y51:Y60)</f>
        <v>253116</v>
      </c>
      <c r="Z61" s="179"/>
      <c r="AA61" s="179">
        <f>SUM(AA51:AA60)</f>
        <v>-875142</v>
      </c>
      <c r="AB61" s="179"/>
      <c r="AC61" s="179">
        <f>SUM(AC51:AC60)</f>
        <v>284531.20000000001</v>
      </c>
      <c r="AD61" s="179"/>
      <c r="AE61" s="179">
        <f>SUM(AE51:AE60)</f>
        <v>192901</v>
      </c>
      <c r="AF61" s="179"/>
      <c r="AG61" s="179">
        <f>SUM(AG51:AG60)</f>
        <v>-88561.600000000006</v>
      </c>
    </row>
    <row r="62" spans="1:33">
      <c r="C62" s="86"/>
      <c r="D62" s="256"/>
      <c r="E62" s="86"/>
      <c r="F62" s="86"/>
      <c r="G62" s="86"/>
      <c r="H62" s="86"/>
      <c r="I62" s="86"/>
      <c r="J62" s="86"/>
      <c r="K62" s="86"/>
      <c r="L62" s="86"/>
      <c r="M62" s="86"/>
      <c r="O62" s="86"/>
    </row>
    <row r="63" spans="1:33">
      <c r="C63" s="193">
        <f>C37+C48+C61</f>
        <v>280975</v>
      </c>
      <c r="D63" s="255"/>
      <c r="E63" s="193">
        <f>E37+E48+E61</f>
        <v>-158269</v>
      </c>
      <c r="F63" s="193"/>
      <c r="G63" s="193">
        <f>G37+G48+G61</f>
        <v>-33335.300000000017</v>
      </c>
      <c r="H63" s="193"/>
      <c r="I63" s="193">
        <f>I37+I48+I61</f>
        <v>143084</v>
      </c>
      <c r="J63" s="193"/>
      <c r="K63" s="193">
        <f>K37+K48+K61</f>
        <v>799894.2</v>
      </c>
      <c r="L63" s="193"/>
      <c r="M63" s="193">
        <f>M37+M48+M61</f>
        <v>-458780</v>
      </c>
      <c r="O63" s="193">
        <f>O37+O48+O61</f>
        <v>375240.56825925666</v>
      </c>
      <c r="Q63" s="193">
        <f>Q37+Q48+Q61</f>
        <v>-355541.99999999953</v>
      </c>
      <c r="S63" s="193">
        <f>S37+S48+S61</f>
        <v>634983.15239421022</v>
      </c>
      <c r="T63" s="193">
        <f>T37+T48+T61</f>
        <v>0</v>
      </c>
      <c r="U63" s="193">
        <f>U37+U48+U61</f>
        <v>-522900.27808476367</v>
      </c>
      <c r="V63" s="193"/>
      <c r="W63" s="193">
        <f t="shared" ref="W63:AD63" si="2">W37+W48+W61</f>
        <v>-582390</v>
      </c>
      <c r="X63" s="193">
        <f t="shared" si="2"/>
        <v>0</v>
      </c>
      <c r="Y63" s="193">
        <f t="shared" si="2"/>
        <v>891811</v>
      </c>
      <c r="Z63" s="193">
        <f t="shared" si="2"/>
        <v>0</v>
      </c>
      <c r="AA63" s="193">
        <f t="shared" si="2"/>
        <v>148511</v>
      </c>
      <c r="AB63" s="193">
        <f t="shared" si="2"/>
        <v>0</v>
      </c>
      <c r="AC63" s="193">
        <f t="shared" si="2"/>
        <v>-76364.700000000012</v>
      </c>
      <c r="AD63" s="193">
        <f t="shared" si="2"/>
        <v>0</v>
      </c>
      <c r="AE63" s="193">
        <f>AE37+AE48+AE61</f>
        <v>-139547</v>
      </c>
      <c r="AF63" s="193">
        <f t="shared" ref="AF63" si="3">AF37+AF48+AF61</f>
        <v>0</v>
      </c>
      <c r="AG63" s="193">
        <f>AG37+AG48+AG61</f>
        <v>-105120.6</v>
      </c>
    </row>
    <row r="64" spans="1:33">
      <c r="C64" s="86"/>
      <c r="D64" s="256"/>
      <c r="E64" s="86"/>
      <c r="F64" s="86"/>
      <c r="G64" s="86"/>
      <c r="H64" s="86"/>
      <c r="I64" s="86"/>
      <c r="J64" s="86"/>
      <c r="K64" s="86"/>
      <c r="L64" s="86"/>
      <c r="M64" s="86"/>
      <c r="O64" s="86"/>
    </row>
    <row r="65" spans="1:33">
      <c r="A65" s="20" t="s">
        <v>50</v>
      </c>
      <c r="C65" s="86">
        <v>1</v>
      </c>
      <c r="D65" s="256"/>
      <c r="E65" s="86">
        <v>280976</v>
      </c>
      <c r="F65" s="86"/>
      <c r="G65" s="86">
        <v>122707.4</v>
      </c>
      <c r="H65" s="86"/>
      <c r="I65" s="86">
        <v>89372.5</v>
      </c>
      <c r="J65" s="86"/>
      <c r="K65" s="86">
        <v>232456.4</v>
      </c>
      <c r="L65" s="86"/>
      <c r="M65" s="86">
        <v>1032350</v>
      </c>
      <c r="O65" s="86">
        <v>575623</v>
      </c>
      <c r="Q65" s="86">
        <v>950864</v>
      </c>
      <c r="S65" s="86">
        <v>595322.33178964665</v>
      </c>
      <c r="U65" s="86">
        <v>1230305</v>
      </c>
      <c r="W65" s="86">
        <v>707405</v>
      </c>
      <c r="Y65" s="86">
        <v>125015</v>
      </c>
      <c r="AA65" s="86">
        <v>1016826</v>
      </c>
      <c r="AC65" s="86">
        <v>1165337</v>
      </c>
      <c r="AE65" s="86">
        <v>1088972</v>
      </c>
      <c r="AG65" s="86">
        <v>949424.96600000001</v>
      </c>
    </row>
    <row r="66" spans="1:33">
      <c r="A66" s="20" t="s">
        <v>51</v>
      </c>
      <c r="C66" s="86">
        <f>C65+C63</f>
        <v>280976</v>
      </c>
      <c r="D66" s="196"/>
      <c r="E66" s="86">
        <f>E65+E63</f>
        <v>122707</v>
      </c>
      <c r="F66" s="86"/>
      <c r="G66" s="86">
        <v>89372.5</v>
      </c>
      <c r="H66" s="86"/>
      <c r="I66" s="86">
        <v>232456.4</v>
      </c>
      <c r="J66" s="86"/>
      <c r="K66" s="86">
        <v>1032350.1282480547</v>
      </c>
      <c r="L66" s="86"/>
      <c r="M66" s="86">
        <v>573570</v>
      </c>
      <c r="O66" s="86">
        <v>950863.90435863915</v>
      </c>
      <c r="Q66" s="86">
        <v>595322</v>
      </c>
      <c r="S66" s="86">
        <v>1230305.4841838572</v>
      </c>
      <c r="U66" s="259">
        <v>707405</v>
      </c>
      <c r="W66" s="259">
        <v>125015</v>
      </c>
      <c r="Y66" s="259">
        <v>1016826</v>
      </c>
      <c r="AA66" s="259">
        <v>1165337</v>
      </c>
      <c r="AC66" s="103">
        <v>1088972</v>
      </c>
      <c r="AE66" s="259">
        <v>949425</v>
      </c>
      <c r="AG66" s="259">
        <v>844303.99399999995</v>
      </c>
    </row>
    <row r="67" spans="1:33">
      <c r="C67" s="86"/>
      <c r="D67" s="196"/>
      <c r="E67" s="86"/>
      <c r="F67" s="86"/>
      <c r="G67" s="86"/>
      <c r="H67" s="86"/>
      <c r="I67" s="86"/>
      <c r="J67" s="86"/>
      <c r="K67" s="86"/>
      <c r="L67" s="86"/>
      <c r="M67" s="86"/>
      <c r="O67" s="86"/>
    </row>
    <row r="68" spans="1:33">
      <c r="A68" s="83" t="s">
        <v>204</v>
      </c>
      <c r="B68" s="254"/>
      <c r="C68" s="193">
        <f>C66-C65</f>
        <v>280975</v>
      </c>
      <c r="D68" s="260"/>
      <c r="E68" s="193">
        <f>E66-E65</f>
        <v>-158269</v>
      </c>
      <c r="F68" s="193"/>
      <c r="G68" s="193">
        <f>G66-G65</f>
        <v>-33334.899999999994</v>
      </c>
      <c r="H68" s="193"/>
      <c r="I68" s="193">
        <f>I66-I65</f>
        <v>143083.9</v>
      </c>
      <c r="J68" s="193"/>
      <c r="K68" s="193">
        <f>K66-K65</f>
        <v>799893.72824805463</v>
      </c>
      <c r="L68" s="193"/>
      <c r="M68" s="193">
        <f>M66-M65</f>
        <v>-458780</v>
      </c>
      <c r="O68" s="193">
        <f>O66-O65</f>
        <v>375240.90435863915</v>
      </c>
      <c r="Q68" s="193">
        <f>Q66-Q65</f>
        <v>-355542</v>
      </c>
      <c r="S68" s="193">
        <f>S66-S65</f>
        <v>634983.15239421057</v>
      </c>
      <c r="T68" s="193">
        <f>T66-T65</f>
        <v>0</v>
      </c>
      <c r="U68" s="193">
        <f>U66-U65</f>
        <v>-522900</v>
      </c>
      <c r="V68" s="193"/>
      <c r="W68" s="193">
        <f>W66-W65</f>
        <v>-582390</v>
      </c>
      <c r="X68" s="193">
        <f t="shared" ref="X68:Z68" si="4">X66-X65</f>
        <v>0</v>
      </c>
      <c r="Y68" s="193">
        <f>Y66-Y65</f>
        <v>891811</v>
      </c>
      <c r="Z68" s="193">
        <f t="shared" si="4"/>
        <v>0</v>
      </c>
      <c r="AA68" s="193">
        <f>AA66-AA65</f>
        <v>148511</v>
      </c>
      <c r="AB68" s="193">
        <f t="shared" ref="AB68" si="5">AB66-AB65</f>
        <v>0</v>
      </c>
      <c r="AC68" s="193">
        <f>AC66-AC65</f>
        <v>-76365</v>
      </c>
      <c r="AD68" s="193">
        <f t="shared" ref="AD68:AF68" si="6">AD66-AD65</f>
        <v>0</v>
      </c>
      <c r="AE68" s="193">
        <f>AE66-AE65</f>
        <v>-139547</v>
      </c>
      <c r="AF68" s="193">
        <f t="shared" si="6"/>
        <v>0</v>
      </c>
      <c r="AG68" s="193">
        <f>AG66-AG65</f>
        <v>-105120.97200000007</v>
      </c>
    </row>
    <row r="69" spans="1:33">
      <c r="AE69" s="103"/>
      <c r="AG69" s="103"/>
    </row>
    <row r="71" spans="1:33">
      <c r="C71" s="49"/>
      <c r="D71" s="196"/>
      <c r="E71" s="49"/>
      <c r="F71" s="196"/>
      <c r="G71" s="49"/>
      <c r="H71" s="196"/>
      <c r="I71" s="49"/>
      <c r="J71" s="196"/>
      <c r="L71" s="196"/>
    </row>
    <row r="72" spans="1:33">
      <c r="A72" s="83"/>
      <c r="B72" s="254"/>
      <c r="C72" s="49"/>
      <c r="D72" s="196"/>
      <c r="E72" s="49"/>
      <c r="F72" s="196"/>
      <c r="G72" s="49"/>
      <c r="H72" s="196"/>
      <c r="I72" s="49"/>
      <c r="J72" s="196"/>
      <c r="L72" s="196"/>
      <c r="O72" s="103"/>
    </row>
    <row r="73" spans="1:33">
      <c r="C73" s="45"/>
      <c r="D73" s="55"/>
      <c r="E73" s="45"/>
      <c r="F73" s="196"/>
      <c r="G73" s="49"/>
      <c r="H73" s="196"/>
      <c r="I73" s="49"/>
      <c r="J73" s="196"/>
      <c r="L73" s="196"/>
    </row>
    <row r="74" spans="1:33">
      <c r="C74" s="45"/>
      <c r="D74" s="55"/>
      <c r="E74" s="45"/>
      <c r="F74" s="196"/>
      <c r="G74" s="49"/>
      <c r="H74" s="196"/>
      <c r="I74" s="49"/>
      <c r="J74" s="196"/>
      <c r="L74" s="196"/>
    </row>
    <row r="75" spans="1:33">
      <c r="C75" s="49"/>
      <c r="D75" s="196"/>
      <c r="E75" s="49"/>
      <c r="F75" s="196"/>
      <c r="G75" s="49"/>
      <c r="H75" s="196"/>
      <c r="I75" s="49"/>
      <c r="J75" s="196"/>
      <c r="L75" s="196"/>
    </row>
    <row r="76" spans="1:33">
      <c r="C76" s="49"/>
      <c r="D76" s="196"/>
      <c r="E76" s="49"/>
      <c r="F76" s="196"/>
      <c r="G76" s="49"/>
      <c r="H76" s="196"/>
      <c r="I76" s="49"/>
      <c r="J76" s="196"/>
      <c r="L76" s="196"/>
    </row>
    <row r="77" spans="1:33">
      <c r="C77" s="49"/>
      <c r="D77" s="196"/>
      <c r="E77" s="49"/>
      <c r="F77" s="196"/>
      <c r="G77" s="49"/>
      <c r="H77" s="196"/>
      <c r="I77" s="49"/>
      <c r="J77" s="196"/>
      <c r="L77" s="196"/>
    </row>
  </sheetData>
  <mergeCells count="1">
    <mergeCell ref="A1:A2"/>
  </mergeCells>
  <pageMargins left="0.25" right="0.25" top="0.75" bottom="0.75" header="0.3" footer="0.3"/>
  <pageSetup paperSize="9" scale="8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Q54"/>
  <sheetViews>
    <sheetView showGridLines="0" topLeftCell="E31" zoomScale="80" zoomScaleNormal="80" workbookViewId="0">
      <selection activeCell="Q2" sqref="Q2"/>
    </sheetView>
  </sheetViews>
  <sheetFormatPr defaultColWidth="8.7265625" defaultRowHeight="13"/>
  <cols>
    <col min="1" max="1" width="51.453125" style="20" bestFit="1" customWidth="1"/>
    <col min="2" max="4" width="10.54296875" style="20" bestFit="1" customWidth="1"/>
    <col min="5" max="17" width="10.54296875" style="20" customWidth="1"/>
    <col min="18" max="16384" width="8.7265625" style="20"/>
  </cols>
  <sheetData>
    <row r="1" spans="1:17">
      <c r="A1" s="22" t="s">
        <v>540</v>
      </c>
      <c r="B1" s="23" t="s">
        <v>599</v>
      </c>
      <c r="C1" s="23" t="s">
        <v>603</v>
      </c>
      <c r="D1" s="23" t="s">
        <v>611</v>
      </c>
      <c r="E1" s="23">
        <v>2018</v>
      </c>
      <c r="F1" s="23" t="s">
        <v>631</v>
      </c>
      <c r="G1" s="23" t="s">
        <v>636</v>
      </c>
      <c r="H1" s="23">
        <v>2019</v>
      </c>
      <c r="I1" s="23" t="s">
        <v>644</v>
      </c>
      <c r="J1" s="23" t="s">
        <v>651</v>
      </c>
      <c r="K1" s="23" t="s">
        <v>657</v>
      </c>
      <c r="L1" s="23">
        <v>2020</v>
      </c>
      <c r="M1" s="276" t="s">
        <v>665</v>
      </c>
      <c r="N1" s="276" t="s">
        <v>671</v>
      </c>
      <c r="O1" s="276" t="s">
        <v>675</v>
      </c>
      <c r="P1" s="276">
        <v>2021</v>
      </c>
      <c r="Q1" s="276" t="s">
        <v>683</v>
      </c>
    </row>
    <row r="2" spans="1:17">
      <c r="A2" s="24" t="s">
        <v>541</v>
      </c>
      <c r="B2" s="25">
        <f t="shared" ref="B2:I2" si="0">B3+B19</f>
        <v>116119</v>
      </c>
      <c r="C2" s="25">
        <f t="shared" si="0"/>
        <v>160160.7944454719</v>
      </c>
      <c r="D2" s="25">
        <f t="shared" si="0"/>
        <v>275169</v>
      </c>
      <c r="E2" s="25">
        <f t="shared" si="0"/>
        <v>338527</v>
      </c>
      <c r="F2" s="25">
        <f t="shared" si="0"/>
        <v>92713.344780000043</v>
      </c>
      <c r="G2" s="25">
        <f t="shared" si="0"/>
        <v>191734</v>
      </c>
      <c r="H2" s="25">
        <f t="shared" si="0"/>
        <v>254670</v>
      </c>
      <c r="I2" s="25">
        <f t="shared" si="0"/>
        <v>12648.438000000075</v>
      </c>
      <c r="J2" s="25">
        <f t="shared" ref="J2:K2" si="1">J3+J19</f>
        <v>57162.838000000062</v>
      </c>
      <c r="K2" s="25">
        <f t="shared" si="1"/>
        <v>99464.338000000076</v>
      </c>
      <c r="L2" s="25">
        <f t="shared" ref="L2:M2" si="2">L3+L19</f>
        <v>179794</v>
      </c>
      <c r="M2" s="25">
        <f t="shared" si="2"/>
        <v>97154.099999999977</v>
      </c>
      <c r="N2" s="25">
        <f t="shared" ref="N2:O2" si="3">N3+N19</f>
        <v>181702</v>
      </c>
      <c r="O2" s="25">
        <f t="shared" si="3"/>
        <v>222503</v>
      </c>
      <c r="P2" s="25">
        <f t="shared" ref="P2:Q2" si="4">P3+P19</f>
        <v>286707</v>
      </c>
      <c r="Q2" s="25">
        <f t="shared" si="4"/>
        <v>76910.400000000009</v>
      </c>
    </row>
    <row r="3" spans="1:17">
      <c r="A3" s="26" t="s">
        <v>542</v>
      </c>
      <c r="B3" s="27">
        <f t="shared" ref="B3:I3" si="5">SUM(B4:B18)</f>
        <v>88400</v>
      </c>
      <c r="C3" s="27">
        <f t="shared" si="5"/>
        <v>160047.56835000007</v>
      </c>
      <c r="D3" s="27">
        <f t="shared" si="5"/>
        <v>252112</v>
      </c>
      <c r="E3" s="27">
        <f t="shared" si="5"/>
        <v>315726</v>
      </c>
      <c r="F3" s="27">
        <f t="shared" si="5"/>
        <v>74602.867190000034</v>
      </c>
      <c r="G3" s="27">
        <f t="shared" si="5"/>
        <v>198829</v>
      </c>
      <c r="H3" s="27">
        <f t="shared" si="5"/>
        <v>216847</v>
      </c>
      <c r="I3" s="27">
        <f t="shared" si="5"/>
        <v>51081.8</v>
      </c>
      <c r="J3" s="27">
        <f t="shared" ref="J3:K3" si="6">SUM(J4:J18)</f>
        <v>104252.7</v>
      </c>
      <c r="K3" s="27">
        <f t="shared" si="6"/>
        <v>154461.4</v>
      </c>
      <c r="L3" s="27">
        <f t="shared" ref="L3:M3" si="7">SUM(L4:L18)</f>
        <v>213909</v>
      </c>
      <c r="M3" s="27">
        <f t="shared" si="7"/>
        <v>69196.2</v>
      </c>
      <c r="N3" s="27">
        <f t="shared" ref="N3:O3" si="8">SUM(N4:N18)</f>
        <v>134129</v>
      </c>
      <c r="O3" s="27">
        <f t="shared" si="8"/>
        <v>199717</v>
      </c>
      <c r="P3" s="27">
        <f t="shared" ref="P3:Q3" si="9">SUM(P4:P18)</f>
        <v>251519</v>
      </c>
      <c r="Q3" s="27">
        <f t="shared" si="9"/>
        <v>86051.6</v>
      </c>
    </row>
    <row r="4" spans="1:17">
      <c r="A4" s="28" t="s">
        <v>543</v>
      </c>
      <c r="B4" s="29">
        <v>12181</v>
      </c>
      <c r="C4" s="29">
        <v>-49807</v>
      </c>
      <c r="D4" s="29">
        <v>-64058</v>
      </c>
      <c r="E4" s="29">
        <v>171307</v>
      </c>
      <c r="F4" s="29">
        <v>-2107</v>
      </c>
      <c r="G4" s="29">
        <v>-5727</v>
      </c>
      <c r="H4" s="29">
        <v>500037</v>
      </c>
      <c r="I4" s="29">
        <v>46620</v>
      </c>
      <c r="J4" s="29">
        <v>93280</v>
      </c>
      <c r="K4" s="29">
        <v>136985</v>
      </c>
      <c r="L4" s="29">
        <v>320648</v>
      </c>
      <c r="M4" s="29">
        <v>25733</v>
      </c>
      <c r="N4" s="29">
        <v>101327</v>
      </c>
      <c r="O4" s="29">
        <v>114765</v>
      </c>
      <c r="P4" s="29">
        <v>50587</v>
      </c>
      <c r="Q4" s="29">
        <v>-846</v>
      </c>
    </row>
    <row r="5" spans="1:17">
      <c r="A5" s="30" t="s">
        <v>544</v>
      </c>
      <c r="B5" s="31">
        <v>1986</v>
      </c>
      <c r="C5" s="31">
        <v>4511.5353349999987</v>
      </c>
      <c r="D5" s="31">
        <v>8924</v>
      </c>
      <c r="E5" s="31">
        <v>11455</v>
      </c>
      <c r="F5" s="31">
        <v>2365.2718950000012</v>
      </c>
      <c r="G5" s="31">
        <v>7210</v>
      </c>
      <c r="H5" s="31">
        <v>19409</v>
      </c>
      <c r="I5" s="31">
        <v>2147.6000000000004</v>
      </c>
      <c r="J5" s="31">
        <v>5242.7</v>
      </c>
      <c r="K5" s="31">
        <v>7220.4</v>
      </c>
      <c r="L5" s="31">
        <v>9976</v>
      </c>
      <c r="M5" s="31">
        <v>4959.5</v>
      </c>
      <c r="N5" s="31">
        <v>19887</v>
      </c>
      <c r="O5" s="31">
        <v>25797</v>
      </c>
      <c r="P5" s="31">
        <v>14721</v>
      </c>
      <c r="Q5" s="31">
        <v>8067.3</v>
      </c>
    </row>
    <row r="6" spans="1:17">
      <c r="A6" s="28" t="s">
        <v>545</v>
      </c>
      <c r="B6" s="32">
        <v>-1557</v>
      </c>
      <c r="C6" s="32">
        <v>-1553.6904099999999</v>
      </c>
      <c r="D6" s="32">
        <v>-1554</v>
      </c>
      <c r="E6" s="32">
        <v>-200061</v>
      </c>
      <c r="F6" s="32">
        <v>0</v>
      </c>
      <c r="G6" s="32">
        <v>-25898</v>
      </c>
      <c r="H6" s="32">
        <v>-596893</v>
      </c>
      <c r="I6" s="32">
        <v>0</v>
      </c>
      <c r="J6" s="32">
        <v>0</v>
      </c>
      <c r="K6" s="32">
        <v>0</v>
      </c>
      <c r="L6" s="32">
        <v>-139883</v>
      </c>
      <c r="M6" s="32">
        <v>3282</v>
      </c>
      <c r="N6" s="32">
        <v>-48009</v>
      </c>
      <c r="O6" s="32">
        <v>-52293</v>
      </c>
      <c r="P6" s="32">
        <v>14204</v>
      </c>
      <c r="Q6" s="32">
        <v>0</v>
      </c>
    </row>
    <row r="7" spans="1:17">
      <c r="A7" s="30" t="s">
        <v>546</v>
      </c>
      <c r="B7" s="31">
        <v>1392</v>
      </c>
      <c r="C7" s="31">
        <v>-7809.8106499999794</v>
      </c>
      <c r="D7" s="31">
        <v>-8930</v>
      </c>
      <c r="E7" s="31">
        <v>-10735</v>
      </c>
      <c r="F7" s="31">
        <v>-2514.1311249999849</v>
      </c>
      <c r="G7" s="31">
        <v>-13582</v>
      </c>
      <c r="H7" s="31">
        <v>-25828</v>
      </c>
      <c r="I7" s="31">
        <v>-20578.3</v>
      </c>
      <c r="J7" s="31">
        <v>-38627.699999999997</v>
      </c>
      <c r="K7" s="31">
        <v>-51968.6</v>
      </c>
      <c r="L7" s="31">
        <v>-62937</v>
      </c>
      <c r="M7" s="31">
        <v>-6205.4</v>
      </c>
      <c r="N7" s="31">
        <v>-15308</v>
      </c>
      <c r="O7" s="31">
        <v>-24700</v>
      </c>
      <c r="P7" s="31">
        <v>-29634</v>
      </c>
      <c r="Q7" s="31">
        <v>-2201.6</v>
      </c>
    </row>
    <row r="8" spans="1:17">
      <c r="A8" s="33" t="s">
        <v>547</v>
      </c>
      <c r="B8" s="34">
        <v>82735</v>
      </c>
      <c r="C8" s="34">
        <v>174627.01091000007</v>
      </c>
      <c r="D8" s="34">
        <v>266050</v>
      </c>
      <c r="E8" s="32">
        <v>352135</v>
      </c>
      <c r="F8" s="32">
        <v>73777.284070000009</v>
      </c>
      <c r="G8" s="32">
        <v>214882</v>
      </c>
      <c r="H8" s="32">
        <v>263656</v>
      </c>
      <c r="I8" s="32">
        <v>26492.3</v>
      </c>
      <c r="J8" s="32">
        <v>45423.6</v>
      </c>
      <c r="K8" s="32">
        <v>65908.2</v>
      </c>
      <c r="L8" s="32">
        <v>93375</v>
      </c>
      <c r="M8" s="32">
        <v>27543.7</v>
      </c>
      <c r="N8" s="32">
        <v>62081</v>
      </c>
      <c r="O8" s="32">
        <v>112648</v>
      </c>
      <c r="P8" s="32">
        <v>175253</v>
      </c>
      <c r="Q8" s="32">
        <v>80821.8</v>
      </c>
    </row>
    <row r="9" spans="1:17">
      <c r="A9" s="30" t="s">
        <v>548</v>
      </c>
      <c r="B9" s="31">
        <v>802</v>
      </c>
      <c r="C9" s="31">
        <v>-168.64737</v>
      </c>
      <c r="D9" s="31">
        <v>-115</v>
      </c>
      <c r="E9" s="31">
        <v>24</v>
      </c>
      <c r="F9" s="31">
        <v>653.83657999999991</v>
      </c>
      <c r="G9" s="31">
        <v>654</v>
      </c>
      <c r="H9" s="31">
        <v>654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</row>
    <row r="10" spans="1:17">
      <c r="A10" s="33" t="s">
        <v>549</v>
      </c>
      <c r="B10" s="34">
        <v>7200</v>
      </c>
      <c r="C10" s="34">
        <v>8002.2109600000013</v>
      </c>
      <c r="D10" s="34">
        <v>4473</v>
      </c>
      <c r="E10" s="32">
        <v>-9738</v>
      </c>
      <c r="F10" s="32">
        <v>4390.6255299999993</v>
      </c>
      <c r="G10" s="32">
        <v>4391</v>
      </c>
      <c r="H10" s="32">
        <v>4391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</row>
    <row r="11" spans="1:17">
      <c r="A11" s="30" t="s">
        <v>550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</row>
    <row r="12" spans="1:17">
      <c r="A12" s="33" t="s">
        <v>551</v>
      </c>
      <c r="B12" s="34">
        <v>3135</v>
      </c>
      <c r="C12" s="34">
        <v>102443.06814000002</v>
      </c>
      <c r="D12" s="34">
        <v>130533</v>
      </c>
      <c r="E12" s="32">
        <v>106725</v>
      </c>
      <c r="F12" s="32">
        <v>-20112.03054</v>
      </c>
      <c r="G12" s="32">
        <v>-20112</v>
      </c>
      <c r="H12" s="32">
        <v>-20112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</row>
    <row r="13" spans="1:17">
      <c r="A13" s="30" t="s">
        <v>552</v>
      </c>
      <c r="B13" s="35">
        <v>-5553</v>
      </c>
      <c r="C13" s="35">
        <v>-10253.151500000004</v>
      </c>
      <c r="D13" s="35">
        <v>-15607</v>
      </c>
      <c r="E13" s="35">
        <v>-11106</v>
      </c>
      <c r="F13" s="35">
        <v>19807.930379999998</v>
      </c>
      <c r="G13" s="35">
        <v>19808</v>
      </c>
      <c r="H13" s="35">
        <v>19808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</row>
    <row r="14" spans="1:17">
      <c r="A14" s="33" t="s">
        <v>553</v>
      </c>
      <c r="B14" s="34">
        <v>-14808</v>
      </c>
      <c r="C14" s="34">
        <v>-28420.549749999998</v>
      </c>
      <c r="D14" s="34">
        <v>-37993</v>
      </c>
      <c r="E14" s="32">
        <v>-46010</v>
      </c>
      <c r="F14" s="32">
        <v>-3662.17866</v>
      </c>
      <c r="G14" s="32">
        <v>-7506</v>
      </c>
      <c r="H14" s="32">
        <v>-8588</v>
      </c>
      <c r="I14" s="32">
        <v>-508.2</v>
      </c>
      <c r="J14" s="32">
        <v>-508.2</v>
      </c>
      <c r="K14" s="32">
        <v>-508.2</v>
      </c>
      <c r="L14" s="32">
        <v>-508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</row>
    <row r="15" spans="1:17">
      <c r="A15" s="30" t="s">
        <v>612</v>
      </c>
      <c r="B15" s="35">
        <v>0</v>
      </c>
      <c r="C15" s="35">
        <v>-31306.810175000002</v>
      </c>
      <c r="D15" s="35">
        <v>-29596</v>
      </c>
      <c r="E15" s="35">
        <v>-27627</v>
      </c>
      <c r="F15" s="35">
        <v>1854.6633900000002</v>
      </c>
      <c r="G15" s="35">
        <v>11713</v>
      </c>
      <c r="H15" s="35">
        <v>27171</v>
      </c>
      <c r="I15" s="35">
        <v>455.3</v>
      </c>
      <c r="J15" s="35">
        <v>455.3</v>
      </c>
      <c r="K15" s="35">
        <v>455.3</v>
      </c>
      <c r="L15" s="35">
        <v>455</v>
      </c>
      <c r="M15" s="35">
        <v>0</v>
      </c>
      <c r="N15" s="35">
        <v>0</v>
      </c>
      <c r="O15" s="35">
        <v>0</v>
      </c>
      <c r="P15" s="35">
        <v>1404</v>
      </c>
      <c r="Q15" s="35">
        <v>-93.6</v>
      </c>
    </row>
    <row r="16" spans="1:17">
      <c r="A16" s="33" t="s">
        <v>554</v>
      </c>
      <c r="B16" s="34">
        <v>1674</v>
      </c>
      <c r="C16" s="34">
        <v>3209.1442600000019</v>
      </c>
      <c r="D16" s="34">
        <v>4761</v>
      </c>
      <c r="E16" s="32">
        <v>6313</v>
      </c>
      <c r="F16" s="32">
        <v>1518.3576100000032</v>
      </c>
      <c r="G16" s="32">
        <v>4383</v>
      </c>
      <c r="H16" s="32">
        <v>5824</v>
      </c>
      <c r="I16" s="32">
        <v>638.1</v>
      </c>
      <c r="J16" s="32">
        <v>1190.4000000000001</v>
      </c>
      <c r="K16" s="32">
        <v>3488.7</v>
      </c>
      <c r="L16" s="32">
        <v>5807</v>
      </c>
      <c r="M16" s="32">
        <v>2268.1</v>
      </c>
      <c r="N16" s="32">
        <v>4328</v>
      </c>
      <c r="O16" s="32">
        <v>6412</v>
      </c>
      <c r="P16" s="32">
        <v>8495</v>
      </c>
      <c r="Q16" s="32">
        <v>1742.1</v>
      </c>
    </row>
    <row r="17" spans="1:17">
      <c r="A17" s="30" t="s">
        <v>555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15217</v>
      </c>
      <c r="H17" s="35">
        <v>42757</v>
      </c>
      <c r="I17" s="35">
        <v>0</v>
      </c>
      <c r="J17" s="35">
        <v>0</v>
      </c>
      <c r="K17" s="35">
        <v>0</v>
      </c>
      <c r="L17" s="35">
        <v>0</v>
      </c>
      <c r="M17" s="35">
        <v>529.1</v>
      </c>
      <c r="N17" s="35">
        <v>529</v>
      </c>
      <c r="O17" s="35">
        <v>5629</v>
      </c>
      <c r="P17" s="35">
        <v>6015</v>
      </c>
      <c r="Q17" s="35">
        <v>0</v>
      </c>
    </row>
    <row r="18" spans="1:17">
      <c r="A18" s="33" t="s">
        <v>556</v>
      </c>
      <c r="B18" s="34">
        <v>-787</v>
      </c>
      <c r="C18" s="34">
        <v>-3425.7414000000017</v>
      </c>
      <c r="D18" s="34">
        <v>-4776</v>
      </c>
      <c r="E18" s="32">
        <v>-26956</v>
      </c>
      <c r="F18" s="32">
        <v>-1369.7619400000001</v>
      </c>
      <c r="G18" s="32">
        <v>-6604</v>
      </c>
      <c r="H18" s="32">
        <v>-15439</v>
      </c>
      <c r="I18" s="32">
        <v>-4185</v>
      </c>
      <c r="J18" s="32">
        <v>-2203.4000000000087</v>
      </c>
      <c r="K18" s="32">
        <v>-7119.4000000000051</v>
      </c>
      <c r="L18" s="32">
        <v>-13024</v>
      </c>
      <c r="M18" s="32">
        <v>11086.200000000003</v>
      </c>
      <c r="N18" s="32">
        <v>9294.0000000000055</v>
      </c>
      <c r="O18" s="32">
        <v>11459</v>
      </c>
      <c r="P18" s="32">
        <v>10474</v>
      </c>
      <c r="Q18" s="32">
        <v>-1438.4000000000005</v>
      </c>
    </row>
    <row r="19" spans="1:17">
      <c r="A19" s="26" t="s">
        <v>557</v>
      </c>
      <c r="B19" s="27">
        <f t="shared" ref="B19:I19" si="10">SUM(B20:B28)</f>
        <v>27719</v>
      </c>
      <c r="C19" s="27">
        <f t="shared" si="10"/>
        <v>113.22609547181059</v>
      </c>
      <c r="D19" s="27">
        <f t="shared" si="10"/>
        <v>23057</v>
      </c>
      <c r="E19" s="27">
        <f t="shared" si="10"/>
        <v>22801</v>
      </c>
      <c r="F19" s="27">
        <f t="shared" si="10"/>
        <v>18110.477590000017</v>
      </c>
      <c r="G19" s="27">
        <f t="shared" si="10"/>
        <v>-7095</v>
      </c>
      <c r="H19" s="27">
        <f t="shared" si="10"/>
        <v>37823</v>
      </c>
      <c r="I19" s="27">
        <f t="shared" si="10"/>
        <v>-38433.361999999928</v>
      </c>
      <c r="J19" s="27">
        <f t="shared" ref="J19:K19" si="11">SUM(J20:J28)</f>
        <v>-47089.861999999936</v>
      </c>
      <c r="K19" s="27">
        <f t="shared" si="11"/>
        <v>-54997.061999999918</v>
      </c>
      <c r="L19" s="27">
        <f t="shared" ref="L19:M19" si="12">SUM(L20:L28)</f>
        <v>-34115</v>
      </c>
      <c r="M19" s="27">
        <f t="shared" si="12"/>
        <v>27957.899999999987</v>
      </c>
      <c r="N19" s="27">
        <f t="shared" ref="N19:O19" si="13">SUM(N20:N28)</f>
        <v>47573</v>
      </c>
      <c r="O19" s="27">
        <f t="shared" si="13"/>
        <v>22786</v>
      </c>
      <c r="P19" s="27">
        <f t="shared" ref="P19:Q19" si="14">SUM(P20:P28)</f>
        <v>35188</v>
      </c>
      <c r="Q19" s="27">
        <f t="shared" si="14"/>
        <v>-9141.2000000000007</v>
      </c>
    </row>
    <row r="20" spans="1:17">
      <c r="A20" s="33" t="s">
        <v>558</v>
      </c>
      <c r="B20" s="34">
        <v>20903</v>
      </c>
      <c r="C20" s="34">
        <v>16275.321295</v>
      </c>
      <c r="D20" s="34">
        <v>7258</v>
      </c>
      <c r="E20" s="32">
        <v>4116</v>
      </c>
      <c r="F20" s="32">
        <v>17797.083545000009</v>
      </c>
      <c r="G20" s="32">
        <v>18256</v>
      </c>
      <c r="H20" s="32">
        <v>35109</v>
      </c>
      <c r="I20" s="32">
        <v>-3864.7999999999997</v>
      </c>
      <c r="J20" s="32">
        <v>-15241.1</v>
      </c>
      <c r="K20" s="32">
        <v>-15867.999999999998</v>
      </c>
      <c r="L20" s="32">
        <v>-9812</v>
      </c>
      <c r="M20" s="32">
        <v>-10117.9</v>
      </c>
      <c r="N20" s="32">
        <v>-611</v>
      </c>
      <c r="O20" s="32">
        <v>-8883</v>
      </c>
      <c r="P20" s="32">
        <v>-14087</v>
      </c>
      <c r="Q20" s="32">
        <v>-2079.4</v>
      </c>
    </row>
    <row r="21" spans="1:17">
      <c r="A21" s="30" t="s">
        <v>559</v>
      </c>
      <c r="B21" s="35">
        <v>1556</v>
      </c>
      <c r="C21" s="35">
        <v>2093.5878650000254</v>
      </c>
      <c r="D21" s="35">
        <v>2025</v>
      </c>
      <c r="E21" s="35">
        <v>10363</v>
      </c>
      <c r="F21" s="35">
        <v>-886.62806000000887</v>
      </c>
      <c r="G21" s="35">
        <v>3336</v>
      </c>
      <c r="H21" s="35">
        <v>26420</v>
      </c>
      <c r="I21" s="35">
        <v>805.8</v>
      </c>
      <c r="J21" s="35">
        <v>1669.5000000000002</v>
      </c>
      <c r="K21" s="35">
        <v>4177</v>
      </c>
      <c r="L21" s="35">
        <v>5656</v>
      </c>
      <c r="M21" s="35">
        <v>1100.3000000000002</v>
      </c>
      <c r="N21" s="35">
        <v>5842</v>
      </c>
      <c r="O21" s="35">
        <v>-806</v>
      </c>
      <c r="P21" s="35">
        <v>-1587</v>
      </c>
      <c r="Q21" s="35">
        <v>2377.1999999999998</v>
      </c>
    </row>
    <row r="22" spans="1:17">
      <c r="A22" s="33" t="s">
        <v>560</v>
      </c>
      <c r="B22" s="34">
        <v>0</v>
      </c>
      <c r="C22" s="34">
        <v>0</v>
      </c>
      <c r="D22" s="34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</row>
    <row r="23" spans="1:17">
      <c r="A23" s="30" t="s">
        <v>561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</row>
    <row r="24" spans="1:17">
      <c r="A24" s="33" t="s">
        <v>562</v>
      </c>
      <c r="B24" s="34">
        <v>10975</v>
      </c>
      <c r="C24" s="34">
        <v>-15474.028234999929</v>
      </c>
      <c r="D24" s="34">
        <v>10990</v>
      </c>
      <c r="E24" s="32">
        <v>7523</v>
      </c>
      <c r="F24" s="32">
        <v>4598.5954650000276</v>
      </c>
      <c r="G24" s="32">
        <v>-10488</v>
      </c>
      <c r="H24" s="32">
        <v>6560</v>
      </c>
      <c r="I24" s="32">
        <v>-452.90000000000026</v>
      </c>
      <c r="J24" s="32">
        <v>-5224.0999999999995</v>
      </c>
      <c r="K24" s="32">
        <v>-6899.0999999999958</v>
      </c>
      <c r="L24" s="32">
        <v>24429</v>
      </c>
      <c r="M24" s="32">
        <v>35669.799999999981</v>
      </c>
      <c r="N24" s="32">
        <v>54990</v>
      </c>
      <c r="O24" s="32">
        <v>47705</v>
      </c>
      <c r="P24" s="32">
        <v>65949</v>
      </c>
      <c r="Q24" s="32">
        <v>-2476.1</v>
      </c>
    </row>
    <row r="25" spans="1:17">
      <c r="A25" s="30" t="s">
        <v>563</v>
      </c>
      <c r="B25" s="35">
        <v>-3618</v>
      </c>
      <c r="C25" s="35">
        <v>5542.5576504717192</v>
      </c>
      <c r="D25" s="35">
        <v>11154</v>
      </c>
      <c r="E25" s="35">
        <v>11786</v>
      </c>
      <c r="F25" s="35">
        <v>5638.9464299999927</v>
      </c>
      <c r="G25" s="35">
        <v>-6553</v>
      </c>
      <c r="H25" s="35">
        <v>314</v>
      </c>
      <c r="I25" s="35">
        <v>-3995.6</v>
      </c>
      <c r="J25" s="35">
        <v>-5548.5</v>
      </c>
      <c r="K25" s="35">
        <v>-292.2</v>
      </c>
      <c r="L25" s="35">
        <v>-18105</v>
      </c>
      <c r="M25" s="35">
        <v>9329.1</v>
      </c>
      <c r="N25" s="35">
        <v>3934</v>
      </c>
      <c r="O25" s="35">
        <v>3198</v>
      </c>
      <c r="P25" s="35">
        <v>1816</v>
      </c>
      <c r="Q25" s="35">
        <v>-19347.5</v>
      </c>
    </row>
    <row r="26" spans="1:17">
      <c r="A26" s="33" t="s">
        <v>565</v>
      </c>
      <c r="B26" s="34">
        <v>-1468</v>
      </c>
      <c r="C26" s="34">
        <v>-1989.3907050000043</v>
      </c>
      <c r="D26" s="34">
        <v>-2676</v>
      </c>
      <c r="E26" s="32">
        <v>-8158</v>
      </c>
      <c r="F26" s="32">
        <v>-900.04727000000116</v>
      </c>
      <c r="G26" s="32">
        <v>-3841</v>
      </c>
      <c r="H26" s="32">
        <v>-25329</v>
      </c>
      <c r="I26" s="32">
        <v>-18176.099999999999</v>
      </c>
      <c r="J26" s="32">
        <v>-18605.099999999999</v>
      </c>
      <c r="K26" s="32">
        <v>-18983.5</v>
      </c>
      <c r="L26" s="32">
        <v>-20321</v>
      </c>
      <c r="M26" s="32">
        <v>269.80000000000007</v>
      </c>
      <c r="N26" s="32">
        <v>-550</v>
      </c>
      <c r="O26" s="32">
        <v>-1781</v>
      </c>
      <c r="P26" s="32">
        <v>-4774</v>
      </c>
      <c r="Q26" s="32">
        <v>-8073.7999999999993</v>
      </c>
    </row>
    <row r="27" spans="1:17">
      <c r="A27" s="30" t="s">
        <v>566</v>
      </c>
      <c r="B27" s="35">
        <v>192</v>
      </c>
      <c r="C27" s="35">
        <v>-5050.8735800000004</v>
      </c>
      <c r="D27" s="35">
        <v>-4606</v>
      </c>
      <c r="E27" s="35">
        <v>-5318</v>
      </c>
      <c r="F27" s="35">
        <v>-7737.0502900000001</v>
      </c>
      <c r="G27" s="35">
        <v>-7035</v>
      </c>
      <c r="H27" s="35">
        <v>-7740</v>
      </c>
      <c r="I27" s="35">
        <v>-11262.5</v>
      </c>
      <c r="J27" s="35">
        <v>-9774.9</v>
      </c>
      <c r="K27" s="35">
        <v>-9744.5</v>
      </c>
      <c r="L27" s="35">
        <v>-11143</v>
      </c>
      <c r="M27" s="35">
        <v>-4848.6999999999989</v>
      </c>
      <c r="N27" s="35">
        <v>-10959</v>
      </c>
      <c r="O27" s="35">
        <v>-10938</v>
      </c>
      <c r="P27" s="35">
        <v>-11569</v>
      </c>
      <c r="Q27" s="35">
        <v>-5468</v>
      </c>
    </row>
    <row r="28" spans="1:17">
      <c r="A28" s="33" t="s">
        <v>567</v>
      </c>
      <c r="B28" s="34">
        <v>-821</v>
      </c>
      <c r="C28" s="34">
        <v>-1283.9481949999997</v>
      </c>
      <c r="D28" s="34">
        <v>-1088</v>
      </c>
      <c r="E28" s="32">
        <v>2489</v>
      </c>
      <c r="F28" s="32">
        <v>-400.42222999999956</v>
      </c>
      <c r="G28" s="32">
        <v>-770</v>
      </c>
      <c r="H28" s="32">
        <v>2489</v>
      </c>
      <c r="I28" s="32">
        <v>-1487.2619999999267</v>
      </c>
      <c r="J28" s="32">
        <v>5634.3380000000725</v>
      </c>
      <c r="K28" s="32">
        <v>-7386.761999999926</v>
      </c>
      <c r="L28" s="32">
        <v>-4819</v>
      </c>
      <c r="M28" s="32">
        <v>-3444.5000000000005</v>
      </c>
      <c r="N28" s="32">
        <v>-5073</v>
      </c>
      <c r="O28" s="32">
        <v>-5709</v>
      </c>
      <c r="P28" s="32">
        <v>-560</v>
      </c>
      <c r="Q28" s="32">
        <v>25926.399999999998</v>
      </c>
    </row>
    <row r="29" spans="1:17">
      <c r="A29" s="36" t="s">
        <v>568</v>
      </c>
      <c r="B29" s="37">
        <f>SUM(B30:B36)</f>
        <v>-68317</v>
      </c>
      <c r="C29" s="37">
        <f t="shared" ref="C29:M29" si="15">SUM(C30:C36)</f>
        <v>147024.72521999732</v>
      </c>
      <c r="D29" s="37">
        <f t="shared" si="15"/>
        <v>280658</v>
      </c>
      <c r="E29" s="37">
        <f t="shared" si="15"/>
        <v>300168</v>
      </c>
      <c r="F29" s="37">
        <f t="shared" si="15"/>
        <v>227770</v>
      </c>
      <c r="G29" s="37">
        <f t="shared" si="15"/>
        <v>702225</v>
      </c>
      <c r="H29" s="37">
        <f t="shared" si="15"/>
        <v>768983</v>
      </c>
      <c r="I29" s="37">
        <f t="shared" si="15"/>
        <v>82616.100000000006</v>
      </c>
      <c r="J29" s="37">
        <f t="shared" si="15"/>
        <v>54908.999999999993</v>
      </c>
      <c r="K29" s="37">
        <f t="shared" si="15"/>
        <v>147048.39999999997</v>
      </c>
      <c r="L29" s="37">
        <f t="shared" si="15"/>
        <v>-540690</v>
      </c>
      <c r="M29" s="37">
        <f t="shared" si="15"/>
        <v>-802131.10000000009</v>
      </c>
      <c r="N29" s="37">
        <f t="shared" ref="N29:O29" si="16">SUM(N30:N36)</f>
        <v>-874639</v>
      </c>
      <c r="O29" s="37">
        <f t="shared" si="16"/>
        <v>-608344</v>
      </c>
      <c r="P29" s="37">
        <f t="shared" ref="P29:Q29" si="17">SUM(P30:P36)</f>
        <v>-619155</v>
      </c>
      <c r="Q29" s="37">
        <f t="shared" si="17"/>
        <v>-93469.4</v>
      </c>
    </row>
    <row r="30" spans="1:17">
      <c r="A30" s="38" t="s">
        <v>569</v>
      </c>
      <c r="B30" s="39">
        <v>0</v>
      </c>
      <c r="C30" s="39">
        <v>57000</v>
      </c>
      <c r="D30" s="39">
        <v>57000</v>
      </c>
      <c r="E30" s="39">
        <v>57000</v>
      </c>
      <c r="F30" s="39">
        <v>0</v>
      </c>
      <c r="G30" s="39">
        <v>466337</v>
      </c>
      <c r="H30" s="39">
        <v>1128450</v>
      </c>
      <c r="I30" s="39">
        <v>0</v>
      </c>
      <c r="J30" s="39">
        <v>0</v>
      </c>
      <c r="K30" s="39">
        <v>137555.9</v>
      </c>
      <c r="L30" s="39">
        <v>137556</v>
      </c>
      <c r="M30" s="39">
        <v>4087</v>
      </c>
      <c r="N30" s="39">
        <v>68391</v>
      </c>
      <c r="O30" s="39">
        <v>419284</v>
      </c>
      <c r="P30" s="39">
        <v>453758</v>
      </c>
      <c r="Q30" s="39">
        <v>0</v>
      </c>
    </row>
    <row r="31" spans="1:17">
      <c r="A31" s="28" t="s">
        <v>570</v>
      </c>
      <c r="B31" s="32">
        <v>-201</v>
      </c>
      <c r="C31" s="32">
        <v>-746.76533000000097</v>
      </c>
      <c r="D31" s="32">
        <v>-1161</v>
      </c>
      <c r="E31" s="32">
        <v>-2670</v>
      </c>
      <c r="F31" s="32">
        <v>-1106</v>
      </c>
      <c r="G31" s="32">
        <v>-2756</v>
      </c>
      <c r="H31" s="32">
        <v>-4122</v>
      </c>
      <c r="I31" s="32">
        <v>-779.30000000000007</v>
      </c>
      <c r="J31" s="32">
        <v>-2386</v>
      </c>
      <c r="K31" s="32">
        <v>-3908.7999999999997</v>
      </c>
      <c r="L31" s="32">
        <v>-5423</v>
      </c>
      <c r="M31" s="32">
        <v>-837.1</v>
      </c>
      <c r="N31" s="32">
        <v>-2118</v>
      </c>
      <c r="O31" s="32">
        <v>-3756</v>
      </c>
      <c r="P31" s="32">
        <v>-3960</v>
      </c>
      <c r="Q31" s="32">
        <v>-913.5</v>
      </c>
    </row>
    <row r="32" spans="1:17">
      <c r="A32" s="30" t="s">
        <v>571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</row>
    <row r="33" spans="1:17">
      <c r="A33" s="28" t="s">
        <v>572</v>
      </c>
      <c r="B33" s="32">
        <v>-84002</v>
      </c>
      <c r="C33" s="32">
        <v>-106805.50945000269</v>
      </c>
      <c r="D33" s="32">
        <v>-149060</v>
      </c>
      <c r="E33" s="32">
        <v>-196765</v>
      </c>
      <c r="F33" s="32">
        <v>-64778</v>
      </c>
      <c r="G33" s="32">
        <v>-119196</v>
      </c>
      <c r="H33" s="32">
        <v>-179555</v>
      </c>
      <c r="I33" s="32">
        <v>-17045.3</v>
      </c>
      <c r="J33" s="32">
        <v>-41348.9</v>
      </c>
      <c r="K33" s="32">
        <v>-84352.200000000012</v>
      </c>
      <c r="L33" s="32">
        <v>-770890</v>
      </c>
      <c r="M33" s="32">
        <v>-26590.799999999999</v>
      </c>
      <c r="N33" s="32">
        <v>-121682.79999999996</v>
      </c>
      <c r="O33" s="32">
        <v>-203752</v>
      </c>
      <c r="P33" s="32">
        <v>-352466</v>
      </c>
      <c r="Q33" s="32">
        <v>-73818.2</v>
      </c>
    </row>
    <row r="34" spans="1:17">
      <c r="A34" s="30" t="s">
        <v>593</v>
      </c>
      <c r="B34" s="31">
        <v>15886</v>
      </c>
      <c r="C34" s="31">
        <v>197577</v>
      </c>
      <c r="D34" s="31">
        <v>373879</v>
      </c>
      <c r="E34" s="31">
        <v>470499</v>
      </c>
      <c r="F34" s="31">
        <v>341205</v>
      </c>
      <c r="G34" s="31">
        <v>447318</v>
      </c>
      <c r="H34" s="31">
        <v>412543</v>
      </c>
      <c r="I34" s="31">
        <v>100440.7</v>
      </c>
      <c r="J34" s="31">
        <v>100440.7</v>
      </c>
      <c r="K34" s="31">
        <v>100440.7</v>
      </c>
      <c r="L34" s="31">
        <v>100441</v>
      </c>
      <c r="M34" s="31">
        <v>0</v>
      </c>
      <c r="N34" s="31">
        <v>0</v>
      </c>
      <c r="O34" s="31">
        <v>0</v>
      </c>
      <c r="P34" s="31">
        <v>111463</v>
      </c>
      <c r="Q34" s="31">
        <v>0</v>
      </c>
    </row>
    <row r="35" spans="1:17">
      <c r="A35" s="28" t="s">
        <v>575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</row>
    <row r="36" spans="1:17">
      <c r="A36" s="30" t="s">
        <v>564</v>
      </c>
      <c r="B36" s="31">
        <v>0</v>
      </c>
      <c r="C36" s="31">
        <v>0</v>
      </c>
      <c r="D36" s="31">
        <v>0</v>
      </c>
      <c r="E36" s="31">
        <v>-27896</v>
      </c>
      <c r="F36" s="31">
        <v>-47551</v>
      </c>
      <c r="G36" s="31">
        <v>-89478</v>
      </c>
      <c r="H36" s="31">
        <v>-588333</v>
      </c>
      <c r="I36" s="31">
        <v>0</v>
      </c>
      <c r="J36" s="31">
        <v>-1796.8</v>
      </c>
      <c r="K36" s="31">
        <v>-2687.2</v>
      </c>
      <c r="L36" s="31">
        <v>-2374</v>
      </c>
      <c r="M36" s="31">
        <v>-778790.20000000007</v>
      </c>
      <c r="N36" s="31">
        <v>-819229.20000000007</v>
      </c>
      <c r="O36" s="31">
        <v>-820120</v>
      </c>
      <c r="P36" s="31">
        <v>-827950</v>
      </c>
      <c r="Q36" s="31">
        <v>-18737.7</v>
      </c>
    </row>
    <row r="37" spans="1:17">
      <c r="A37" s="36" t="s">
        <v>576</v>
      </c>
      <c r="B37" s="37">
        <f t="shared" ref="B37:N37" si="18">SUM(B38:B48)</f>
        <v>-62086</v>
      </c>
      <c r="C37" s="37">
        <f t="shared" si="18"/>
        <v>-230332.57950776129</v>
      </c>
      <c r="D37" s="37">
        <f t="shared" si="18"/>
        <v>-377385</v>
      </c>
      <c r="E37" s="37">
        <f t="shared" si="18"/>
        <v>253116</v>
      </c>
      <c r="F37" s="37">
        <f t="shared" si="18"/>
        <v>-821300</v>
      </c>
      <c r="G37" s="37">
        <f t="shared" si="18"/>
        <v>-1471033</v>
      </c>
      <c r="H37" s="37">
        <f t="shared" si="18"/>
        <v>-875142</v>
      </c>
      <c r="I37" s="37">
        <f t="shared" si="18"/>
        <v>-32362.1</v>
      </c>
      <c r="J37" s="37">
        <f t="shared" si="18"/>
        <v>-127579.3</v>
      </c>
      <c r="K37" s="37">
        <f t="shared" si="18"/>
        <v>382519.39999999997</v>
      </c>
      <c r="L37" s="37">
        <f t="shared" si="18"/>
        <v>284531</v>
      </c>
      <c r="M37" s="37">
        <f t="shared" si="18"/>
        <v>321997.8</v>
      </c>
      <c r="N37" s="37">
        <f t="shared" si="18"/>
        <v>208625</v>
      </c>
      <c r="O37" s="37">
        <f>SUM(O38:O48)</f>
        <v>298605</v>
      </c>
      <c r="P37" s="37">
        <f>SUM(P38:P48)</f>
        <v>192901</v>
      </c>
      <c r="Q37" s="37">
        <f t="shared" ref="Q37" si="19">SUM(Q38:Q48)</f>
        <v>-88561.600000000006</v>
      </c>
    </row>
    <row r="38" spans="1:17">
      <c r="A38" s="30" t="s">
        <v>577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1054688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</row>
    <row r="39" spans="1:17">
      <c r="A39" s="28" t="s">
        <v>578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</row>
    <row r="40" spans="1:17">
      <c r="A40" s="30" t="s">
        <v>579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-39646</v>
      </c>
      <c r="I40" s="31">
        <v>0</v>
      </c>
      <c r="J40" s="31">
        <v>-197.8</v>
      </c>
      <c r="K40" s="31">
        <v>-197.8</v>
      </c>
      <c r="L40" s="31">
        <v>-198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</row>
    <row r="41" spans="1:17">
      <c r="A41" s="28" t="s">
        <v>580</v>
      </c>
      <c r="B41" s="32">
        <v>0</v>
      </c>
      <c r="C41" s="32">
        <v>-65791.549700000003</v>
      </c>
      <c r="D41" s="32">
        <v>-65792</v>
      </c>
      <c r="E41" s="32">
        <v>-65792</v>
      </c>
      <c r="F41" s="32">
        <v>0</v>
      </c>
      <c r="G41" s="32">
        <v>0</v>
      </c>
      <c r="H41" s="32">
        <v>0</v>
      </c>
      <c r="I41" s="32">
        <v>0</v>
      </c>
      <c r="J41" s="32">
        <v>-42000</v>
      </c>
      <c r="K41" s="32">
        <v>-42000</v>
      </c>
      <c r="L41" s="32">
        <v>-42000</v>
      </c>
      <c r="M41" s="32">
        <v>0</v>
      </c>
      <c r="N41" s="32">
        <v>-47359</v>
      </c>
      <c r="O41" s="32">
        <v>-71039</v>
      </c>
      <c r="P41" s="32">
        <v>-94723</v>
      </c>
      <c r="Q41" s="32">
        <v>0</v>
      </c>
    </row>
    <row r="42" spans="1:17">
      <c r="A42" s="30" t="s">
        <v>581</v>
      </c>
      <c r="B42" s="31">
        <v>50000</v>
      </c>
      <c r="C42" s="31">
        <v>50000</v>
      </c>
      <c r="D42" s="31">
        <v>400000</v>
      </c>
      <c r="E42" s="31">
        <v>1140740</v>
      </c>
      <c r="F42" s="31">
        <v>0</v>
      </c>
      <c r="G42" s="31">
        <v>0</v>
      </c>
      <c r="H42" s="31">
        <v>0</v>
      </c>
      <c r="I42" s="31">
        <v>0</v>
      </c>
      <c r="J42" s="31">
        <v>250000</v>
      </c>
      <c r="K42" s="31">
        <v>800000</v>
      </c>
      <c r="L42" s="31">
        <v>800000</v>
      </c>
      <c r="M42" s="31">
        <v>400000</v>
      </c>
      <c r="N42" s="31">
        <v>400000</v>
      </c>
      <c r="O42" s="31">
        <v>750000</v>
      </c>
      <c r="P42" s="31">
        <v>750000</v>
      </c>
      <c r="Q42" s="31">
        <v>0</v>
      </c>
    </row>
    <row r="43" spans="1:17">
      <c r="A43" s="28" t="s">
        <v>582</v>
      </c>
      <c r="B43" s="32">
        <v>-98790</v>
      </c>
      <c r="C43" s="32">
        <v>-184071.89270776135</v>
      </c>
      <c r="D43" s="32">
        <v>-681446</v>
      </c>
      <c r="E43" s="32">
        <v>-789934</v>
      </c>
      <c r="F43" s="32">
        <v>-803101</v>
      </c>
      <c r="G43" s="32">
        <v>-1454168</v>
      </c>
      <c r="H43" s="32">
        <v>-1873462</v>
      </c>
      <c r="I43" s="32">
        <v>-27764.5</v>
      </c>
      <c r="J43" s="32">
        <v>-301492.40000000002</v>
      </c>
      <c r="K43" s="32">
        <v>-322422.8</v>
      </c>
      <c r="L43" s="32">
        <v>-416891</v>
      </c>
      <c r="M43" s="32">
        <v>-63737.5</v>
      </c>
      <c r="N43" s="32">
        <v>-98749</v>
      </c>
      <c r="O43" s="32">
        <v>-193897</v>
      </c>
      <c r="P43" s="32">
        <v>-289630</v>
      </c>
      <c r="Q43" s="32">
        <v>-88561.600000000006</v>
      </c>
    </row>
    <row r="44" spans="1:17">
      <c r="A44" s="30" t="s">
        <v>573</v>
      </c>
      <c r="B44" s="31">
        <v>4562</v>
      </c>
      <c r="C44" s="31">
        <v>10373.374750000001</v>
      </c>
      <c r="D44" s="31">
        <v>15282</v>
      </c>
      <c r="E44" s="31">
        <v>19700</v>
      </c>
      <c r="F44" s="31">
        <v>17780</v>
      </c>
      <c r="G44" s="31">
        <v>17780</v>
      </c>
      <c r="H44" s="31">
        <v>17780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</row>
    <row r="45" spans="1:17">
      <c r="A45" s="28" t="s">
        <v>574</v>
      </c>
      <c r="B45" s="32">
        <v>0</v>
      </c>
      <c r="C45" s="32">
        <v>0</v>
      </c>
      <c r="D45" s="32">
        <v>0</v>
      </c>
      <c r="E45" s="32">
        <v>0</v>
      </c>
      <c r="F45" s="32">
        <v>-29082</v>
      </c>
      <c r="G45" s="32">
        <v>-29082</v>
      </c>
      <c r="H45" s="32">
        <v>-29082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</row>
    <row r="46" spans="1:17">
      <c r="A46" s="30" t="s">
        <v>583</v>
      </c>
      <c r="B46" s="31">
        <v>-16022</v>
      </c>
      <c r="C46" s="31">
        <v>-25742.154270000003</v>
      </c>
      <c r="D46" s="31">
        <v>-25742</v>
      </c>
      <c r="E46" s="31">
        <v>-25742</v>
      </c>
      <c r="F46" s="31">
        <v>0</v>
      </c>
      <c r="G46" s="31">
        <v>1491</v>
      </c>
      <c r="H46" s="31">
        <v>1489</v>
      </c>
      <c r="I46" s="31">
        <v>-4597.6000000000004</v>
      </c>
      <c r="J46" s="31">
        <v>-30886.400000000001</v>
      </c>
      <c r="K46" s="31">
        <v>-43566.7</v>
      </c>
      <c r="L46" s="31">
        <v>-45360</v>
      </c>
      <c r="M46" s="31">
        <v>-10025.700000000001</v>
      </c>
      <c r="N46" s="31">
        <v>-29030</v>
      </c>
      <c r="O46" s="31">
        <v>-167244</v>
      </c>
      <c r="P46" s="31">
        <v>-167244</v>
      </c>
      <c r="Q46" s="31">
        <v>0</v>
      </c>
    </row>
    <row r="47" spans="1:17">
      <c r="A47" s="28" t="s">
        <v>584</v>
      </c>
      <c r="B47" s="32">
        <v>-1836</v>
      </c>
      <c r="C47" s="32">
        <v>-15100.357579999909</v>
      </c>
      <c r="D47" s="32">
        <v>-19687</v>
      </c>
      <c r="E47" s="32">
        <v>-25856</v>
      </c>
      <c r="F47" s="32">
        <v>-6897</v>
      </c>
      <c r="G47" s="32">
        <v>-7054</v>
      </c>
      <c r="H47" s="32">
        <v>-6909</v>
      </c>
      <c r="I47" s="32">
        <v>0</v>
      </c>
      <c r="J47" s="32">
        <v>-3002.7</v>
      </c>
      <c r="K47" s="32">
        <v>-9293.2999999999993</v>
      </c>
      <c r="L47" s="32">
        <v>-11020</v>
      </c>
      <c r="M47" s="32">
        <v>-4239</v>
      </c>
      <c r="N47" s="32">
        <v>-16237</v>
      </c>
      <c r="O47" s="32">
        <v>-22817</v>
      </c>
      <c r="P47" s="32">
        <v>-9104</v>
      </c>
      <c r="Q47" s="32">
        <v>0</v>
      </c>
    </row>
    <row r="48" spans="1:17">
      <c r="A48" s="30" t="s">
        <v>676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3602</v>
      </c>
      <c r="P48" s="31">
        <v>3602</v>
      </c>
      <c r="Q48" s="31">
        <v>0</v>
      </c>
    </row>
    <row r="49" spans="1:17">
      <c r="A49" s="36" t="s">
        <v>585</v>
      </c>
      <c r="B49" s="37">
        <f t="shared" ref="B49:I49" si="20">B2+B29+B37</f>
        <v>-14284</v>
      </c>
      <c r="C49" s="37">
        <f t="shared" si="20"/>
        <v>76852.940157707897</v>
      </c>
      <c r="D49" s="37">
        <f t="shared" si="20"/>
        <v>178442</v>
      </c>
      <c r="E49" s="37">
        <f t="shared" si="20"/>
        <v>891811</v>
      </c>
      <c r="F49" s="37">
        <f t="shared" si="20"/>
        <v>-500816.65521999996</v>
      </c>
      <c r="G49" s="37">
        <f t="shared" si="20"/>
        <v>-577074</v>
      </c>
      <c r="H49" s="37">
        <f t="shared" si="20"/>
        <v>148511</v>
      </c>
      <c r="I49" s="37">
        <f t="shared" si="20"/>
        <v>62902.438000000089</v>
      </c>
      <c r="J49" s="37">
        <f t="shared" ref="J49:K49" si="21">J2+J29+J37</f>
        <v>-15507.461999999956</v>
      </c>
      <c r="K49" s="37">
        <f t="shared" si="21"/>
        <v>629032.13800000004</v>
      </c>
      <c r="L49" s="37">
        <f t="shared" ref="L49:M49" si="22">L2+L29+L37</f>
        <v>-76365</v>
      </c>
      <c r="M49" s="37">
        <f t="shared" si="22"/>
        <v>-382979.20000000013</v>
      </c>
      <c r="N49" s="37">
        <f t="shared" ref="N49" si="23">N2+N29+N37</f>
        <v>-484312</v>
      </c>
      <c r="O49" s="37">
        <f>O2+O29+O37</f>
        <v>-87236</v>
      </c>
      <c r="P49" s="37">
        <f>P2+P29+P37</f>
        <v>-139547</v>
      </c>
      <c r="Q49" s="37">
        <f t="shared" ref="Q49" si="24">Q2+Q29+Q37</f>
        <v>-105120.59999999999</v>
      </c>
    </row>
    <row r="52" spans="1:17">
      <c r="L52" s="103"/>
      <c r="M52" s="103"/>
      <c r="N52" s="103"/>
      <c r="O52" s="103"/>
      <c r="P52" s="103"/>
      <c r="Q52" s="103"/>
    </row>
    <row r="53" spans="1:17">
      <c r="L53" s="103"/>
      <c r="M53" s="103"/>
      <c r="N53" s="103"/>
      <c r="O53" s="103"/>
      <c r="P53" s="103"/>
      <c r="Q53" s="103"/>
    </row>
    <row r="54" spans="1:17">
      <c r="L54" s="103"/>
      <c r="M54" s="103"/>
      <c r="N54" s="103"/>
      <c r="O54" s="103"/>
      <c r="P54" s="103"/>
      <c r="Q54" s="103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8BCD4-0924-4C45-833E-7B36DCD20249}">
  <sheetPr>
    <pageSetUpPr fitToPage="1"/>
  </sheetPr>
  <dimension ref="A4:J158"/>
  <sheetViews>
    <sheetView showGridLines="0" topLeftCell="A4" zoomScale="70" zoomScaleNormal="70" workbookViewId="0">
      <pane ySplit="4" topLeftCell="A8" activePane="bottomLeft" state="frozen"/>
      <selection activeCell="A4" sqref="A4"/>
      <selection pane="bottomLeft" activeCell="H8" sqref="H8"/>
    </sheetView>
  </sheetViews>
  <sheetFormatPr defaultColWidth="9.1796875" defaultRowHeight="0" customHeight="1" zeroHeight="1"/>
  <cols>
    <col min="1" max="1" width="3.453125" style="277" bestFit="1" customWidth="1"/>
    <col min="2" max="2" width="39.7265625" style="280" customWidth="1"/>
    <col min="3" max="3" width="14.81640625" style="277" bestFit="1" customWidth="1"/>
    <col min="4" max="4" width="22.54296875" style="277" bestFit="1" customWidth="1"/>
    <col min="5" max="5" width="9.1796875" style="277" bestFit="1" customWidth="1"/>
    <col min="6" max="6" width="12.54296875" style="277" bestFit="1" customWidth="1"/>
    <col min="7" max="7" width="9.7265625" style="277" customWidth="1"/>
    <col min="8" max="8" width="15.26953125" style="278" bestFit="1" customWidth="1"/>
    <col min="9" max="16384" width="9.1796875" style="279"/>
  </cols>
  <sheetData>
    <row r="4" spans="1:9" ht="12.5">
      <c r="B4" s="321"/>
    </row>
    <row r="5" spans="1:9" ht="12.5">
      <c r="B5" s="321"/>
    </row>
    <row r="6" spans="1:9" ht="13"/>
    <row r="7" spans="1:9" s="281" customFormat="1" ht="33.75" customHeight="1">
      <c r="B7" s="2" t="s">
        <v>205</v>
      </c>
      <c r="C7" s="2" t="s">
        <v>143</v>
      </c>
      <c r="D7" s="2" t="s">
        <v>206</v>
      </c>
      <c r="E7" s="2" t="s">
        <v>74</v>
      </c>
      <c r="F7" s="2" t="s">
        <v>260</v>
      </c>
      <c r="G7" s="2" t="s">
        <v>261</v>
      </c>
      <c r="H7" s="2" t="s">
        <v>215</v>
      </c>
    </row>
    <row r="8" spans="1:9" ht="13">
      <c r="B8" s="3" t="s">
        <v>78</v>
      </c>
      <c r="C8" s="4" t="s">
        <v>76</v>
      </c>
      <c r="D8" s="4" t="s">
        <v>207</v>
      </c>
      <c r="E8" s="5" t="s">
        <v>79</v>
      </c>
      <c r="F8" s="6">
        <v>39231</v>
      </c>
      <c r="G8" s="5">
        <v>4</v>
      </c>
      <c r="H8" s="7">
        <v>18640.443599999999</v>
      </c>
      <c r="I8"/>
    </row>
    <row r="9" spans="1:9" ht="13">
      <c r="B9" s="8" t="s">
        <v>80</v>
      </c>
      <c r="C9" s="9" t="s">
        <v>76</v>
      </c>
      <c r="D9" s="9" t="s">
        <v>208</v>
      </c>
      <c r="E9" s="9" t="s">
        <v>81</v>
      </c>
      <c r="F9" s="10">
        <v>39280</v>
      </c>
      <c r="G9" s="9">
        <v>1</v>
      </c>
      <c r="H9" s="11">
        <v>7653.6855000000005</v>
      </c>
      <c r="I9"/>
    </row>
    <row r="10" spans="1:9" ht="13">
      <c r="B10" s="3" t="s">
        <v>82</v>
      </c>
      <c r="C10" s="4" t="s">
        <v>76</v>
      </c>
      <c r="D10" s="4" t="s">
        <v>209</v>
      </c>
      <c r="E10" s="5" t="s">
        <v>79</v>
      </c>
      <c r="F10" s="6">
        <v>39294</v>
      </c>
      <c r="G10" s="5">
        <v>1</v>
      </c>
      <c r="H10" s="7">
        <v>9854.6799999999948</v>
      </c>
      <c r="I10"/>
    </row>
    <row r="11" spans="1:9" ht="13">
      <c r="A11" s="279"/>
      <c r="B11" s="8" t="s">
        <v>104</v>
      </c>
      <c r="C11" s="9" t="s">
        <v>76</v>
      </c>
      <c r="D11" s="9" t="s">
        <v>207</v>
      </c>
      <c r="E11" s="9" t="s">
        <v>79</v>
      </c>
      <c r="F11" s="10">
        <v>40253</v>
      </c>
      <c r="G11" s="9">
        <v>1</v>
      </c>
      <c r="H11" s="11">
        <v>26291.478088519721</v>
      </c>
      <c r="I11"/>
    </row>
    <row r="12" spans="1:9" ht="13">
      <c r="A12" s="279"/>
      <c r="B12" s="3" t="s">
        <v>211</v>
      </c>
      <c r="C12" s="4" t="s">
        <v>329</v>
      </c>
      <c r="D12" s="4" t="s">
        <v>208</v>
      </c>
      <c r="E12" s="5" t="s">
        <v>81</v>
      </c>
      <c r="F12" s="6">
        <v>40359</v>
      </c>
      <c r="G12" s="5">
        <v>1</v>
      </c>
      <c r="H12" s="7">
        <v>23380.801768805501</v>
      </c>
      <c r="I12"/>
    </row>
    <row r="13" spans="1:9" ht="13">
      <c r="A13" s="279"/>
      <c r="B13" s="8" t="s">
        <v>264</v>
      </c>
      <c r="C13" s="9" t="s">
        <v>329</v>
      </c>
      <c r="D13" s="9" t="s">
        <v>208</v>
      </c>
      <c r="E13" s="9" t="s">
        <v>81</v>
      </c>
      <c r="F13" s="10">
        <v>40402</v>
      </c>
      <c r="G13" s="9">
        <v>1</v>
      </c>
      <c r="H13" s="11">
        <v>44636.722618899956</v>
      </c>
      <c r="I13"/>
    </row>
    <row r="14" spans="1:9" ht="13">
      <c r="A14"/>
      <c r="B14" s="3" t="s">
        <v>265</v>
      </c>
      <c r="C14" s="4" t="s">
        <v>76</v>
      </c>
      <c r="D14" s="4" t="s">
        <v>315</v>
      </c>
      <c r="E14" s="5" t="s">
        <v>96</v>
      </c>
      <c r="F14" s="6">
        <v>40997</v>
      </c>
      <c r="G14" s="5">
        <v>1</v>
      </c>
      <c r="H14" s="7">
        <v>8932</v>
      </c>
      <c r="I14"/>
    </row>
    <row r="15" spans="1:9" ht="13">
      <c r="A15"/>
      <c r="B15" s="8" t="s">
        <v>269</v>
      </c>
      <c r="C15" s="9" t="s">
        <v>76</v>
      </c>
      <c r="D15" s="9" t="s">
        <v>269</v>
      </c>
      <c r="E15" s="9" t="s">
        <v>272</v>
      </c>
      <c r="F15" s="10">
        <v>40997</v>
      </c>
      <c r="G15" s="9">
        <v>1</v>
      </c>
      <c r="H15" s="11">
        <v>15597.159900000004</v>
      </c>
      <c r="I15"/>
    </row>
    <row r="16" spans="1:9" ht="13">
      <c r="A16"/>
      <c r="B16" s="3" t="s">
        <v>271</v>
      </c>
      <c r="C16" s="4" t="s">
        <v>329</v>
      </c>
      <c r="D16" s="4" t="s">
        <v>208</v>
      </c>
      <c r="E16" s="5" t="s">
        <v>81</v>
      </c>
      <c r="F16" s="6">
        <v>41029</v>
      </c>
      <c r="G16" s="5">
        <v>1</v>
      </c>
      <c r="H16" s="7">
        <v>46886.659999999996</v>
      </c>
      <c r="I16"/>
    </row>
    <row r="17" spans="1:10" ht="13">
      <c r="A17"/>
      <c r="B17" s="8" t="s">
        <v>355</v>
      </c>
      <c r="C17" s="9" t="s">
        <v>76</v>
      </c>
      <c r="D17" s="9" t="s">
        <v>207</v>
      </c>
      <c r="E17" s="9" t="s">
        <v>79</v>
      </c>
      <c r="F17" s="10">
        <v>39231</v>
      </c>
      <c r="G17" s="9">
        <v>1</v>
      </c>
      <c r="H17" s="11">
        <f>4696.32</f>
        <v>4696.32</v>
      </c>
      <c r="I17"/>
    </row>
    <row r="18" spans="1:10" ht="13">
      <c r="A18"/>
      <c r="B18" s="3" t="s">
        <v>318</v>
      </c>
      <c r="C18" s="4" t="s">
        <v>329</v>
      </c>
      <c r="D18" s="4" t="s">
        <v>207</v>
      </c>
      <c r="E18" s="5" t="s">
        <v>79</v>
      </c>
      <c r="F18" s="6">
        <v>40997</v>
      </c>
      <c r="G18" s="5">
        <v>1</v>
      </c>
      <c r="H18" s="7">
        <v>24454.648000000001</v>
      </c>
      <c r="I18"/>
    </row>
    <row r="19" spans="1:10" ht="13">
      <c r="A19"/>
      <c r="B19" s="8" t="s">
        <v>409</v>
      </c>
      <c r="C19" s="9" t="s">
        <v>329</v>
      </c>
      <c r="D19" s="9" t="s">
        <v>208</v>
      </c>
      <c r="E19" s="9" t="s">
        <v>81</v>
      </c>
      <c r="F19" s="10">
        <v>42719</v>
      </c>
      <c r="G19" s="9">
        <v>3</v>
      </c>
      <c r="H19" s="11">
        <v>82859.346165360286</v>
      </c>
      <c r="I19"/>
    </row>
    <row r="20" spans="1:10" ht="13">
      <c r="A20"/>
      <c r="B20" s="3" t="s">
        <v>419</v>
      </c>
      <c r="C20" s="4" t="s">
        <v>329</v>
      </c>
      <c r="D20" s="4" t="s">
        <v>207</v>
      </c>
      <c r="E20" s="5" t="s">
        <v>79</v>
      </c>
      <c r="F20" s="6">
        <v>42930</v>
      </c>
      <c r="G20" s="5">
        <v>2</v>
      </c>
      <c r="H20" s="7">
        <v>61393.390855366932</v>
      </c>
      <c r="I20"/>
    </row>
    <row r="21" spans="1:10" ht="13">
      <c r="A21"/>
      <c r="B21" s="8" t="s">
        <v>666</v>
      </c>
      <c r="C21" s="9" t="s">
        <v>329</v>
      </c>
      <c r="D21" s="9" t="s">
        <v>207</v>
      </c>
      <c r="E21" s="9" t="s">
        <v>79</v>
      </c>
      <c r="F21" s="10">
        <v>44181</v>
      </c>
      <c r="G21" s="9">
        <v>3</v>
      </c>
      <c r="H21" s="11">
        <v>101925.89</v>
      </c>
      <c r="I21"/>
    </row>
    <row r="22" spans="1:10" ht="13">
      <c r="A22"/>
      <c r="B22" s="12" t="s">
        <v>212</v>
      </c>
      <c r="C22" s="13"/>
      <c r="D22" s="13"/>
      <c r="E22" s="13"/>
      <c r="F22" s="13"/>
      <c r="G22" s="13">
        <f>SUM(G8:G21)</f>
        <v>22</v>
      </c>
      <c r="H22" s="14">
        <f>SUM(H8:H21)</f>
        <v>477203.22649695241</v>
      </c>
      <c r="I22"/>
    </row>
    <row r="23" spans="1:10" ht="13">
      <c r="A23"/>
      <c r="B23" s="3" t="s">
        <v>420</v>
      </c>
      <c r="C23" s="4" t="s">
        <v>144</v>
      </c>
      <c r="D23" s="4" t="s">
        <v>417</v>
      </c>
      <c r="E23" s="5" t="s">
        <v>79</v>
      </c>
      <c r="F23" s="6">
        <v>42933</v>
      </c>
      <c r="G23" s="5">
        <v>1</v>
      </c>
      <c r="H23" s="7">
        <v>22992.973899999997</v>
      </c>
      <c r="I23"/>
    </row>
    <row r="24" spans="1:10" ht="13">
      <c r="A24"/>
      <c r="B24" s="8" t="s">
        <v>587</v>
      </c>
      <c r="C24" s="9" t="s">
        <v>144</v>
      </c>
      <c r="D24" s="9" t="s">
        <v>417</v>
      </c>
      <c r="E24" s="9" t="s">
        <v>79</v>
      </c>
      <c r="F24" s="10">
        <v>42993</v>
      </c>
      <c r="G24" s="9">
        <v>1</v>
      </c>
      <c r="H24" s="11">
        <v>14404.254699999998</v>
      </c>
      <c r="I24"/>
    </row>
    <row r="25" spans="1:10" ht="13">
      <c r="A25"/>
      <c r="B25" s="3" t="s">
        <v>662</v>
      </c>
      <c r="C25" s="4" t="s">
        <v>144</v>
      </c>
      <c r="D25" s="4" t="s">
        <v>417</v>
      </c>
      <c r="E25" s="5" t="s">
        <v>79</v>
      </c>
      <c r="F25" s="6">
        <v>44050</v>
      </c>
      <c r="G25" s="5">
        <v>1</v>
      </c>
      <c r="H25" s="7">
        <f>8462.42+1500</f>
        <v>9962.42</v>
      </c>
      <c r="I25"/>
    </row>
    <row r="26" spans="1:10" ht="13">
      <c r="A26"/>
      <c r="B26" s="8" t="s">
        <v>672</v>
      </c>
      <c r="C26" s="9" t="s">
        <v>144</v>
      </c>
      <c r="D26" s="9" t="s">
        <v>417</v>
      </c>
      <c r="E26" s="9" t="s">
        <v>79</v>
      </c>
      <c r="F26" s="10">
        <v>43976</v>
      </c>
      <c r="G26" s="9">
        <v>1</v>
      </c>
      <c r="H26" s="11">
        <v>62765</v>
      </c>
      <c r="I26"/>
    </row>
    <row r="27" spans="1:10" ht="13">
      <c r="A27"/>
      <c r="B27" s="12" t="s">
        <v>418</v>
      </c>
      <c r="C27" s="13"/>
      <c r="D27" s="13"/>
      <c r="E27" s="13"/>
      <c r="F27" s="13"/>
      <c r="G27" s="13">
        <f>SUM(G23:G26)</f>
        <v>4</v>
      </c>
      <c r="H27" s="14">
        <f>SUM(H23:H26)</f>
        <v>110124.64859999999</v>
      </c>
      <c r="I27"/>
    </row>
    <row r="28" spans="1:10" ht="13">
      <c r="A28"/>
      <c r="B28" s="3" t="s">
        <v>613</v>
      </c>
      <c r="C28" s="4" t="s">
        <v>144</v>
      </c>
      <c r="D28" s="4" t="s">
        <v>207</v>
      </c>
      <c r="E28" s="5" t="s">
        <v>79</v>
      </c>
      <c r="F28" s="6">
        <v>43395</v>
      </c>
      <c r="G28" s="5">
        <v>1</v>
      </c>
      <c r="H28" s="7">
        <v>149524.85000000003</v>
      </c>
      <c r="I28"/>
      <c r="J28" s="307"/>
    </row>
    <row r="29" spans="1:10" ht="13">
      <c r="A29"/>
      <c r="B29" s="8" t="s">
        <v>357</v>
      </c>
      <c r="C29" s="9" t="s">
        <v>76</v>
      </c>
      <c r="D29" s="9" t="s">
        <v>207</v>
      </c>
      <c r="E29" s="9" t="s">
        <v>79</v>
      </c>
      <c r="F29" s="10">
        <v>39231</v>
      </c>
      <c r="G29" s="9">
        <v>1</v>
      </c>
      <c r="H29" s="11">
        <v>4659</v>
      </c>
      <c r="I29"/>
      <c r="J29" s="307"/>
    </row>
    <row r="30" spans="1:10" ht="13">
      <c r="A30"/>
      <c r="B30" s="3" t="s">
        <v>358</v>
      </c>
      <c r="C30" s="4" t="s">
        <v>76</v>
      </c>
      <c r="D30" s="4" t="s">
        <v>207</v>
      </c>
      <c r="E30" s="5" t="s">
        <v>79</v>
      </c>
      <c r="F30" s="6">
        <v>39231</v>
      </c>
      <c r="G30" s="5">
        <v>1</v>
      </c>
      <c r="H30" s="7">
        <v>4659</v>
      </c>
      <c r="I30"/>
    </row>
    <row r="31" spans="1:10" ht="13">
      <c r="A31"/>
      <c r="B31" s="8" t="s">
        <v>321</v>
      </c>
      <c r="C31" s="9" t="s">
        <v>329</v>
      </c>
      <c r="D31" s="9" t="s">
        <v>208</v>
      </c>
      <c r="E31" s="9" t="s">
        <v>81</v>
      </c>
      <c r="F31" s="10">
        <v>40997</v>
      </c>
      <c r="G31" s="9">
        <v>1</v>
      </c>
      <c r="H31" s="11">
        <v>10000</v>
      </c>
      <c r="I31"/>
    </row>
    <row r="32" spans="1:10" ht="13">
      <c r="A32"/>
      <c r="B32" s="3" t="s">
        <v>322</v>
      </c>
      <c r="C32" s="4" t="s">
        <v>329</v>
      </c>
      <c r="D32" s="4" t="s">
        <v>208</v>
      </c>
      <c r="E32" s="5" t="s">
        <v>81</v>
      </c>
      <c r="F32" s="6">
        <v>40997</v>
      </c>
      <c r="G32" s="5">
        <v>1</v>
      </c>
      <c r="H32" s="7">
        <v>21989</v>
      </c>
      <c r="I32"/>
    </row>
    <row r="33" spans="1:10" ht="13">
      <c r="A33"/>
      <c r="B33" s="8" t="s">
        <v>398</v>
      </c>
      <c r="C33" s="9" t="s">
        <v>144</v>
      </c>
      <c r="D33" s="9" t="s">
        <v>207</v>
      </c>
      <c r="E33" s="9" t="s">
        <v>79</v>
      </c>
      <c r="F33" s="10">
        <v>42524</v>
      </c>
      <c r="G33" s="9">
        <v>1</v>
      </c>
      <c r="H33" s="11">
        <v>32987.1</v>
      </c>
      <c r="I33"/>
    </row>
    <row r="34" spans="1:10" ht="13">
      <c r="A34"/>
      <c r="B34" s="12" t="s">
        <v>346</v>
      </c>
      <c r="C34" s="13"/>
      <c r="D34" s="13"/>
      <c r="E34" s="13"/>
      <c r="F34" s="13"/>
      <c r="G34" s="13">
        <f>SUM(G28:G33)</f>
        <v>6</v>
      </c>
      <c r="H34" s="14">
        <f>SUM(H28:H33)</f>
        <v>223818.95000000004</v>
      </c>
      <c r="I34"/>
    </row>
    <row r="35" spans="1:10" ht="13">
      <c r="A35"/>
      <c r="B35" s="15"/>
      <c r="C35" s="15"/>
      <c r="D35" s="15"/>
      <c r="E35" s="15"/>
      <c r="F35" s="15"/>
      <c r="G35" s="15"/>
      <c r="H35" s="16"/>
      <c r="I35"/>
    </row>
    <row r="36" spans="1:10" ht="13.5" thickBot="1">
      <c r="A36"/>
      <c r="B36" s="17" t="s">
        <v>214</v>
      </c>
      <c r="C36" s="17"/>
      <c r="D36" s="17"/>
      <c r="E36" s="17"/>
      <c r="F36" s="17"/>
      <c r="G36" s="18">
        <f>G34+G22+G27</f>
        <v>32</v>
      </c>
      <c r="H36" s="19">
        <f>H22+H34+H27</f>
        <v>811146.82509695238</v>
      </c>
      <c r="I36"/>
    </row>
    <row r="37" spans="1:10" ht="13">
      <c r="A37"/>
      <c r="B37" s="21"/>
      <c r="C37" s="270"/>
      <c r="D37"/>
      <c r="E37"/>
      <c r="F37"/>
      <c r="G37"/>
      <c r="H37"/>
      <c r="I37"/>
    </row>
    <row r="38" spans="1:10" ht="12.5">
      <c r="A38"/>
      <c r="B38" s="21"/>
      <c r="C38" s="271"/>
      <c r="D38" s="271"/>
      <c r="E38" s="271"/>
      <c r="F38" s="271"/>
      <c r="G38" s="271"/>
      <c r="H38" s="272"/>
      <c r="I38"/>
    </row>
    <row r="39" spans="1:10" ht="13">
      <c r="A39"/>
      <c r="B39"/>
      <c r="C39"/>
      <c r="D39"/>
      <c r="E39"/>
      <c r="F39"/>
      <c r="G39"/>
      <c r="H39"/>
      <c r="I39" s="1"/>
    </row>
    <row r="40" spans="1:10" ht="12.5">
      <c r="A40"/>
      <c r="B40"/>
      <c r="C40"/>
      <c r="D40"/>
      <c r="E40"/>
      <c r="F40"/>
      <c r="G40"/>
      <c r="H40"/>
      <c r="I40"/>
    </row>
    <row r="41" spans="1:10" ht="12.5">
      <c r="A41"/>
      <c r="B41"/>
      <c r="C41"/>
      <c r="D41"/>
      <c r="E41"/>
      <c r="F41"/>
      <c r="G41"/>
      <c r="H41"/>
    </row>
    <row r="42" spans="1:10" ht="12.5">
      <c r="A42"/>
      <c r="B42"/>
      <c r="C42"/>
      <c r="D42"/>
      <c r="E42"/>
      <c r="F42"/>
      <c r="G42"/>
      <c r="H42"/>
    </row>
    <row r="43" spans="1:10" ht="12.5">
      <c r="A43"/>
      <c r="B43"/>
      <c r="C43"/>
      <c r="D43"/>
      <c r="E43"/>
      <c r="F43"/>
      <c r="G43"/>
      <c r="H43"/>
    </row>
    <row r="44" spans="1:10" ht="12.5">
      <c r="A44"/>
      <c r="B44"/>
      <c r="C44"/>
      <c r="D44"/>
      <c r="E44"/>
      <c r="F44"/>
      <c r="G44"/>
      <c r="H44"/>
      <c r="I44"/>
      <c r="J44"/>
    </row>
    <row r="45" spans="1:10" ht="12.5">
      <c r="A45"/>
      <c r="B45"/>
      <c r="C45"/>
      <c r="D45"/>
      <c r="E45"/>
      <c r="F45"/>
      <c r="G45"/>
      <c r="H45"/>
      <c r="I45"/>
      <c r="J45"/>
    </row>
    <row r="46" spans="1:10" ht="12.5">
      <c r="A46"/>
      <c r="B46"/>
      <c r="C46"/>
      <c r="D46"/>
      <c r="E46"/>
      <c r="F46"/>
      <c r="G46"/>
      <c r="H46"/>
      <c r="I46"/>
      <c r="J46"/>
    </row>
    <row r="47" spans="1:10" ht="12.5">
      <c r="A47"/>
      <c r="B47"/>
      <c r="C47"/>
      <c r="D47"/>
      <c r="E47"/>
      <c r="F47"/>
      <c r="G47"/>
      <c r="H47"/>
      <c r="I47"/>
      <c r="J47"/>
    </row>
    <row r="48" spans="1:10" ht="12.5">
      <c r="A48"/>
      <c r="B48"/>
      <c r="C48"/>
      <c r="D48"/>
      <c r="E48"/>
      <c r="F48"/>
      <c r="G48"/>
      <c r="H48"/>
      <c r="I48"/>
      <c r="J48"/>
    </row>
    <row r="49" spans="1:10" ht="12.5">
      <c r="A49"/>
      <c r="B49"/>
      <c r="C49"/>
      <c r="D49"/>
      <c r="E49"/>
      <c r="F49"/>
      <c r="G49"/>
      <c r="H49"/>
      <c r="I49"/>
      <c r="J49"/>
    </row>
    <row r="50" spans="1:10" ht="12.5">
      <c r="A50"/>
      <c r="B50"/>
      <c r="C50"/>
      <c r="D50"/>
      <c r="E50"/>
      <c r="F50"/>
      <c r="G50"/>
      <c r="H50"/>
      <c r="I50"/>
      <c r="J50"/>
    </row>
    <row r="51" spans="1:10" ht="12.5">
      <c r="A51"/>
      <c r="B51"/>
      <c r="C51"/>
      <c r="D51"/>
      <c r="E51"/>
      <c r="F51"/>
      <c r="G51"/>
      <c r="H51"/>
      <c r="I51"/>
      <c r="J51"/>
    </row>
    <row r="52" spans="1:10" ht="12.5">
      <c r="A52"/>
      <c r="B52"/>
      <c r="C52"/>
      <c r="D52"/>
      <c r="E52"/>
      <c r="F52"/>
      <c r="G52"/>
      <c r="H52"/>
      <c r="I52"/>
      <c r="J52"/>
    </row>
    <row r="53" spans="1:10" ht="12.5">
      <c r="A53"/>
      <c r="B53"/>
      <c r="C53"/>
      <c r="D53"/>
      <c r="E53"/>
      <c r="F53"/>
      <c r="G53"/>
      <c r="H53"/>
      <c r="I53"/>
      <c r="J53"/>
    </row>
    <row r="54" spans="1:10" customFormat="1" ht="12.5"/>
    <row r="55" spans="1:10" customFormat="1" ht="12.5"/>
    <row r="56" spans="1:10" customFormat="1" ht="12.5"/>
    <row r="57" spans="1:10" customFormat="1" ht="12.5"/>
    <row r="58" spans="1:10" customFormat="1" ht="12.5"/>
    <row r="59" spans="1:10" customFormat="1" ht="12.5"/>
    <row r="60" spans="1:10" customFormat="1" ht="12.5"/>
    <row r="61" spans="1:10" customFormat="1" ht="12.5"/>
    <row r="62" spans="1:10" customFormat="1" ht="12.5"/>
    <row r="63" spans="1:10" ht="12.5">
      <c r="A63"/>
      <c r="B63"/>
      <c r="C63"/>
      <c r="D63"/>
      <c r="E63"/>
      <c r="F63"/>
      <c r="G63"/>
      <c r="H63"/>
    </row>
    <row r="64" spans="1:10" ht="12.5">
      <c r="A64"/>
      <c r="B64"/>
      <c r="C64"/>
      <c r="D64"/>
      <c r="E64"/>
      <c r="F64"/>
      <c r="G64"/>
      <c r="H64"/>
    </row>
    <row r="65" spans="1:8" ht="12.5">
      <c r="A65"/>
      <c r="B65"/>
      <c r="C65"/>
      <c r="D65"/>
      <c r="E65"/>
      <c r="F65"/>
      <c r="G65"/>
      <c r="H65"/>
    </row>
    <row r="66" spans="1:8" ht="12.5">
      <c r="A66"/>
      <c r="B66"/>
      <c r="C66"/>
      <c r="D66"/>
      <c r="E66"/>
      <c r="F66"/>
      <c r="G66"/>
      <c r="H66"/>
    </row>
    <row r="67" spans="1:8" ht="12.5">
      <c r="A67"/>
      <c r="B67"/>
      <c r="C67"/>
      <c r="D67"/>
      <c r="E67"/>
      <c r="F67"/>
      <c r="G67"/>
      <c r="H67"/>
    </row>
    <row r="68" spans="1:8" ht="12.5">
      <c r="A68"/>
      <c r="B68"/>
      <c r="C68"/>
      <c r="D68"/>
      <c r="E68"/>
      <c r="F68"/>
      <c r="G68"/>
      <c r="H68"/>
    </row>
    <row r="69" spans="1:8" ht="12.5">
      <c r="A69"/>
      <c r="B69"/>
      <c r="C69"/>
      <c r="D69"/>
      <c r="E69"/>
      <c r="F69"/>
      <c r="G69"/>
      <c r="H69"/>
    </row>
    <row r="70" spans="1:8" ht="12.5">
      <c r="A70"/>
      <c r="B70"/>
      <c r="C70"/>
      <c r="D70"/>
      <c r="E70"/>
      <c r="F70"/>
      <c r="G70"/>
      <c r="H70"/>
    </row>
    <row r="71" spans="1:8" ht="12.5">
      <c r="A71"/>
      <c r="B71"/>
      <c r="C71"/>
      <c r="D71"/>
      <c r="E71"/>
      <c r="F71"/>
      <c r="G71"/>
      <c r="H71"/>
    </row>
    <row r="72" spans="1:8" ht="12.5">
      <c r="A72"/>
      <c r="B72"/>
      <c r="C72"/>
      <c r="D72"/>
      <c r="E72"/>
      <c r="F72"/>
      <c r="G72"/>
      <c r="H72"/>
    </row>
    <row r="73" spans="1:8" ht="12.5">
      <c r="A73"/>
      <c r="B73"/>
      <c r="C73"/>
      <c r="D73"/>
      <c r="E73"/>
      <c r="F73"/>
      <c r="G73"/>
      <c r="H73"/>
    </row>
    <row r="74" spans="1:8" ht="12.5">
      <c r="A74"/>
      <c r="B74"/>
      <c r="C74"/>
      <c r="D74"/>
      <c r="E74"/>
      <c r="F74"/>
      <c r="G74"/>
      <c r="H74"/>
    </row>
    <row r="75" spans="1:8" ht="12.5">
      <c r="A75"/>
      <c r="B75"/>
      <c r="C75"/>
      <c r="D75"/>
      <c r="E75"/>
      <c r="F75"/>
      <c r="G75"/>
      <c r="H75"/>
    </row>
    <row r="76" spans="1:8" ht="12.5">
      <c r="A76"/>
      <c r="B76"/>
      <c r="C76"/>
      <c r="D76"/>
      <c r="E76"/>
      <c r="F76"/>
      <c r="G76"/>
      <c r="H76"/>
    </row>
    <row r="77" spans="1:8" ht="12.5">
      <c r="A77"/>
      <c r="B77"/>
      <c r="C77"/>
      <c r="D77"/>
      <c r="E77"/>
      <c r="F77"/>
      <c r="G77"/>
      <c r="H77"/>
    </row>
    <row r="78" spans="1:8" ht="12.5">
      <c r="A78"/>
      <c r="B78"/>
      <c r="C78"/>
      <c r="D78"/>
      <c r="E78"/>
      <c r="F78"/>
      <c r="G78"/>
      <c r="H78"/>
    </row>
    <row r="79" spans="1:8" ht="12.5">
      <c r="A79"/>
      <c r="B79"/>
      <c r="C79"/>
      <c r="D79"/>
      <c r="E79"/>
      <c r="F79"/>
      <c r="G79"/>
      <c r="H79"/>
    </row>
    <row r="80" spans="1:8" ht="12.5">
      <c r="A80"/>
      <c r="B80"/>
      <c r="C80"/>
      <c r="D80"/>
      <c r="E80"/>
      <c r="F80"/>
      <c r="G80"/>
      <c r="H80"/>
    </row>
    <row r="81" spans="1:8" ht="12.5">
      <c r="A81"/>
      <c r="B81"/>
      <c r="C81"/>
      <c r="D81"/>
      <c r="E81"/>
      <c r="F81"/>
      <c r="G81"/>
      <c r="H81"/>
    </row>
    <row r="82" spans="1:8" ht="12.5">
      <c r="A82"/>
      <c r="B82"/>
      <c r="C82"/>
      <c r="D82"/>
      <c r="E82"/>
      <c r="F82"/>
      <c r="G82"/>
      <c r="H82"/>
    </row>
    <row r="83" spans="1:8" ht="12.5">
      <c r="A83"/>
      <c r="B83"/>
      <c r="C83"/>
      <c r="D83"/>
      <c r="E83"/>
      <c r="F83"/>
      <c r="G83"/>
      <c r="H83"/>
    </row>
    <row r="84" spans="1:8" ht="12.5">
      <c r="A84"/>
      <c r="B84"/>
      <c r="C84"/>
      <c r="D84"/>
      <c r="E84"/>
      <c r="F84"/>
      <c r="G84"/>
      <c r="H84"/>
    </row>
    <row r="85" spans="1:8" ht="12.5">
      <c r="A85"/>
      <c r="B85"/>
      <c r="C85"/>
      <c r="D85"/>
      <c r="E85"/>
      <c r="F85"/>
      <c r="G85"/>
      <c r="H85"/>
    </row>
    <row r="86" spans="1:8" ht="12.5">
      <c r="A86" s="279"/>
      <c r="B86"/>
      <c r="C86"/>
      <c r="D86"/>
      <c r="E86"/>
      <c r="F86"/>
      <c r="G86"/>
      <c r="H86"/>
    </row>
    <row r="87" spans="1:8" ht="12.5">
      <c r="A87" s="279"/>
      <c r="B87"/>
      <c r="C87"/>
      <c r="D87"/>
      <c r="E87"/>
      <c r="F87"/>
      <c r="G87"/>
      <c r="H87"/>
    </row>
    <row r="88" spans="1:8" ht="12.5">
      <c r="A88" s="279"/>
      <c r="B88"/>
      <c r="C88"/>
      <c r="D88"/>
      <c r="E88"/>
      <c r="F88"/>
      <c r="G88"/>
      <c r="H88"/>
    </row>
    <row r="89" spans="1:8" ht="12.5">
      <c r="A89" s="279"/>
      <c r="B89" s="279"/>
      <c r="C89" s="279"/>
      <c r="D89" s="279"/>
      <c r="E89" s="279"/>
      <c r="F89" s="279"/>
      <c r="G89" s="279"/>
      <c r="H89" s="279"/>
    </row>
    <row r="90" spans="1:8" ht="12.5">
      <c r="A90" s="279"/>
      <c r="B90" s="279"/>
      <c r="C90" s="279"/>
      <c r="D90" s="279"/>
      <c r="E90" s="279"/>
      <c r="F90" s="279"/>
      <c r="G90" s="279"/>
      <c r="H90" s="279"/>
    </row>
    <row r="91" spans="1:8" ht="12.5">
      <c r="A91" s="279"/>
      <c r="B91" s="279"/>
      <c r="C91" s="279"/>
      <c r="D91" s="279"/>
      <c r="E91" s="279"/>
      <c r="F91" s="279"/>
      <c r="G91" s="279"/>
      <c r="H91" s="279"/>
    </row>
    <row r="92" spans="1:8" ht="12.5">
      <c r="A92" s="279"/>
      <c r="B92" s="279"/>
      <c r="C92" s="279"/>
      <c r="D92" s="279"/>
      <c r="E92" s="279"/>
      <c r="F92" s="279"/>
      <c r="G92" s="279"/>
      <c r="H92" s="279"/>
    </row>
    <row r="93" spans="1:8" ht="12.5">
      <c r="A93" s="279"/>
      <c r="B93" s="279"/>
      <c r="C93" s="279"/>
      <c r="D93" s="279"/>
      <c r="E93" s="279"/>
      <c r="F93" s="279"/>
      <c r="G93" s="279"/>
      <c r="H93" s="279"/>
    </row>
    <row r="94" spans="1:8" ht="12.5">
      <c r="A94" s="279"/>
      <c r="B94" s="279"/>
      <c r="C94" s="279"/>
      <c r="D94" s="279"/>
      <c r="E94" s="279"/>
      <c r="F94" s="279"/>
      <c r="G94" s="279"/>
      <c r="H94" s="279"/>
    </row>
    <row r="95" spans="1:8" ht="12.5">
      <c r="A95" s="279"/>
      <c r="B95" s="279"/>
      <c r="C95" s="279"/>
      <c r="D95" s="279"/>
      <c r="E95" s="279"/>
      <c r="F95" s="279"/>
      <c r="G95" s="279"/>
      <c r="H95" s="279"/>
    </row>
    <row r="96" spans="1:8" ht="12.5">
      <c r="A96" s="279"/>
      <c r="B96" s="279"/>
      <c r="C96" s="279"/>
      <c r="D96" s="279"/>
      <c r="E96" s="279"/>
      <c r="F96" s="279"/>
      <c r="G96" s="279"/>
      <c r="H96" s="279"/>
    </row>
    <row r="97" s="279" customFormat="1" ht="12.5"/>
    <row r="98" s="279" customFormat="1" ht="12.5"/>
    <row r="99" s="279" customFormat="1" ht="12.5"/>
    <row r="100" s="279" customFormat="1" ht="12.5"/>
    <row r="101" s="279" customFormat="1" ht="12.5"/>
    <row r="102" s="279" customFormat="1" ht="12.5"/>
    <row r="103" s="279" customFormat="1" ht="12.5"/>
    <row r="104" s="279" customFormat="1" ht="12.5"/>
    <row r="105" s="279" customFormat="1" ht="12.5"/>
    <row r="106" s="279" customFormat="1" ht="12.5"/>
    <row r="107" s="279" customFormat="1" ht="12.5"/>
    <row r="108" s="279" customFormat="1" ht="12.5"/>
    <row r="109" s="279" customFormat="1" ht="12.5"/>
    <row r="110" s="279" customFormat="1" ht="12.5"/>
    <row r="111" s="279" customFormat="1" ht="12.5"/>
    <row r="112" s="279" customFormat="1" ht="12.5"/>
    <row r="113" s="279" customFormat="1" ht="12.5"/>
    <row r="114" s="279" customFormat="1" ht="12.5"/>
    <row r="115" s="279" customFormat="1" ht="12.5"/>
    <row r="116" s="279" customFormat="1" ht="12.5"/>
    <row r="117" s="279" customFormat="1" ht="12.5"/>
    <row r="118" s="279" customFormat="1" ht="12.5"/>
    <row r="119" s="279" customFormat="1" ht="12.5"/>
    <row r="120" s="279" customFormat="1" ht="12.5"/>
    <row r="121" s="279" customFormat="1" ht="12.5"/>
    <row r="122" s="279" customFormat="1" ht="12.5"/>
    <row r="123" s="279" customFormat="1" ht="12.5"/>
    <row r="124" s="279" customFormat="1" ht="12.5"/>
    <row r="125" s="279" customFormat="1" ht="12.5"/>
    <row r="126" s="279" customFormat="1" ht="12.5"/>
    <row r="127" s="279" customFormat="1" ht="12.5"/>
    <row r="128" s="279" customFormat="1" ht="12.5"/>
    <row r="129" s="279" customFormat="1" ht="12.5"/>
    <row r="130" s="279" customFormat="1" ht="12.5"/>
    <row r="131" s="279" customFormat="1" ht="12.5"/>
    <row r="132" s="279" customFormat="1" ht="12.5"/>
    <row r="133" s="279" customFormat="1" ht="12.5"/>
    <row r="134" s="279" customFormat="1" ht="12.5"/>
    <row r="135" s="279" customFormat="1" ht="12.5"/>
    <row r="136" s="279" customFormat="1" ht="12.5"/>
    <row r="137" s="279" customFormat="1" ht="12.5"/>
    <row r="138" s="279" customFormat="1" ht="12.5"/>
    <row r="139" s="279" customFormat="1" ht="12.5"/>
    <row r="140" s="279" customFormat="1" ht="12.5"/>
    <row r="141" s="279" customFormat="1" ht="12.5"/>
    <row r="142" s="279" customFormat="1" ht="12.5"/>
    <row r="143" s="279" customFormat="1" ht="12.5"/>
    <row r="144" s="279" customFormat="1" ht="12.5"/>
    <row r="145" spans="1:8" ht="12.5">
      <c r="A145" s="279"/>
      <c r="B145" s="279"/>
      <c r="C145" s="279"/>
      <c r="D145" s="279"/>
      <c r="E145" s="279"/>
      <c r="F145" s="279"/>
      <c r="G145" s="279"/>
      <c r="H145" s="279"/>
    </row>
    <row r="146" spans="1:8" ht="12.5">
      <c r="A146" s="279"/>
      <c r="B146" s="279"/>
      <c r="C146" s="279"/>
      <c r="D146" s="279"/>
      <c r="E146" s="279"/>
      <c r="F146" s="279"/>
      <c r="G146" s="279"/>
      <c r="H146" s="279"/>
    </row>
    <row r="147" spans="1:8" ht="12.5">
      <c r="A147" s="279"/>
      <c r="B147" s="279"/>
      <c r="C147" s="279"/>
      <c r="D147" s="279"/>
      <c r="E147" s="279"/>
      <c r="F147" s="279"/>
      <c r="G147" s="279"/>
      <c r="H147" s="279"/>
    </row>
    <row r="148" spans="1:8" ht="12.5">
      <c r="A148" s="279"/>
      <c r="B148" s="279"/>
      <c r="C148" s="279"/>
      <c r="D148" s="279"/>
      <c r="E148" s="279"/>
      <c r="F148" s="279"/>
      <c r="G148" s="279"/>
      <c r="H148" s="279"/>
    </row>
    <row r="149" spans="1:8" ht="12.5">
      <c r="A149" s="279"/>
      <c r="B149" s="279"/>
      <c r="C149" s="279"/>
      <c r="D149" s="279"/>
      <c r="E149" s="279"/>
      <c r="F149" s="279"/>
      <c r="G149" s="279"/>
      <c r="H149" s="279"/>
    </row>
    <row r="150" spans="1:8" ht="12.5">
      <c r="A150" s="279"/>
      <c r="B150" s="279"/>
      <c r="C150" s="279"/>
      <c r="D150" s="279"/>
      <c r="E150" s="279"/>
      <c r="F150" s="279"/>
      <c r="G150" s="279"/>
      <c r="H150" s="279"/>
    </row>
    <row r="151" spans="1:8" ht="12.5">
      <c r="A151" s="279"/>
      <c r="B151" s="279"/>
      <c r="C151" s="279"/>
      <c r="D151" s="279"/>
      <c r="E151" s="279"/>
      <c r="F151" s="279"/>
      <c r="G151" s="279"/>
      <c r="H151" s="279"/>
    </row>
    <row r="152" spans="1:8" ht="12.75" customHeight="1">
      <c r="A152" s="279"/>
      <c r="B152" s="279"/>
      <c r="C152" s="279"/>
      <c r="D152" s="279"/>
      <c r="E152" s="279"/>
      <c r="F152" s="279"/>
      <c r="G152" s="279"/>
      <c r="H152" s="279"/>
    </row>
    <row r="153" spans="1:8" ht="12.75" customHeight="1">
      <c r="B153" s="279"/>
      <c r="C153" s="279"/>
      <c r="D153" s="279"/>
      <c r="E153" s="279"/>
      <c r="F153" s="279"/>
      <c r="G153" s="279"/>
      <c r="H153" s="279"/>
    </row>
    <row r="154" spans="1:8" ht="12.75" customHeight="1"/>
    <row r="155" spans="1:8" ht="12.75" customHeight="1"/>
    <row r="156" spans="1:8" ht="12.75" customHeight="1"/>
    <row r="157" spans="1:8" ht="12.75" customHeight="1"/>
    <row r="158" spans="1:8" ht="12.75" customHeight="1"/>
  </sheetData>
  <mergeCells count="1">
    <mergeCell ref="B4:B5"/>
  </mergeCells>
  <pageMargins left="0.51181102362204722" right="0.51181102362204722" top="0.78740157480314965" bottom="0.78740157480314965" header="0.31496062992125984" footer="0.31496062992125984"/>
  <pageSetup paperSize="9"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17B6-3E90-424B-BBA5-EC8B7804A34B}">
  <sheetPr>
    <tabColor theme="0"/>
    <pageSetUpPr fitToPage="1"/>
  </sheetPr>
  <dimension ref="A1:BK135"/>
  <sheetViews>
    <sheetView showGridLines="0" zoomScale="70" zoomScaleNormal="70" workbookViewId="0">
      <pane xSplit="3" ySplit="5" topLeftCell="BH100" activePane="bottomRight" state="frozen"/>
      <selection pane="topRight" activeCell="D1" sqref="D1"/>
      <selection pane="bottomLeft" activeCell="A6" sqref="A6"/>
      <selection pane="bottomRight" activeCell="BK121" sqref="BK121"/>
    </sheetView>
  </sheetViews>
  <sheetFormatPr defaultColWidth="9.1796875" defaultRowHeight="0" customHeight="1" zeroHeight="1"/>
  <cols>
    <col min="1" max="1" width="38.54296875" style="283" customWidth="1"/>
    <col min="2" max="2" width="10.26953125" style="283" customWidth="1"/>
    <col min="3" max="3" width="8.81640625" style="283" customWidth="1"/>
    <col min="4" max="7" width="13.26953125" style="283" customWidth="1"/>
    <col min="8" max="41" width="13.26953125" style="282" customWidth="1"/>
    <col min="42" max="63" width="11" style="282" bestFit="1" customWidth="1"/>
    <col min="64" max="16384" width="9.1796875" style="282"/>
  </cols>
  <sheetData>
    <row r="1" spans="1:63" s="302" customFormat="1" ht="12.75" customHeight="1">
      <c r="A1" s="322"/>
      <c r="B1" s="301"/>
    </row>
    <row r="2" spans="1:63" ht="12.75" customHeight="1">
      <c r="A2" s="322"/>
      <c r="B2" s="301"/>
    </row>
    <row r="3" spans="1:63" ht="13.5" customHeight="1"/>
    <row r="4" spans="1:63" ht="18" customHeight="1">
      <c r="A4" s="323" t="s">
        <v>195</v>
      </c>
      <c r="B4" s="323"/>
      <c r="C4" s="323"/>
      <c r="D4" s="300" t="s">
        <v>245</v>
      </c>
      <c r="E4" s="300" t="s">
        <v>244</v>
      </c>
      <c r="F4" s="300" t="s">
        <v>243</v>
      </c>
      <c r="G4" s="300" t="s">
        <v>133</v>
      </c>
      <c r="H4" s="300" t="s">
        <v>122</v>
      </c>
      <c r="I4" s="300" t="s">
        <v>123</v>
      </c>
      <c r="J4" s="300" t="s">
        <v>124</v>
      </c>
      <c r="K4" s="300" t="s">
        <v>125</v>
      </c>
      <c r="L4" s="300" t="s">
        <v>126</v>
      </c>
      <c r="M4" s="300" t="s">
        <v>127</v>
      </c>
      <c r="N4" s="300" t="s">
        <v>128</v>
      </c>
      <c r="O4" s="300" t="s">
        <v>129</v>
      </c>
      <c r="P4" s="300" t="s">
        <v>130</v>
      </c>
      <c r="Q4" s="300" t="s">
        <v>131</v>
      </c>
      <c r="R4" s="300" t="s">
        <v>157</v>
      </c>
      <c r="S4" s="300" t="s">
        <v>158</v>
      </c>
      <c r="T4" s="300" t="s">
        <v>218</v>
      </c>
      <c r="U4" s="300" t="s">
        <v>248</v>
      </c>
      <c r="V4" s="300" t="s">
        <v>262</v>
      </c>
      <c r="W4" s="300" t="s">
        <v>263</v>
      </c>
      <c r="X4" s="300" t="s">
        <v>328</v>
      </c>
      <c r="Y4" s="300" t="s">
        <v>332</v>
      </c>
      <c r="Z4" s="300" t="s">
        <v>338</v>
      </c>
      <c r="AA4" s="300" t="s">
        <v>340</v>
      </c>
      <c r="AB4" s="300" t="s">
        <v>347</v>
      </c>
      <c r="AC4" s="300" t="s">
        <v>349</v>
      </c>
      <c r="AD4" s="300" t="s">
        <v>352</v>
      </c>
      <c r="AE4" s="300" t="s">
        <v>354</v>
      </c>
      <c r="AF4" s="300" t="s">
        <v>362</v>
      </c>
      <c r="AG4" s="300" t="s">
        <v>365</v>
      </c>
      <c r="AH4" s="300" t="s">
        <v>366</v>
      </c>
      <c r="AI4" s="300" t="s">
        <v>370</v>
      </c>
      <c r="AJ4" s="300" t="s">
        <v>372</v>
      </c>
      <c r="AK4" s="300" t="s">
        <v>388</v>
      </c>
      <c r="AL4" s="300" t="s">
        <v>389</v>
      </c>
      <c r="AM4" s="300" t="s">
        <v>392</v>
      </c>
      <c r="AN4" s="300" t="s">
        <v>395</v>
      </c>
      <c r="AO4" s="300" t="s">
        <v>400</v>
      </c>
      <c r="AP4" s="300" t="s">
        <v>410</v>
      </c>
      <c r="AQ4" s="300" t="s">
        <v>413</v>
      </c>
      <c r="AR4" s="300" t="s">
        <v>416</v>
      </c>
      <c r="AS4" s="300" t="s">
        <v>586</v>
      </c>
      <c r="AT4" s="300" t="s">
        <v>596</v>
      </c>
      <c r="AU4" s="300" t="s">
        <v>599</v>
      </c>
      <c r="AV4" s="300" t="s">
        <v>602</v>
      </c>
      <c r="AW4" s="300" t="s">
        <v>610</v>
      </c>
      <c r="AX4" s="300" t="s">
        <v>616</v>
      </c>
      <c r="AY4" s="300" t="s">
        <v>631</v>
      </c>
      <c r="AZ4" s="300" t="s">
        <v>633</v>
      </c>
      <c r="BA4" s="300" t="s">
        <v>635</v>
      </c>
      <c r="BB4" s="300" t="s">
        <v>639</v>
      </c>
      <c r="BC4" s="300" t="s">
        <v>644</v>
      </c>
      <c r="BD4" s="300" t="s">
        <v>650</v>
      </c>
      <c r="BE4" s="300" t="s">
        <v>656</v>
      </c>
      <c r="BF4" s="300" t="s">
        <v>658</v>
      </c>
      <c r="BG4" s="300" t="s">
        <v>665</v>
      </c>
      <c r="BH4" s="300" t="s">
        <v>670</v>
      </c>
      <c r="BI4" s="300" t="s">
        <v>674</v>
      </c>
      <c r="BJ4" s="300" t="s">
        <v>681</v>
      </c>
      <c r="BK4" s="300" t="s">
        <v>683</v>
      </c>
    </row>
    <row r="5" spans="1:63" ht="13">
      <c r="A5" s="299" t="s">
        <v>121</v>
      </c>
      <c r="B5" s="298" t="s">
        <v>143</v>
      </c>
      <c r="C5" s="298" t="s">
        <v>74</v>
      </c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s="291" customFormat="1" ht="13">
      <c r="A6" s="291" t="s">
        <v>136</v>
      </c>
      <c r="B6" s="291" t="s">
        <v>76</v>
      </c>
      <c r="C6" s="292" t="s">
        <v>79</v>
      </c>
      <c r="D6" s="295">
        <v>4729</v>
      </c>
      <c r="E6" s="295">
        <v>4729</v>
      </c>
      <c r="F6" s="295">
        <v>4729</v>
      </c>
      <c r="G6" s="295">
        <v>4729</v>
      </c>
      <c r="H6" s="295">
        <v>4729</v>
      </c>
      <c r="I6" s="295">
        <v>4729</v>
      </c>
      <c r="J6" s="295">
        <v>4729</v>
      </c>
      <c r="K6" s="295">
        <v>4729</v>
      </c>
      <c r="L6" s="295">
        <v>0</v>
      </c>
      <c r="M6" s="295">
        <v>0</v>
      </c>
      <c r="N6" s="295">
        <v>0</v>
      </c>
      <c r="O6" s="295">
        <v>0</v>
      </c>
      <c r="P6" s="295">
        <v>0</v>
      </c>
      <c r="Q6" s="295">
        <v>0</v>
      </c>
      <c r="R6" s="295">
        <v>0</v>
      </c>
      <c r="S6" s="295">
        <v>0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  <c r="AG6" s="45">
        <v>0</v>
      </c>
      <c r="AH6" s="45">
        <v>0</v>
      </c>
      <c r="AI6" s="45">
        <v>0</v>
      </c>
      <c r="AJ6" s="45">
        <v>0</v>
      </c>
      <c r="AK6" s="45">
        <v>0</v>
      </c>
      <c r="AL6" s="45">
        <v>0</v>
      </c>
      <c r="AM6" s="45">
        <v>0</v>
      </c>
      <c r="AN6" s="45">
        <v>0</v>
      </c>
      <c r="AO6" s="45">
        <v>0</v>
      </c>
      <c r="AP6" s="45">
        <v>0</v>
      </c>
      <c r="AQ6" s="45">
        <v>0</v>
      </c>
      <c r="AR6" s="45">
        <v>0</v>
      </c>
      <c r="AS6" s="45">
        <v>0</v>
      </c>
      <c r="AT6" s="45">
        <v>0</v>
      </c>
      <c r="AU6" s="45">
        <v>0</v>
      </c>
      <c r="AV6" s="45">
        <v>0</v>
      </c>
      <c r="AW6" s="45">
        <v>0</v>
      </c>
      <c r="AX6" s="45">
        <v>0</v>
      </c>
      <c r="AY6" s="45">
        <v>0</v>
      </c>
      <c r="AZ6" s="45">
        <v>0</v>
      </c>
      <c r="BA6" s="45">
        <v>0</v>
      </c>
      <c r="BB6" s="45">
        <v>0</v>
      </c>
      <c r="BC6" s="45">
        <v>0</v>
      </c>
      <c r="BD6" s="45">
        <v>0</v>
      </c>
      <c r="BE6" s="45">
        <v>0</v>
      </c>
      <c r="BF6" s="45">
        <v>0</v>
      </c>
      <c r="BG6" s="45">
        <v>0</v>
      </c>
      <c r="BH6" s="45">
        <v>0</v>
      </c>
      <c r="BI6" s="45">
        <v>0</v>
      </c>
      <c r="BJ6" s="45">
        <v>0</v>
      </c>
      <c r="BK6" s="45">
        <v>0</v>
      </c>
    </row>
    <row r="7" spans="1:63" ht="13">
      <c r="A7" s="291" t="s">
        <v>75</v>
      </c>
      <c r="B7" s="291" t="s">
        <v>76</v>
      </c>
      <c r="C7" s="292" t="s">
        <v>77</v>
      </c>
      <c r="D7" s="295">
        <v>3366.14</v>
      </c>
      <c r="E7" s="295">
        <v>3366.14</v>
      </c>
      <c r="F7" s="295">
        <v>3366.14</v>
      </c>
      <c r="G7" s="295">
        <v>3366.14</v>
      </c>
      <c r="H7" s="295">
        <v>3366.14</v>
      </c>
      <c r="I7" s="295">
        <v>3366.14</v>
      </c>
      <c r="J7" s="295">
        <v>3366.14</v>
      </c>
      <c r="K7" s="295">
        <v>3366.14</v>
      </c>
      <c r="L7" s="295">
        <v>3366.14</v>
      </c>
      <c r="M7" s="295">
        <v>3366.14</v>
      </c>
      <c r="N7" s="295">
        <v>3366.14</v>
      </c>
      <c r="O7" s="295">
        <v>3366.14</v>
      </c>
      <c r="P7" s="295">
        <v>3366.14</v>
      </c>
      <c r="Q7" s="295">
        <v>3366.14</v>
      </c>
      <c r="R7" s="295">
        <v>3366.14</v>
      </c>
      <c r="S7" s="295">
        <v>3366.14</v>
      </c>
      <c r="T7" s="45">
        <v>3366.14</v>
      </c>
      <c r="U7" s="45">
        <v>3366.14</v>
      </c>
      <c r="V7" s="45">
        <v>3366.14</v>
      </c>
      <c r="W7" s="45">
        <v>3366.14</v>
      </c>
      <c r="X7" s="45">
        <v>3366.14</v>
      </c>
      <c r="Y7" s="45">
        <v>3366.14</v>
      </c>
      <c r="Z7" s="45">
        <v>3366.14</v>
      </c>
      <c r="AA7" s="45">
        <v>3366.14</v>
      </c>
      <c r="AB7" s="45">
        <v>3366.14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</row>
    <row r="8" spans="1:63" ht="13">
      <c r="A8" s="287" t="s">
        <v>78</v>
      </c>
      <c r="B8" s="287" t="s">
        <v>76</v>
      </c>
      <c r="C8" s="290" t="s">
        <v>79</v>
      </c>
      <c r="D8" s="296">
        <v>18667.39</v>
      </c>
      <c r="E8" s="296">
        <v>18667.39</v>
      </c>
      <c r="F8" s="296">
        <v>18667.39</v>
      </c>
      <c r="G8" s="296">
        <v>18667.39</v>
      </c>
      <c r="H8" s="296">
        <v>18667.39</v>
      </c>
      <c r="I8" s="296">
        <v>18667.39</v>
      </c>
      <c r="J8" s="296">
        <v>18667.39</v>
      </c>
      <c r="K8" s="296">
        <v>18667.39</v>
      </c>
      <c r="L8" s="296">
        <v>18667.39</v>
      </c>
      <c r="M8" s="296">
        <v>18667.39</v>
      </c>
      <c r="N8" s="296">
        <v>18667.39</v>
      </c>
      <c r="O8" s="296">
        <v>18667.39</v>
      </c>
      <c r="P8" s="296">
        <v>18667.39</v>
      </c>
      <c r="Q8" s="296">
        <v>18667.39</v>
      </c>
      <c r="R8" s="296">
        <v>18667.39</v>
      </c>
      <c r="S8" s="296">
        <v>18667.39</v>
      </c>
      <c r="T8" s="49">
        <v>18667.39</v>
      </c>
      <c r="U8" s="49">
        <v>18667.39</v>
      </c>
      <c r="V8" s="49">
        <v>18667.39</v>
      </c>
      <c r="W8" s="49">
        <v>18667.39</v>
      </c>
      <c r="X8" s="49">
        <v>18667.39</v>
      </c>
      <c r="Y8" s="49">
        <v>18667.39</v>
      </c>
      <c r="Z8" s="49">
        <v>18667.39</v>
      </c>
      <c r="AA8" s="49">
        <v>18667.39</v>
      </c>
      <c r="AB8" s="49">
        <v>18667.39</v>
      </c>
      <c r="AC8" s="49">
        <v>18667.39</v>
      </c>
      <c r="AD8" s="49">
        <v>18667.39</v>
      </c>
      <c r="AE8" s="49">
        <v>18667.39</v>
      </c>
      <c r="AF8" s="49">
        <v>18667.39</v>
      </c>
      <c r="AG8" s="49">
        <v>18667.39</v>
      </c>
      <c r="AH8" s="49">
        <v>18667.39</v>
      </c>
      <c r="AI8" s="49">
        <v>18667.39</v>
      </c>
      <c r="AJ8" s="49">
        <v>18667.39</v>
      </c>
      <c r="AK8" s="49">
        <v>18667.39</v>
      </c>
      <c r="AL8" s="49">
        <v>18667.39</v>
      </c>
      <c r="AM8" s="49">
        <v>18667.39</v>
      </c>
      <c r="AN8" s="49">
        <v>18667.39</v>
      </c>
      <c r="AO8" s="49">
        <v>18667.39</v>
      </c>
      <c r="AP8" s="49">
        <v>18667.39</v>
      </c>
      <c r="AQ8" s="49">
        <v>18667.39</v>
      </c>
      <c r="AR8" s="49">
        <v>18667.39</v>
      </c>
      <c r="AS8" s="49">
        <v>18667.39</v>
      </c>
      <c r="AT8" s="49">
        <v>18667.39</v>
      </c>
      <c r="AU8" s="49">
        <v>18667.39</v>
      </c>
      <c r="AV8" s="49">
        <v>18667.39</v>
      </c>
      <c r="AW8" s="49">
        <v>18667.39</v>
      </c>
      <c r="AX8" s="49">
        <v>18667.39</v>
      </c>
      <c r="AY8" s="49">
        <v>18667.39</v>
      </c>
      <c r="AZ8" s="49">
        <v>18667.39</v>
      </c>
      <c r="BA8" s="49">
        <v>18667.39</v>
      </c>
      <c r="BB8" s="49">
        <v>18640.443599999999</v>
      </c>
      <c r="BC8" s="49">
        <v>18640.443599999999</v>
      </c>
      <c r="BD8" s="49">
        <v>18640.443599999999</v>
      </c>
      <c r="BE8" s="49">
        <v>18640.443599999999</v>
      </c>
      <c r="BF8" s="49">
        <v>18640.443599999999</v>
      </c>
      <c r="BG8" s="49">
        <v>18640.443599999999</v>
      </c>
      <c r="BH8" s="49">
        <v>18640.443599999999</v>
      </c>
      <c r="BI8" s="49">
        <v>18640.443599999999</v>
      </c>
      <c r="BJ8" s="49">
        <v>18640.443599999999</v>
      </c>
      <c r="BK8" s="49">
        <v>18640.443599999999</v>
      </c>
    </row>
    <row r="9" spans="1:63" ht="13">
      <c r="A9" s="287" t="s">
        <v>80</v>
      </c>
      <c r="B9" s="287" t="s">
        <v>76</v>
      </c>
      <c r="C9" s="290" t="s">
        <v>81</v>
      </c>
      <c r="D9" s="50">
        <v>0</v>
      </c>
      <c r="E9" s="49">
        <v>8436</v>
      </c>
      <c r="F9" s="49">
        <v>8436</v>
      </c>
      <c r="G9" s="49">
        <v>8436</v>
      </c>
      <c r="H9" s="49">
        <v>8436</v>
      </c>
      <c r="I9" s="49">
        <v>8436</v>
      </c>
      <c r="J9" s="49">
        <v>8436</v>
      </c>
      <c r="K9" s="49">
        <v>8436</v>
      </c>
      <c r="L9" s="49">
        <v>8436</v>
      </c>
      <c r="M9" s="49">
        <v>8436</v>
      </c>
      <c r="N9" s="49">
        <v>8436</v>
      </c>
      <c r="O9" s="49">
        <v>8436</v>
      </c>
      <c r="P9" s="49">
        <v>8436</v>
      </c>
      <c r="Q9" s="49">
        <v>8436</v>
      </c>
      <c r="R9" s="49">
        <v>8436</v>
      </c>
      <c r="S9" s="49">
        <v>8436</v>
      </c>
      <c r="T9" s="49">
        <v>8436</v>
      </c>
      <c r="U9" s="49">
        <v>8436</v>
      </c>
      <c r="V9" s="49">
        <v>8436</v>
      </c>
      <c r="W9" s="49">
        <v>8436</v>
      </c>
      <c r="X9" s="49">
        <v>8436</v>
      </c>
      <c r="Y9" s="49">
        <v>8436</v>
      </c>
      <c r="Z9" s="49">
        <v>8436</v>
      </c>
      <c r="AA9" s="49">
        <v>8436</v>
      </c>
      <c r="AB9" s="49">
        <v>8436</v>
      </c>
      <c r="AC9" s="49">
        <v>8436</v>
      </c>
      <c r="AD9" s="49">
        <v>8436</v>
      </c>
      <c r="AE9" s="49">
        <v>8436</v>
      </c>
      <c r="AF9" s="49">
        <v>8436</v>
      </c>
      <c r="AG9" s="49">
        <v>8436</v>
      </c>
      <c r="AH9" s="49">
        <v>8436</v>
      </c>
      <c r="AI9" s="49">
        <v>8436</v>
      </c>
      <c r="AJ9" s="49">
        <v>8436</v>
      </c>
      <c r="AK9" s="49">
        <v>8436</v>
      </c>
      <c r="AL9" s="49">
        <v>8436</v>
      </c>
      <c r="AM9" s="49">
        <v>8436</v>
      </c>
      <c r="AN9" s="49">
        <v>8436</v>
      </c>
      <c r="AO9" s="49">
        <v>8436</v>
      </c>
      <c r="AP9" s="49">
        <v>8436</v>
      </c>
      <c r="AQ9" s="49">
        <v>8436</v>
      </c>
      <c r="AR9" s="49">
        <v>8436</v>
      </c>
      <c r="AS9" s="49">
        <v>8436</v>
      </c>
      <c r="AT9" s="49">
        <v>8436</v>
      </c>
      <c r="AU9" s="49">
        <v>8436</v>
      </c>
      <c r="AV9" s="49">
        <v>8436</v>
      </c>
      <c r="AW9" s="49">
        <v>8436</v>
      </c>
      <c r="AX9" s="49">
        <v>8436</v>
      </c>
      <c r="AY9" s="49">
        <v>8436</v>
      </c>
      <c r="AZ9" s="49">
        <v>8436</v>
      </c>
      <c r="BA9" s="49">
        <v>8436</v>
      </c>
      <c r="BB9" s="49">
        <v>7653.6855000000005</v>
      </c>
      <c r="BC9" s="49">
        <v>7653.6855000000005</v>
      </c>
      <c r="BD9" s="49">
        <v>7653.6855000000005</v>
      </c>
      <c r="BE9" s="49">
        <v>7653.6855000000005</v>
      </c>
      <c r="BF9" s="49">
        <v>7653.6855000000005</v>
      </c>
      <c r="BG9" s="49">
        <v>7653.6855000000005</v>
      </c>
      <c r="BH9" s="49">
        <v>7653.6855000000005</v>
      </c>
      <c r="BI9" s="49">
        <v>7653.6855000000005</v>
      </c>
      <c r="BJ9" s="49">
        <v>7653.6855000000005</v>
      </c>
      <c r="BK9" s="49">
        <v>7653.6855000000005</v>
      </c>
    </row>
    <row r="10" spans="1:63" ht="13">
      <c r="A10" s="287" t="s">
        <v>82</v>
      </c>
      <c r="B10" s="287" t="s">
        <v>76</v>
      </c>
      <c r="C10" s="290" t="s">
        <v>79</v>
      </c>
      <c r="D10" s="50">
        <v>0</v>
      </c>
      <c r="E10" s="296">
        <v>9291.67</v>
      </c>
      <c r="F10" s="296">
        <v>9291.67</v>
      </c>
      <c r="G10" s="296">
        <v>9291.67</v>
      </c>
      <c r="H10" s="296">
        <v>9291.67</v>
      </c>
      <c r="I10" s="296">
        <v>9291.67</v>
      </c>
      <c r="J10" s="296">
        <v>9291.67</v>
      </c>
      <c r="K10" s="296">
        <v>9291.67</v>
      </c>
      <c r="L10" s="296">
        <v>9291.67</v>
      </c>
      <c r="M10" s="296">
        <v>9291.67</v>
      </c>
      <c r="N10" s="296">
        <v>9291.67</v>
      </c>
      <c r="O10" s="296">
        <v>9291.67</v>
      </c>
      <c r="P10" s="296">
        <v>9291.67</v>
      </c>
      <c r="Q10" s="296">
        <v>9291.67</v>
      </c>
      <c r="R10" s="296">
        <v>9291.67</v>
      </c>
      <c r="S10" s="296">
        <v>9291.67</v>
      </c>
      <c r="T10" s="49">
        <v>9291.67</v>
      </c>
      <c r="U10" s="49">
        <v>9291.67</v>
      </c>
      <c r="V10" s="49">
        <v>9291.67</v>
      </c>
      <c r="W10" s="49">
        <v>9291.67</v>
      </c>
      <c r="X10" s="49">
        <v>9291.67</v>
      </c>
      <c r="Y10" s="49">
        <v>9291.67</v>
      </c>
      <c r="Z10" s="49">
        <v>9291.67</v>
      </c>
      <c r="AA10" s="49">
        <v>9291.67</v>
      </c>
      <c r="AB10" s="49">
        <v>9291.67</v>
      </c>
      <c r="AC10" s="49">
        <v>9291.67</v>
      </c>
      <c r="AD10" s="49">
        <v>9291.67</v>
      </c>
      <c r="AE10" s="49">
        <v>9291.67</v>
      </c>
      <c r="AF10" s="49">
        <v>9291.67</v>
      </c>
      <c r="AG10" s="49">
        <v>9291.67</v>
      </c>
      <c r="AH10" s="49">
        <v>9291.67</v>
      </c>
      <c r="AI10" s="49">
        <v>9291.67</v>
      </c>
      <c r="AJ10" s="49">
        <v>9291.67</v>
      </c>
      <c r="AK10" s="49">
        <v>9291.67</v>
      </c>
      <c r="AL10" s="49">
        <v>9291.67</v>
      </c>
      <c r="AM10" s="49">
        <v>9291.67</v>
      </c>
      <c r="AN10" s="49">
        <v>9291.67</v>
      </c>
      <c r="AO10" s="49">
        <v>9291.67</v>
      </c>
      <c r="AP10" s="49">
        <v>9291.67</v>
      </c>
      <c r="AQ10" s="49">
        <v>9291.67</v>
      </c>
      <c r="AR10" s="49">
        <v>9291.67</v>
      </c>
      <c r="AS10" s="49">
        <v>9291.67</v>
      </c>
      <c r="AT10" s="49">
        <v>9291.67</v>
      </c>
      <c r="AU10" s="49">
        <v>9291.67</v>
      </c>
      <c r="AV10" s="49">
        <v>9291.67</v>
      </c>
      <c r="AW10" s="49">
        <v>9291.67</v>
      </c>
      <c r="AX10" s="49">
        <v>9291.67</v>
      </c>
      <c r="AY10" s="49">
        <v>9291.67</v>
      </c>
      <c r="AZ10" s="49">
        <v>9291.67</v>
      </c>
      <c r="BA10" s="49">
        <v>9291.67</v>
      </c>
      <c r="BB10" s="49">
        <v>9854.6799999999948</v>
      </c>
      <c r="BC10" s="49">
        <v>9854.6799999999948</v>
      </c>
      <c r="BD10" s="49">
        <v>9854.6799999999948</v>
      </c>
      <c r="BE10" s="49">
        <v>9854.6799999999948</v>
      </c>
      <c r="BF10" s="49">
        <v>9854.6799999999948</v>
      </c>
      <c r="BG10" s="49">
        <v>9854.6799999999948</v>
      </c>
      <c r="BH10" s="49">
        <v>9854.6799999999948</v>
      </c>
      <c r="BI10" s="49">
        <v>9854.6799999999948</v>
      </c>
      <c r="BJ10" s="49">
        <v>9854.6799999999948</v>
      </c>
      <c r="BK10" s="49">
        <v>9854.6799999999948</v>
      </c>
    </row>
    <row r="11" spans="1:63" s="291" customFormat="1" ht="13">
      <c r="A11" s="291" t="s">
        <v>108</v>
      </c>
      <c r="B11" s="291" t="s">
        <v>144</v>
      </c>
      <c r="C11" s="292" t="s">
        <v>79</v>
      </c>
      <c r="D11" s="51">
        <v>0</v>
      </c>
      <c r="E11" s="295">
        <v>53343</v>
      </c>
      <c r="F11" s="295">
        <v>53343</v>
      </c>
      <c r="G11" s="295">
        <v>53343</v>
      </c>
      <c r="H11" s="295">
        <v>53343</v>
      </c>
      <c r="I11" s="295">
        <v>53343</v>
      </c>
      <c r="J11" s="295">
        <v>53343</v>
      </c>
      <c r="K11" s="295">
        <v>53343</v>
      </c>
      <c r="L11" s="295">
        <v>53343</v>
      </c>
      <c r="M11" s="295">
        <v>53343</v>
      </c>
      <c r="N11" s="295">
        <v>53343</v>
      </c>
      <c r="O11" s="295">
        <v>53343</v>
      </c>
      <c r="P11" s="295">
        <v>53343</v>
      </c>
      <c r="Q11" s="295">
        <v>53343</v>
      </c>
      <c r="R11" s="295">
        <v>53343</v>
      </c>
      <c r="S11" s="295">
        <v>53343</v>
      </c>
      <c r="T11" s="45">
        <v>53343</v>
      </c>
      <c r="U11" s="45">
        <v>53343</v>
      </c>
      <c r="V11" s="45">
        <v>53343</v>
      </c>
      <c r="W11" s="45">
        <v>53343</v>
      </c>
      <c r="X11" s="45">
        <v>53343</v>
      </c>
      <c r="Y11" s="45">
        <v>53343</v>
      </c>
      <c r="Z11" s="45">
        <v>53343</v>
      </c>
      <c r="AA11" s="45">
        <v>53343</v>
      </c>
      <c r="AB11" s="45">
        <v>53343</v>
      </c>
      <c r="AC11" s="45">
        <v>53343</v>
      </c>
      <c r="AD11" s="45">
        <v>53343</v>
      </c>
      <c r="AE11" s="45">
        <v>53343</v>
      </c>
      <c r="AF11" s="45">
        <v>0</v>
      </c>
      <c r="AG11" s="45">
        <v>0</v>
      </c>
      <c r="AH11" s="45">
        <v>0</v>
      </c>
      <c r="AI11" s="45">
        <v>0</v>
      </c>
      <c r="AJ11" s="45">
        <v>0</v>
      </c>
      <c r="AK11" s="45">
        <v>0</v>
      </c>
      <c r="AL11" s="45">
        <v>0</v>
      </c>
      <c r="AM11" s="45">
        <v>0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5">
        <v>0</v>
      </c>
      <c r="AZ11" s="45">
        <v>0</v>
      </c>
      <c r="BA11" s="45">
        <v>0</v>
      </c>
      <c r="BB11" s="45">
        <v>0</v>
      </c>
      <c r="BC11" s="45">
        <v>0</v>
      </c>
      <c r="BD11" s="45">
        <v>0</v>
      </c>
      <c r="BE11" s="45">
        <v>0</v>
      </c>
      <c r="BF11" s="45">
        <v>0</v>
      </c>
      <c r="BG11" s="45">
        <v>0</v>
      </c>
      <c r="BH11" s="45">
        <v>0</v>
      </c>
      <c r="BI11" s="45">
        <v>0</v>
      </c>
      <c r="BJ11" s="45">
        <v>0</v>
      </c>
      <c r="BK11" s="45">
        <v>0</v>
      </c>
    </row>
    <row r="12" spans="1:63" s="291" customFormat="1" ht="13">
      <c r="A12" s="291" t="s">
        <v>109</v>
      </c>
      <c r="B12" s="291" t="s">
        <v>144</v>
      </c>
      <c r="C12" s="292" t="s">
        <v>79</v>
      </c>
      <c r="D12" s="51">
        <v>0</v>
      </c>
      <c r="E12" s="295">
        <v>33526</v>
      </c>
      <c r="F12" s="295">
        <v>33526</v>
      </c>
      <c r="G12" s="295">
        <v>33526</v>
      </c>
      <c r="H12" s="295">
        <v>33526</v>
      </c>
      <c r="I12" s="295">
        <v>33526</v>
      </c>
      <c r="J12" s="295">
        <v>33526</v>
      </c>
      <c r="K12" s="295">
        <v>33526</v>
      </c>
      <c r="L12" s="295">
        <v>33526</v>
      </c>
      <c r="M12" s="295">
        <v>33526</v>
      </c>
      <c r="N12" s="295">
        <v>33526</v>
      </c>
      <c r="O12" s="295">
        <v>33526</v>
      </c>
      <c r="P12" s="295">
        <v>33526</v>
      </c>
      <c r="Q12" s="295">
        <v>33526</v>
      </c>
      <c r="R12" s="295">
        <v>33526</v>
      </c>
      <c r="S12" s="295">
        <v>33526</v>
      </c>
      <c r="T12" s="45">
        <v>33526</v>
      </c>
      <c r="U12" s="45">
        <v>33526</v>
      </c>
      <c r="V12" s="45">
        <v>33526</v>
      </c>
      <c r="W12" s="45">
        <v>33526</v>
      </c>
      <c r="X12" s="45">
        <v>33526</v>
      </c>
      <c r="Y12" s="45">
        <v>33526</v>
      </c>
      <c r="Z12" s="45">
        <v>33526</v>
      </c>
      <c r="AA12" s="45">
        <v>33526</v>
      </c>
      <c r="AB12" s="45">
        <v>33526</v>
      </c>
      <c r="AC12" s="45">
        <v>33526</v>
      </c>
      <c r="AD12" s="45">
        <v>33526</v>
      </c>
      <c r="AE12" s="45">
        <v>33526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5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5">
        <v>0</v>
      </c>
      <c r="AU12" s="45">
        <v>0</v>
      </c>
      <c r="AV12" s="45">
        <v>0</v>
      </c>
      <c r="AW12" s="45">
        <v>0</v>
      </c>
      <c r="AX12" s="45">
        <v>0</v>
      </c>
      <c r="AY12" s="45">
        <v>0</v>
      </c>
      <c r="AZ12" s="45">
        <v>0</v>
      </c>
      <c r="BA12" s="45">
        <v>0</v>
      </c>
      <c r="BB12" s="45">
        <v>0</v>
      </c>
      <c r="BC12" s="45">
        <v>0</v>
      </c>
      <c r="BD12" s="45">
        <v>0</v>
      </c>
      <c r="BE12" s="45">
        <v>0</v>
      </c>
      <c r="BF12" s="45">
        <v>0</v>
      </c>
      <c r="BG12" s="45">
        <v>0</v>
      </c>
      <c r="BH12" s="45">
        <v>0</v>
      </c>
      <c r="BI12" s="45">
        <v>0</v>
      </c>
      <c r="BJ12" s="45">
        <v>0</v>
      </c>
      <c r="BK12" s="45">
        <v>0</v>
      </c>
    </row>
    <row r="13" spans="1:63" s="291" customFormat="1" ht="13">
      <c r="A13" s="291" t="s">
        <v>110</v>
      </c>
      <c r="B13" s="291" t="s">
        <v>144</v>
      </c>
      <c r="C13" s="292" t="s">
        <v>79</v>
      </c>
      <c r="D13" s="51">
        <v>0</v>
      </c>
      <c r="E13" s="295">
        <v>16314</v>
      </c>
      <c r="F13" s="295">
        <v>16314</v>
      </c>
      <c r="G13" s="295">
        <v>16314</v>
      </c>
      <c r="H13" s="295">
        <v>16314</v>
      </c>
      <c r="I13" s="295">
        <v>16314</v>
      </c>
      <c r="J13" s="295">
        <v>16314</v>
      </c>
      <c r="K13" s="295">
        <v>16314</v>
      </c>
      <c r="L13" s="295">
        <v>16314</v>
      </c>
      <c r="M13" s="295">
        <v>16314</v>
      </c>
      <c r="N13" s="295">
        <v>16314</v>
      </c>
      <c r="O13" s="295">
        <v>16314</v>
      </c>
      <c r="P13" s="295">
        <v>16314</v>
      </c>
      <c r="Q13" s="295">
        <v>16314</v>
      </c>
      <c r="R13" s="295">
        <v>16314</v>
      </c>
      <c r="S13" s="295">
        <v>16314</v>
      </c>
      <c r="T13" s="45">
        <v>16314</v>
      </c>
      <c r="U13" s="45">
        <v>16314</v>
      </c>
      <c r="V13" s="45">
        <v>16314</v>
      </c>
      <c r="W13" s="45">
        <v>16314</v>
      </c>
      <c r="X13" s="45">
        <v>16314</v>
      </c>
      <c r="Y13" s="45">
        <v>16314</v>
      </c>
      <c r="Z13" s="45">
        <v>16314</v>
      </c>
      <c r="AA13" s="45">
        <v>16314</v>
      </c>
      <c r="AB13" s="45">
        <v>16314</v>
      </c>
      <c r="AC13" s="45">
        <v>16314</v>
      </c>
      <c r="AD13" s="45">
        <v>16314</v>
      </c>
      <c r="AE13" s="45">
        <v>16314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5">
        <v>0</v>
      </c>
      <c r="AU13" s="45"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45">
        <v>0</v>
      </c>
      <c r="BB13" s="45">
        <v>0</v>
      </c>
      <c r="BC13" s="45">
        <v>0</v>
      </c>
      <c r="BD13" s="45">
        <v>0</v>
      </c>
      <c r="BE13" s="45">
        <v>0</v>
      </c>
      <c r="BF13" s="45">
        <v>0</v>
      </c>
      <c r="BG13" s="45">
        <v>0</v>
      </c>
      <c r="BH13" s="45">
        <v>0</v>
      </c>
      <c r="BI13" s="45">
        <v>0</v>
      </c>
      <c r="BJ13" s="45">
        <v>0</v>
      </c>
      <c r="BK13" s="45">
        <v>0</v>
      </c>
    </row>
    <row r="14" spans="1:63" s="291" customFormat="1" ht="13">
      <c r="A14" s="291" t="s">
        <v>111</v>
      </c>
      <c r="B14" s="291" t="s">
        <v>144</v>
      </c>
      <c r="C14" s="292" t="s">
        <v>79</v>
      </c>
      <c r="D14" s="51">
        <v>0</v>
      </c>
      <c r="E14" s="295">
        <v>17990</v>
      </c>
      <c r="F14" s="295">
        <v>17990</v>
      </c>
      <c r="G14" s="295">
        <v>17990</v>
      </c>
      <c r="H14" s="295">
        <v>17990</v>
      </c>
      <c r="I14" s="295">
        <v>17990</v>
      </c>
      <c r="J14" s="295">
        <v>17990</v>
      </c>
      <c r="K14" s="295">
        <v>17990</v>
      </c>
      <c r="L14" s="295">
        <v>17990</v>
      </c>
      <c r="M14" s="295">
        <v>17990</v>
      </c>
      <c r="N14" s="295">
        <v>17990</v>
      </c>
      <c r="O14" s="295">
        <v>17990</v>
      </c>
      <c r="P14" s="295">
        <v>17990</v>
      </c>
      <c r="Q14" s="295">
        <v>17990</v>
      </c>
      <c r="R14" s="295">
        <v>17990</v>
      </c>
      <c r="S14" s="295">
        <v>17990</v>
      </c>
      <c r="T14" s="45">
        <v>17990</v>
      </c>
      <c r="U14" s="45">
        <v>17990</v>
      </c>
      <c r="V14" s="45">
        <v>17990</v>
      </c>
      <c r="W14" s="45">
        <v>17990</v>
      </c>
      <c r="X14" s="45">
        <v>17990</v>
      </c>
      <c r="Y14" s="45">
        <v>17990</v>
      </c>
      <c r="Z14" s="45">
        <v>17990</v>
      </c>
      <c r="AA14" s="45">
        <v>17990</v>
      </c>
      <c r="AB14" s="45">
        <v>17990</v>
      </c>
      <c r="AC14" s="45">
        <v>17990</v>
      </c>
      <c r="AD14" s="45">
        <v>17990</v>
      </c>
      <c r="AE14" s="45">
        <v>17990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5">
        <v>0</v>
      </c>
      <c r="BE14" s="45">
        <v>0</v>
      </c>
      <c r="BF14" s="45">
        <v>0</v>
      </c>
      <c r="BG14" s="45">
        <v>0</v>
      </c>
      <c r="BH14" s="45">
        <v>0</v>
      </c>
      <c r="BI14" s="45">
        <v>0</v>
      </c>
      <c r="BJ14" s="45">
        <v>0</v>
      </c>
      <c r="BK14" s="45">
        <v>0</v>
      </c>
    </row>
    <row r="15" spans="1:63" ht="13">
      <c r="A15" s="291" t="s">
        <v>217</v>
      </c>
      <c r="B15" s="291" t="s">
        <v>144</v>
      </c>
      <c r="C15" s="292" t="s">
        <v>79</v>
      </c>
      <c r="D15" s="51">
        <v>0</v>
      </c>
      <c r="E15" s="295">
        <v>7184</v>
      </c>
      <c r="F15" s="295">
        <v>7184</v>
      </c>
      <c r="G15" s="295">
        <v>7184</v>
      </c>
      <c r="H15" s="295">
        <v>7184</v>
      </c>
      <c r="I15" s="295">
        <v>7184</v>
      </c>
      <c r="J15" s="295">
        <v>7184</v>
      </c>
      <c r="K15" s="295">
        <v>7184</v>
      </c>
      <c r="L15" s="295">
        <v>7184</v>
      </c>
      <c r="M15" s="295">
        <v>7184</v>
      </c>
      <c r="N15" s="295">
        <v>7184</v>
      </c>
      <c r="O15" s="295">
        <v>7184</v>
      </c>
      <c r="P15" s="295">
        <v>7184</v>
      </c>
      <c r="Q15" s="295">
        <v>7184</v>
      </c>
      <c r="R15" s="295">
        <v>7184</v>
      </c>
      <c r="S15" s="295">
        <v>7184</v>
      </c>
      <c r="T15" s="45">
        <v>7184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0</v>
      </c>
      <c r="BF15" s="45">
        <v>0</v>
      </c>
      <c r="BG15" s="45">
        <v>0</v>
      </c>
      <c r="BH15" s="45">
        <v>0</v>
      </c>
      <c r="BI15" s="45">
        <v>0</v>
      </c>
      <c r="BJ15" s="45">
        <v>0</v>
      </c>
      <c r="BK15" s="45">
        <v>0</v>
      </c>
    </row>
    <row r="16" spans="1:63" s="291" customFormat="1" ht="13">
      <c r="A16" s="291" t="s">
        <v>137</v>
      </c>
      <c r="B16" s="291" t="s">
        <v>76</v>
      </c>
      <c r="C16" s="292" t="s">
        <v>79</v>
      </c>
      <c r="D16" s="51">
        <v>0</v>
      </c>
      <c r="E16" s="295">
        <v>10297</v>
      </c>
      <c r="F16" s="295">
        <v>10297</v>
      </c>
      <c r="G16" s="295">
        <v>10297</v>
      </c>
      <c r="H16" s="295">
        <v>10297</v>
      </c>
      <c r="I16" s="295">
        <v>10297</v>
      </c>
      <c r="J16" s="295">
        <v>10297</v>
      </c>
      <c r="K16" s="295">
        <v>10297</v>
      </c>
      <c r="L16" s="295">
        <v>10297</v>
      </c>
      <c r="M16" s="295">
        <v>10297</v>
      </c>
      <c r="N16" s="295">
        <v>10297</v>
      </c>
      <c r="O16" s="295">
        <v>0</v>
      </c>
      <c r="P16" s="295">
        <v>0</v>
      </c>
      <c r="Q16" s="295">
        <v>0</v>
      </c>
      <c r="R16" s="295">
        <v>0</v>
      </c>
      <c r="S16" s="29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  <c r="BH16" s="45">
        <v>0</v>
      </c>
      <c r="BI16" s="45">
        <v>0</v>
      </c>
      <c r="BJ16" s="45">
        <v>0</v>
      </c>
      <c r="BK16" s="45">
        <v>0</v>
      </c>
    </row>
    <row r="17" spans="1:63" s="291" customFormat="1" ht="13">
      <c r="A17" s="291" t="s">
        <v>83</v>
      </c>
      <c r="B17" s="291" t="s">
        <v>76</v>
      </c>
      <c r="C17" s="292" t="s">
        <v>81</v>
      </c>
      <c r="D17" s="51">
        <v>0</v>
      </c>
      <c r="E17" s="295">
        <v>3224</v>
      </c>
      <c r="F17" s="295">
        <v>3224</v>
      </c>
      <c r="G17" s="295">
        <v>3224</v>
      </c>
      <c r="H17" s="295">
        <v>3224</v>
      </c>
      <c r="I17" s="295">
        <v>3224</v>
      </c>
      <c r="J17" s="295">
        <v>3224</v>
      </c>
      <c r="K17" s="295">
        <v>3224</v>
      </c>
      <c r="L17" s="295">
        <v>3224</v>
      </c>
      <c r="M17" s="295">
        <v>3224</v>
      </c>
      <c r="N17" s="295">
        <v>3224</v>
      </c>
      <c r="O17" s="295">
        <v>3224</v>
      </c>
      <c r="P17" s="295">
        <v>3224</v>
      </c>
      <c r="Q17" s="295">
        <v>3224</v>
      </c>
      <c r="R17" s="295">
        <v>3224</v>
      </c>
      <c r="S17" s="295">
        <v>3224</v>
      </c>
      <c r="T17" s="45">
        <v>3224</v>
      </c>
      <c r="U17" s="45">
        <v>3224</v>
      </c>
      <c r="V17" s="45">
        <v>3224</v>
      </c>
      <c r="W17" s="45">
        <v>3224</v>
      </c>
      <c r="X17" s="45">
        <v>3224</v>
      </c>
      <c r="Y17" s="45">
        <v>3224</v>
      </c>
      <c r="Z17" s="45">
        <v>3224</v>
      </c>
      <c r="AA17" s="45">
        <v>3224</v>
      </c>
      <c r="AB17" s="45">
        <v>3224</v>
      </c>
      <c r="AC17" s="45">
        <v>3224</v>
      </c>
      <c r="AD17" s="45">
        <v>3224</v>
      </c>
      <c r="AE17" s="45">
        <v>3224</v>
      </c>
      <c r="AF17" s="45">
        <v>3224</v>
      </c>
      <c r="AG17" s="45">
        <v>3224</v>
      </c>
      <c r="AH17" s="45">
        <v>3224</v>
      </c>
      <c r="AI17" s="45">
        <v>3224</v>
      </c>
      <c r="AJ17" s="45">
        <v>3224</v>
      </c>
      <c r="AK17" s="45">
        <v>3224</v>
      </c>
      <c r="AL17" s="45">
        <v>3224</v>
      </c>
      <c r="AM17" s="45">
        <v>3224</v>
      </c>
      <c r="AN17" s="45">
        <v>3224</v>
      </c>
      <c r="AO17" s="45">
        <v>3224</v>
      </c>
      <c r="AP17" s="45">
        <v>3224</v>
      </c>
      <c r="AQ17" s="45">
        <v>3224</v>
      </c>
      <c r="AR17" s="45">
        <v>3224</v>
      </c>
      <c r="AS17" s="45">
        <v>3224</v>
      </c>
      <c r="AT17" s="45">
        <v>3224</v>
      </c>
      <c r="AU17" s="45">
        <v>3224</v>
      </c>
      <c r="AV17" s="45">
        <v>3224</v>
      </c>
      <c r="AW17" s="45">
        <v>3224</v>
      </c>
      <c r="AX17" s="45">
        <v>3224</v>
      </c>
      <c r="AY17" s="45">
        <v>3224</v>
      </c>
      <c r="AZ17" s="45">
        <v>3224</v>
      </c>
      <c r="BA17" s="45">
        <v>3224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0</v>
      </c>
      <c r="BH17" s="45">
        <v>0</v>
      </c>
      <c r="BI17" s="45">
        <v>0</v>
      </c>
      <c r="BJ17" s="45">
        <v>0</v>
      </c>
      <c r="BK17" s="45">
        <v>0</v>
      </c>
    </row>
    <row r="18" spans="1:63" s="291" customFormat="1" ht="13">
      <c r="A18" s="291" t="s">
        <v>241</v>
      </c>
      <c r="B18" s="291" t="s">
        <v>76</v>
      </c>
      <c r="C18" s="292" t="s">
        <v>79</v>
      </c>
      <c r="D18" s="51">
        <v>0</v>
      </c>
      <c r="E18" s="295">
        <v>6229.6</v>
      </c>
      <c r="F18" s="295">
        <v>6229.6</v>
      </c>
      <c r="G18" s="295">
        <v>6229.6</v>
      </c>
      <c r="H18" s="295">
        <v>6229.6</v>
      </c>
      <c r="I18" s="295">
        <v>6229.6</v>
      </c>
      <c r="J18" s="295">
        <v>6229.6</v>
      </c>
      <c r="K18" s="295">
        <v>6229.6</v>
      </c>
      <c r="L18" s="295">
        <v>6229.6</v>
      </c>
      <c r="M18" s="295">
        <v>6229.6</v>
      </c>
      <c r="N18" s="295">
        <v>6229.6</v>
      </c>
      <c r="O18" s="295">
        <v>6229.6</v>
      </c>
      <c r="P18" s="295">
        <v>6229.6</v>
      </c>
      <c r="Q18" s="295">
        <v>6229.6</v>
      </c>
      <c r="R18" s="295">
        <v>6229.6</v>
      </c>
      <c r="S18" s="29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5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>
        <v>0</v>
      </c>
      <c r="AY18" s="45">
        <v>0</v>
      </c>
      <c r="AZ18" s="45">
        <v>0</v>
      </c>
      <c r="BA18" s="45">
        <v>0</v>
      </c>
      <c r="BB18" s="45">
        <v>0</v>
      </c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0</v>
      </c>
      <c r="BI18" s="45">
        <v>0</v>
      </c>
      <c r="BJ18" s="45">
        <v>0</v>
      </c>
      <c r="BK18" s="45">
        <v>0</v>
      </c>
    </row>
    <row r="19" spans="1:63" ht="13">
      <c r="A19" s="291" t="s">
        <v>246</v>
      </c>
      <c r="B19" s="291" t="s">
        <v>76</v>
      </c>
      <c r="C19" s="292" t="s">
        <v>79</v>
      </c>
      <c r="D19" s="51">
        <v>0</v>
      </c>
      <c r="E19" s="295">
        <v>330.73</v>
      </c>
      <c r="F19" s="295">
        <v>330.73</v>
      </c>
      <c r="G19" s="295">
        <v>330.73</v>
      </c>
      <c r="H19" s="295">
        <v>330.73</v>
      </c>
      <c r="I19" s="295">
        <v>330.73</v>
      </c>
      <c r="J19" s="295">
        <v>330.73</v>
      </c>
      <c r="K19" s="295">
        <v>330.73</v>
      </c>
      <c r="L19" s="295">
        <v>330.73</v>
      </c>
      <c r="M19" s="295">
        <v>330.73</v>
      </c>
      <c r="N19" s="295">
        <v>330.73</v>
      </c>
      <c r="O19" s="295">
        <v>330.73</v>
      </c>
      <c r="P19" s="295">
        <v>330.73</v>
      </c>
      <c r="Q19" s="295">
        <v>330.73</v>
      </c>
      <c r="R19" s="295">
        <v>330.73</v>
      </c>
      <c r="S19" s="295">
        <v>330.73</v>
      </c>
      <c r="T19" s="45">
        <v>330.73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0</v>
      </c>
      <c r="BA19" s="45">
        <v>0</v>
      </c>
      <c r="BB19" s="45">
        <v>0</v>
      </c>
      <c r="BC19" s="45">
        <v>0</v>
      </c>
      <c r="BD19" s="45">
        <v>0</v>
      </c>
      <c r="BE19" s="45">
        <v>0</v>
      </c>
      <c r="BF19" s="45">
        <v>0</v>
      </c>
      <c r="BG19" s="45">
        <v>0</v>
      </c>
      <c r="BH19" s="45">
        <v>0</v>
      </c>
      <c r="BI19" s="45">
        <v>0</v>
      </c>
      <c r="BJ19" s="45">
        <v>0</v>
      </c>
      <c r="BK19" s="45">
        <v>0</v>
      </c>
    </row>
    <row r="20" spans="1:63" s="291" customFormat="1" ht="13">
      <c r="A20" s="291" t="s">
        <v>177</v>
      </c>
      <c r="B20" s="291" t="s">
        <v>76</v>
      </c>
      <c r="C20" s="292" t="s">
        <v>79</v>
      </c>
      <c r="D20" s="51">
        <v>0</v>
      </c>
      <c r="E20" s="295">
        <v>472.5</v>
      </c>
      <c r="F20" s="295">
        <v>472.5</v>
      </c>
      <c r="G20" s="295">
        <v>472.5</v>
      </c>
      <c r="H20" s="295">
        <v>472.5</v>
      </c>
      <c r="I20" s="295">
        <v>472.5</v>
      </c>
      <c r="J20" s="295">
        <v>472.5</v>
      </c>
      <c r="K20" s="295">
        <v>472.5</v>
      </c>
      <c r="L20" s="295">
        <v>472.5</v>
      </c>
      <c r="M20" s="295">
        <v>472.5</v>
      </c>
      <c r="N20" s="295">
        <v>472.5</v>
      </c>
      <c r="O20" s="295">
        <v>472.5</v>
      </c>
      <c r="P20" s="295">
        <v>472.5</v>
      </c>
      <c r="Q20" s="295">
        <v>472.5</v>
      </c>
      <c r="R20" s="295">
        <v>0</v>
      </c>
      <c r="S20" s="29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</row>
    <row r="21" spans="1:63" s="291" customFormat="1" ht="13">
      <c r="A21" s="291" t="s">
        <v>242</v>
      </c>
      <c r="B21" s="291" t="s">
        <v>76</v>
      </c>
      <c r="C21" s="292" t="s">
        <v>79</v>
      </c>
      <c r="D21" s="51">
        <v>0</v>
      </c>
      <c r="E21" s="295">
        <v>2728</v>
      </c>
      <c r="F21" s="295">
        <v>2728</v>
      </c>
      <c r="G21" s="295">
        <v>2728</v>
      </c>
      <c r="H21" s="295">
        <v>2728</v>
      </c>
      <c r="I21" s="295">
        <v>2728</v>
      </c>
      <c r="J21" s="295">
        <v>2728</v>
      </c>
      <c r="K21" s="295">
        <v>2728</v>
      </c>
      <c r="L21" s="295">
        <v>2728</v>
      </c>
      <c r="M21" s="295">
        <v>2728</v>
      </c>
      <c r="N21" s="295">
        <v>2728</v>
      </c>
      <c r="O21" s="295">
        <v>2728</v>
      </c>
      <c r="P21" s="295">
        <v>2728</v>
      </c>
      <c r="Q21" s="295">
        <v>2728</v>
      </c>
      <c r="R21" s="295">
        <v>2728</v>
      </c>
      <c r="S21" s="52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5">
        <v>0</v>
      </c>
      <c r="AU21" s="45">
        <v>0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  <c r="BA21" s="45">
        <v>0</v>
      </c>
      <c r="BB21" s="45">
        <v>0</v>
      </c>
      <c r="BC21" s="45">
        <v>0</v>
      </c>
      <c r="BD21" s="45">
        <v>0</v>
      </c>
      <c r="BE21" s="45">
        <v>0</v>
      </c>
      <c r="BF21" s="45">
        <v>0</v>
      </c>
      <c r="BG21" s="45">
        <v>0</v>
      </c>
      <c r="BH21" s="45">
        <v>0</v>
      </c>
      <c r="BI21" s="45">
        <v>0</v>
      </c>
      <c r="BJ21" s="45">
        <v>0</v>
      </c>
      <c r="BK21" s="45">
        <v>0</v>
      </c>
    </row>
    <row r="22" spans="1:63" s="291" customFormat="1" ht="13">
      <c r="A22" s="291" t="s">
        <v>287</v>
      </c>
      <c r="B22" s="291" t="s">
        <v>76</v>
      </c>
      <c r="C22" s="292" t="s">
        <v>79</v>
      </c>
      <c r="D22" s="51">
        <v>0</v>
      </c>
      <c r="E22" s="295">
        <v>1200</v>
      </c>
      <c r="F22" s="295">
        <v>1200</v>
      </c>
      <c r="G22" s="295">
        <v>1200</v>
      </c>
      <c r="H22" s="295">
        <v>1200</v>
      </c>
      <c r="I22" s="295">
        <v>1200</v>
      </c>
      <c r="J22" s="295">
        <v>1200</v>
      </c>
      <c r="K22" s="295">
        <v>1200</v>
      </c>
      <c r="L22" s="295">
        <v>1200</v>
      </c>
      <c r="M22" s="295">
        <v>1200</v>
      </c>
      <c r="N22" s="295">
        <v>1200</v>
      </c>
      <c r="O22" s="295">
        <v>1200</v>
      </c>
      <c r="P22" s="295">
        <v>1200</v>
      </c>
      <c r="Q22" s="295">
        <v>1200</v>
      </c>
      <c r="R22" s="295">
        <v>1200</v>
      </c>
      <c r="S22" s="295">
        <v>1200</v>
      </c>
      <c r="T22" s="45">
        <v>1200</v>
      </c>
      <c r="U22" s="45">
        <v>1200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5">
        <v>0</v>
      </c>
      <c r="AJ22" s="45">
        <v>0</v>
      </c>
      <c r="AK22" s="45">
        <v>0</v>
      </c>
      <c r="AL22" s="45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5">
        <v>0</v>
      </c>
      <c r="AV22" s="45">
        <v>0</v>
      </c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45">
        <v>0</v>
      </c>
      <c r="BK22" s="45">
        <v>0</v>
      </c>
    </row>
    <row r="23" spans="1:63" s="291" customFormat="1" ht="13">
      <c r="A23" s="291" t="s">
        <v>288</v>
      </c>
      <c r="B23" s="291" t="s">
        <v>76</v>
      </c>
      <c r="C23" s="292" t="s">
        <v>79</v>
      </c>
      <c r="D23" s="51">
        <v>0</v>
      </c>
      <c r="E23" s="295">
        <v>230.6</v>
      </c>
      <c r="F23" s="295">
        <v>230.6</v>
      </c>
      <c r="G23" s="295">
        <v>230.6</v>
      </c>
      <c r="H23" s="295">
        <v>230.6</v>
      </c>
      <c r="I23" s="295">
        <v>230.6</v>
      </c>
      <c r="J23" s="295">
        <v>230.6</v>
      </c>
      <c r="K23" s="295">
        <v>230.6</v>
      </c>
      <c r="L23" s="295">
        <v>230.6</v>
      </c>
      <c r="M23" s="295">
        <v>230.6</v>
      </c>
      <c r="N23" s="295">
        <v>230.6</v>
      </c>
      <c r="O23" s="295">
        <v>230.6</v>
      </c>
      <c r="P23" s="295">
        <v>230.6</v>
      </c>
      <c r="Q23" s="295">
        <v>230.6</v>
      </c>
      <c r="R23" s="295">
        <v>230.6</v>
      </c>
      <c r="S23" s="295">
        <v>230.6</v>
      </c>
      <c r="T23" s="45">
        <v>230.6</v>
      </c>
      <c r="U23" s="45">
        <v>230.6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0</v>
      </c>
      <c r="AW23" s="45">
        <v>0</v>
      </c>
      <c r="AX23" s="45">
        <v>0</v>
      </c>
      <c r="AY23" s="45">
        <v>0</v>
      </c>
      <c r="AZ23" s="45">
        <v>0</v>
      </c>
      <c r="BA23" s="45">
        <v>0</v>
      </c>
      <c r="BB23" s="45">
        <v>0</v>
      </c>
      <c r="BC23" s="45">
        <v>0</v>
      </c>
      <c r="BD23" s="45">
        <v>0</v>
      </c>
      <c r="BE23" s="45">
        <v>0</v>
      </c>
      <c r="BF23" s="45">
        <v>0</v>
      </c>
      <c r="BG23" s="45">
        <v>0</v>
      </c>
      <c r="BH23" s="45">
        <v>0</v>
      </c>
      <c r="BI23" s="45">
        <v>0</v>
      </c>
      <c r="BJ23" s="45">
        <v>0</v>
      </c>
      <c r="BK23" s="45">
        <v>0</v>
      </c>
    </row>
    <row r="24" spans="1:63" s="291" customFormat="1" ht="13">
      <c r="A24" s="291" t="s">
        <v>289</v>
      </c>
      <c r="B24" s="291" t="s">
        <v>76</v>
      </c>
      <c r="C24" s="292" t="s">
        <v>79</v>
      </c>
      <c r="D24" s="51">
        <v>0</v>
      </c>
      <c r="E24" s="295">
        <v>717</v>
      </c>
      <c r="F24" s="295">
        <v>717</v>
      </c>
      <c r="G24" s="295">
        <v>717</v>
      </c>
      <c r="H24" s="295">
        <v>717</v>
      </c>
      <c r="I24" s="295">
        <v>717</v>
      </c>
      <c r="J24" s="295">
        <v>717</v>
      </c>
      <c r="K24" s="295">
        <v>717</v>
      </c>
      <c r="L24" s="295">
        <v>717</v>
      </c>
      <c r="M24" s="295">
        <v>717</v>
      </c>
      <c r="N24" s="295">
        <v>717</v>
      </c>
      <c r="O24" s="295">
        <v>717</v>
      </c>
      <c r="P24" s="295">
        <v>717</v>
      </c>
      <c r="Q24" s="295">
        <v>717</v>
      </c>
      <c r="R24" s="295">
        <v>629</v>
      </c>
      <c r="S24" s="295">
        <v>629</v>
      </c>
      <c r="T24" s="45">
        <v>363</v>
      </c>
      <c r="U24" s="45">
        <v>168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5">
        <v>0</v>
      </c>
      <c r="AU24" s="45">
        <v>0</v>
      </c>
      <c r="AV24" s="45">
        <v>0</v>
      </c>
      <c r="AW24" s="45">
        <v>0</v>
      </c>
      <c r="AX24" s="45">
        <v>0</v>
      </c>
      <c r="AY24" s="45">
        <v>0</v>
      </c>
      <c r="AZ24" s="45">
        <v>0</v>
      </c>
      <c r="BA24" s="45">
        <v>0</v>
      </c>
      <c r="BB24" s="45">
        <v>0</v>
      </c>
      <c r="BC24" s="45">
        <v>0</v>
      </c>
      <c r="BD24" s="45">
        <v>0</v>
      </c>
      <c r="BE24" s="45">
        <v>0</v>
      </c>
      <c r="BF24" s="45">
        <v>0</v>
      </c>
      <c r="BG24" s="45">
        <v>0</v>
      </c>
      <c r="BH24" s="45">
        <v>0</v>
      </c>
      <c r="BI24" s="45">
        <v>0</v>
      </c>
      <c r="BJ24" s="45">
        <v>0</v>
      </c>
      <c r="BK24" s="45">
        <v>0</v>
      </c>
    </row>
    <row r="25" spans="1:63" ht="13">
      <c r="A25" s="291" t="s">
        <v>290</v>
      </c>
      <c r="B25" s="291" t="s">
        <v>76</v>
      </c>
      <c r="C25" s="292" t="s">
        <v>79</v>
      </c>
      <c r="D25" s="51">
        <v>0</v>
      </c>
      <c r="E25" s="295">
        <v>1795</v>
      </c>
      <c r="F25" s="295">
        <v>1795</v>
      </c>
      <c r="G25" s="295">
        <v>1795</v>
      </c>
      <c r="H25" s="295">
        <v>1795</v>
      </c>
      <c r="I25" s="295">
        <v>1795</v>
      </c>
      <c r="J25" s="295">
        <v>1795</v>
      </c>
      <c r="K25" s="295">
        <v>1795</v>
      </c>
      <c r="L25" s="295">
        <v>1795</v>
      </c>
      <c r="M25" s="295">
        <v>1795</v>
      </c>
      <c r="N25" s="295">
        <v>1795</v>
      </c>
      <c r="O25" s="295">
        <v>1795</v>
      </c>
      <c r="P25" s="295">
        <v>1795</v>
      </c>
      <c r="Q25" s="295">
        <v>1795</v>
      </c>
      <c r="R25" s="295">
        <v>1795</v>
      </c>
      <c r="S25" s="295">
        <v>1795</v>
      </c>
      <c r="T25" s="45">
        <v>1795</v>
      </c>
      <c r="U25" s="45">
        <v>1795</v>
      </c>
      <c r="V25" s="45">
        <v>1795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5">
        <v>0</v>
      </c>
      <c r="AW25" s="45">
        <v>0</v>
      </c>
      <c r="AX25" s="45">
        <v>0</v>
      </c>
      <c r="AY25" s="45">
        <v>0</v>
      </c>
      <c r="AZ25" s="45">
        <v>0</v>
      </c>
      <c r="BA25" s="45">
        <v>0</v>
      </c>
      <c r="BB25" s="45">
        <v>0</v>
      </c>
      <c r="BC25" s="45">
        <v>0</v>
      </c>
      <c r="BD25" s="45">
        <v>0</v>
      </c>
      <c r="BE25" s="45">
        <v>0</v>
      </c>
      <c r="BF25" s="45">
        <v>0</v>
      </c>
      <c r="BG25" s="45">
        <v>0</v>
      </c>
      <c r="BH25" s="45">
        <v>0</v>
      </c>
      <c r="BI25" s="45">
        <v>0</v>
      </c>
      <c r="BJ25" s="45">
        <v>0</v>
      </c>
      <c r="BK25" s="45">
        <v>0</v>
      </c>
    </row>
    <row r="26" spans="1:63" s="291" customFormat="1" ht="13">
      <c r="A26" s="291" t="s">
        <v>88</v>
      </c>
      <c r="B26" s="291" t="s">
        <v>76</v>
      </c>
      <c r="C26" s="292" t="s">
        <v>79</v>
      </c>
      <c r="D26" s="51">
        <v>0</v>
      </c>
      <c r="E26" s="295">
        <v>784</v>
      </c>
      <c r="F26" s="295">
        <v>784</v>
      </c>
      <c r="G26" s="295">
        <v>784</v>
      </c>
      <c r="H26" s="295">
        <v>784</v>
      </c>
      <c r="I26" s="295">
        <v>784</v>
      </c>
      <c r="J26" s="295">
        <v>784</v>
      </c>
      <c r="K26" s="295">
        <v>784</v>
      </c>
      <c r="L26" s="295">
        <v>784</v>
      </c>
      <c r="M26" s="295">
        <v>784</v>
      </c>
      <c r="N26" s="295">
        <v>784</v>
      </c>
      <c r="O26" s="295">
        <v>784</v>
      </c>
      <c r="P26" s="295">
        <v>784</v>
      </c>
      <c r="Q26" s="295">
        <v>784</v>
      </c>
      <c r="R26" s="295">
        <v>784</v>
      </c>
      <c r="S26" s="295">
        <v>784</v>
      </c>
      <c r="T26" s="45">
        <v>784</v>
      </c>
      <c r="U26" s="45">
        <v>784</v>
      </c>
      <c r="V26" s="45">
        <v>784</v>
      </c>
      <c r="W26" s="45">
        <v>784</v>
      </c>
      <c r="X26" s="45">
        <v>784</v>
      </c>
      <c r="Y26" s="45">
        <v>784</v>
      </c>
      <c r="Z26" s="291">
        <v>392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  <c r="BB26" s="45">
        <v>0</v>
      </c>
      <c r="BC26" s="45">
        <v>0</v>
      </c>
      <c r="BD26" s="45">
        <v>0</v>
      </c>
      <c r="BE26" s="45">
        <v>0</v>
      </c>
      <c r="BF26" s="45">
        <v>0</v>
      </c>
      <c r="BG26" s="45">
        <v>0</v>
      </c>
      <c r="BH26" s="45">
        <v>0</v>
      </c>
      <c r="BI26" s="45">
        <v>0</v>
      </c>
      <c r="BJ26" s="45">
        <v>0</v>
      </c>
      <c r="BK26" s="45">
        <v>0</v>
      </c>
    </row>
    <row r="27" spans="1:63" ht="13">
      <c r="A27" s="291" t="s">
        <v>291</v>
      </c>
      <c r="B27" s="291" t="s">
        <v>76</v>
      </c>
      <c r="C27" s="292" t="s">
        <v>79</v>
      </c>
      <c r="D27" s="51">
        <v>0</v>
      </c>
      <c r="E27" s="295">
        <v>2577</v>
      </c>
      <c r="F27" s="295">
        <v>2577</v>
      </c>
      <c r="G27" s="295">
        <v>2577</v>
      </c>
      <c r="H27" s="295">
        <v>2577</v>
      </c>
      <c r="I27" s="295">
        <v>2577</v>
      </c>
      <c r="J27" s="295">
        <v>2577</v>
      </c>
      <c r="K27" s="295">
        <v>2577</v>
      </c>
      <c r="L27" s="295">
        <v>2577</v>
      </c>
      <c r="M27" s="295">
        <v>2577</v>
      </c>
      <c r="N27" s="295">
        <v>2577</v>
      </c>
      <c r="O27" s="295">
        <v>2577</v>
      </c>
      <c r="P27" s="295">
        <v>2577</v>
      </c>
      <c r="Q27" s="295">
        <v>2577</v>
      </c>
      <c r="R27" s="295">
        <v>2577</v>
      </c>
      <c r="S27" s="295">
        <v>2577</v>
      </c>
      <c r="T27" s="45">
        <v>2577</v>
      </c>
      <c r="U27" s="45">
        <v>2577</v>
      </c>
      <c r="V27" s="45">
        <v>2577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5">
        <v>0</v>
      </c>
      <c r="AU27" s="45">
        <v>0</v>
      </c>
      <c r="AV27" s="45">
        <v>0</v>
      </c>
      <c r="AW27" s="45">
        <v>0</v>
      </c>
      <c r="AX27" s="45">
        <v>0</v>
      </c>
      <c r="AY27" s="45">
        <v>0</v>
      </c>
      <c r="AZ27" s="45">
        <v>0</v>
      </c>
      <c r="BA27" s="45">
        <v>0</v>
      </c>
      <c r="BB27" s="45">
        <v>0</v>
      </c>
      <c r="BC27" s="45">
        <v>0</v>
      </c>
      <c r="BD27" s="45">
        <v>0</v>
      </c>
      <c r="BE27" s="45">
        <v>0</v>
      </c>
      <c r="BF27" s="45">
        <v>0</v>
      </c>
      <c r="BG27" s="45">
        <v>0</v>
      </c>
      <c r="BH27" s="45">
        <v>0</v>
      </c>
      <c r="BI27" s="45">
        <v>0</v>
      </c>
      <c r="BJ27" s="45">
        <v>0</v>
      </c>
      <c r="BK27" s="45">
        <v>0</v>
      </c>
    </row>
    <row r="28" spans="1:63" s="291" customFormat="1" ht="13">
      <c r="A28" s="291" t="s">
        <v>138</v>
      </c>
      <c r="B28" s="291" t="s">
        <v>76</v>
      </c>
      <c r="C28" s="292" t="s">
        <v>79</v>
      </c>
      <c r="D28" s="51">
        <v>0</v>
      </c>
      <c r="E28" s="295">
        <v>90.57</v>
      </c>
      <c r="F28" s="295">
        <v>90.57</v>
      </c>
      <c r="G28" s="295">
        <v>90.57</v>
      </c>
      <c r="H28" s="295">
        <v>90.57</v>
      </c>
      <c r="I28" s="295">
        <v>90.57</v>
      </c>
      <c r="J28" s="295">
        <v>90.57</v>
      </c>
      <c r="K28" s="295">
        <v>90.57</v>
      </c>
      <c r="L28" s="295">
        <v>90.57</v>
      </c>
      <c r="M28" s="295">
        <v>90.57</v>
      </c>
      <c r="N28" s="295">
        <v>0</v>
      </c>
      <c r="O28" s="295">
        <v>0</v>
      </c>
      <c r="P28" s="295">
        <v>0</v>
      </c>
      <c r="Q28" s="295">
        <v>0</v>
      </c>
      <c r="R28" s="295">
        <v>0</v>
      </c>
      <c r="S28" s="29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0</v>
      </c>
      <c r="AL28" s="45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5">
        <v>0</v>
      </c>
      <c r="AU28" s="45">
        <v>0</v>
      </c>
      <c r="AV28" s="45">
        <v>0</v>
      </c>
      <c r="AW28" s="45">
        <v>0</v>
      </c>
      <c r="AX28" s="45">
        <v>0</v>
      </c>
      <c r="AY28" s="45">
        <v>0</v>
      </c>
      <c r="AZ28" s="45">
        <v>0</v>
      </c>
      <c r="BA28" s="45">
        <v>0</v>
      </c>
      <c r="BB28" s="45">
        <v>0</v>
      </c>
      <c r="BC28" s="45">
        <v>0</v>
      </c>
      <c r="BD28" s="45">
        <v>0</v>
      </c>
      <c r="BE28" s="45">
        <v>0</v>
      </c>
      <c r="BF28" s="45">
        <v>0</v>
      </c>
      <c r="BG28" s="45">
        <v>0</v>
      </c>
      <c r="BH28" s="45">
        <v>0</v>
      </c>
      <c r="BI28" s="45">
        <v>0</v>
      </c>
      <c r="BJ28" s="45">
        <v>0</v>
      </c>
      <c r="BK28" s="45">
        <v>0</v>
      </c>
    </row>
    <row r="29" spans="1:63" s="291" customFormat="1" ht="13">
      <c r="A29" s="291" t="s">
        <v>139</v>
      </c>
      <c r="B29" s="291" t="s">
        <v>76</v>
      </c>
      <c r="C29" s="292" t="s">
        <v>79</v>
      </c>
      <c r="D29" s="51">
        <v>0</v>
      </c>
      <c r="E29" s="295">
        <v>235</v>
      </c>
      <c r="F29" s="295">
        <v>235</v>
      </c>
      <c r="G29" s="295">
        <v>235</v>
      </c>
      <c r="H29" s="295">
        <v>235</v>
      </c>
      <c r="I29" s="295">
        <v>235</v>
      </c>
      <c r="J29" s="295">
        <v>235</v>
      </c>
      <c r="K29" s="295">
        <v>235</v>
      </c>
      <c r="L29" s="295">
        <v>235</v>
      </c>
      <c r="M29" s="295">
        <v>235</v>
      </c>
      <c r="N29" s="295">
        <v>235</v>
      </c>
      <c r="O29" s="295">
        <v>0</v>
      </c>
      <c r="P29" s="295">
        <v>0</v>
      </c>
      <c r="Q29" s="295">
        <v>0</v>
      </c>
      <c r="R29" s="295">
        <v>0</v>
      </c>
      <c r="S29" s="29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0</v>
      </c>
      <c r="AX29" s="45">
        <v>0</v>
      </c>
      <c r="AY29" s="45">
        <v>0</v>
      </c>
      <c r="AZ29" s="45">
        <v>0</v>
      </c>
      <c r="BA29" s="45">
        <v>0</v>
      </c>
      <c r="BB29" s="45">
        <v>0</v>
      </c>
      <c r="BC29" s="45">
        <v>0</v>
      </c>
      <c r="BD29" s="45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</row>
    <row r="30" spans="1:63" s="291" customFormat="1" ht="13">
      <c r="A30" s="291" t="s">
        <v>604</v>
      </c>
      <c r="B30" s="291" t="s">
        <v>76</v>
      </c>
      <c r="C30" s="292" t="s">
        <v>79</v>
      </c>
      <c r="D30" s="51">
        <v>0</v>
      </c>
      <c r="E30" s="295">
        <v>5590</v>
      </c>
      <c r="F30" s="295">
        <v>5590</v>
      </c>
      <c r="G30" s="295">
        <v>5590</v>
      </c>
      <c r="H30" s="295">
        <v>5590</v>
      </c>
      <c r="I30" s="295">
        <v>5590</v>
      </c>
      <c r="J30" s="295">
        <v>5590</v>
      </c>
      <c r="K30" s="295">
        <v>5590</v>
      </c>
      <c r="L30" s="295">
        <v>5590</v>
      </c>
      <c r="M30" s="295">
        <v>5590</v>
      </c>
      <c r="N30" s="295">
        <v>5590</v>
      </c>
      <c r="O30" s="295">
        <v>5590</v>
      </c>
      <c r="P30" s="295">
        <v>5590</v>
      </c>
      <c r="Q30" s="295">
        <v>5590</v>
      </c>
      <c r="R30" s="295">
        <v>5590</v>
      </c>
      <c r="S30" s="295">
        <v>5590</v>
      </c>
      <c r="T30" s="45">
        <v>5590</v>
      </c>
      <c r="U30" s="45">
        <v>5590</v>
      </c>
      <c r="V30" s="45">
        <v>5590</v>
      </c>
      <c r="W30" s="45">
        <v>5590</v>
      </c>
      <c r="X30" s="45">
        <v>5590</v>
      </c>
      <c r="Y30" s="45">
        <v>5590</v>
      </c>
      <c r="Z30" s="45">
        <v>5590</v>
      </c>
      <c r="AA30" s="45">
        <v>5590</v>
      </c>
      <c r="AB30" s="45">
        <v>5590</v>
      </c>
      <c r="AC30" s="45">
        <v>5590</v>
      </c>
      <c r="AD30" s="45">
        <v>5590</v>
      </c>
      <c r="AE30" s="45">
        <v>5590</v>
      </c>
      <c r="AF30" s="45">
        <v>5590</v>
      </c>
      <c r="AG30" s="45">
        <v>5590</v>
      </c>
      <c r="AH30" s="45">
        <v>5590</v>
      </c>
      <c r="AI30" s="45">
        <v>5590</v>
      </c>
      <c r="AJ30" s="45">
        <v>5590</v>
      </c>
      <c r="AK30" s="45">
        <v>5590</v>
      </c>
      <c r="AL30" s="45">
        <v>5590</v>
      </c>
      <c r="AM30" s="45">
        <v>5590</v>
      </c>
      <c r="AN30" s="45">
        <v>5590</v>
      </c>
      <c r="AO30" s="45">
        <v>5590</v>
      </c>
      <c r="AP30" s="45">
        <v>5590</v>
      </c>
      <c r="AQ30" s="45">
        <v>5590</v>
      </c>
      <c r="AR30" s="45">
        <v>5590</v>
      </c>
      <c r="AS30" s="45">
        <v>5590</v>
      </c>
      <c r="AT30" s="45">
        <v>5590</v>
      </c>
      <c r="AU30" s="45">
        <v>5590</v>
      </c>
      <c r="AV30" s="45">
        <v>0</v>
      </c>
      <c r="AW30" s="45">
        <v>0</v>
      </c>
      <c r="AX30" s="45">
        <v>0</v>
      </c>
      <c r="AY30" s="45">
        <v>0</v>
      </c>
      <c r="AZ30" s="45">
        <v>0</v>
      </c>
      <c r="BA30" s="45">
        <v>0</v>
      </c>
      <c r="BB30" s="45">
        <v>0</v>
      </c>
      <c r="BC30" s="45">
        <v>0</v>
      </c>
      <c r="BD30" s="45">
        <v>0</v>
      </c>
      <c r="BE30" s="45">
        <v>0</v>
      </c>
      <c r="BF30" s="45">
        <v>0</v>
      </c>
      <c r="BG30" s="45">
        <v>0</v>
      </c>
      <c r="BH30" s="45">
        <v>0</v>
      </c>
      <c r="BI30" s="45">
        <v>0</v>
      </c>
      <c r="BJ30" s="45">
        <v>0</v>
      </c>
      <c r="BK30" s="45">
        <v>0</v>
      </c>
    </row>
    <row r="31" spans="1:63" s="291" customFormat="1" ht="13">
      <c r="A31" s="291" t="s">
        <v>91</v>
      </c>
      <c r="B31" s="291" t="s">
        <v>76</v>
      </c>
      <c r="C31" s="292" t="s">
        <v>81</v>
      </c>
      <c r="D31" s="51">
        <v>0</v>
      </c>
      <c r="E31" s="45">
        <v>9164</v>
      </c>
      <c r="F31" s="45">
        <v>9164</v>
      </c>
      <c r="G31" s="45">
        <v>9164</v>
      </c>
      <c r="H31" s="45">
        <v>9164</v>
      </c>
      <c r="I31" s="45">
        <v>9164</v>
      </c>
      <c r="J31" s="45">
        <v>9164</v>
      </c>
      <c r="K31" s="45">
        <v>9164</v>
      </c>
      <c r="L31" s="45">
        <v>9164</v>
      </c>
      <c r="M31" s="45">
        <v>9164</v>
      </c>
      <c r="N31" s="45">
        <v>9164</v>
      </c>
      <c r="O31" s="45">
        <v>9164</v>
      </c>
      <c r="P31" s="45">
        <v>9164</v>
      </c>
      <c r="Q31" s="45">
        <v>9164</v>
      </c>
      <c r="R31" s="45">
        <v>9164</v>
      </c>
      <c r="S31" s="45">
        <v>9164</v>
      </c>
      <c r="T31" s="45">
        <v>9164</v>
      </c>
      <c r="U31" s="45">
        <v>9164</v>
      </c>
      <c r="V31" s="45">
        <v>9164</v>
      </c>
      <c r="W31" s="45">
        <v>9164</v>
      </c>
      <c r="X31" s="45">
        <v>9164</v>
      </c>
      <c r="Y31" s="45">
        <v>9164</v>
      </c>
      <c r="Z31" s="45">
        <v>9164</v>
      </c>
      <c r="AA31" s="45">
        <v>9164</v>
      </c>
      <c r="AB31" s="45">
        <v>9164</v>
      </c>
      <c r="AC31" s="45">
        <v>9164</v>
      </c>
      <c r="AD31" s="45">
        <v>9164</v>
      </c>
      <c r="AE31" s="45">
        <v>9164</v>
      </c>
      <c r="AF31" s="45">
        <v>9164</v>
      </c>
      <c r="AG31" s="45">
        <v>9164</v>
      </c>
      <c r="AH31" s="45">
        <v>9164</v>
      </c>
      <c r="AI31" s="45">
        <v>9164</v>
      </c>
      <c r="AJ31" s="45">
        <v>9164</v>
      </c>
      <c r="AK31" s="45">
        <v>9164</v>
      </c>
      <c r="AL31" s="45">
        <v>9164</v>
      </c>
      <c r="AM31" s="45">
        <v>9164</v>
      </c>
      <c r="AN31" s="45">
        <v>9164</v>
      </c>
      <c r="AO31" s="45">
        <v>9164</v>
      </c>
      <c r="AP31" s="45">
        <v>9164</v>
      </c>
      <c r="AQ31" s="45">
        <v>9164</v>
      </c>
      <c r="AR31" s="45">
        <v>9164</v>
      </c>
      <c r="AS31" s="45">
        <v>9164</v>
      </c>
      <c r="AT31" s="45">
        <v>9164</v>
      </c>
      <c r="AU31" s="45">
        <v>9164</v>
      </c>
      <c r="AV31" s="45">
        <v>9164</v>
      </c>
      <c r="AW31" s="45">
        <v>9164</v>
      </c>
      <c r="AX31" s="45">
        <v>9164</v>
      </c>
      <c r="AY31" s="45">
        <v>9164</v>
      </c>
      <c r="AZ31" s="45">
        <v>9164</v>
      </c>
      <c r="BA31" s="45">
        <v>9164</v>
      </c>
      <c r="BB31" s="45">
        <v>0</v>
      </c>
      <c r="BC31" s="45">
        <v>0</v>
      </c>
      <c r="BD31" s="45">
        <v>0</v>
      </c>
      <c r="BE31" s="45">
        <v>0</v>
      </c>
      <c r="BF31" s="45">
        <v>0</v>
      </c>
      <c r="BG31" s="45">
        <v>0</v>
      </c>
      <c r="BH31" s="45">
        <v>0</v>
      </c>
      <c r="BI31" s="45">
        <v>0</v>
      </c>
      <c r="BJ31" s="45">
        <v>0</v>
      </c>
      <c r="BK31" s="45">
        <v>0</v>
      </c>
    </row>
    <row r="32" spans="1:63" s="291" customFormat="1" ht="13">
      <c r="A32" s="291" t="s">
        <v>92</v>
      </c>
      <c r="B32" s="291" t="s">
        <v>76</v>
      </c>
      <c r="C32" s="292" t="s">
        <v>79</v>
      </c>
      <c r="D32" s="51">
        <v>0</v>
      </c>
      <c r="E32" s="295">
        <v>3575</v>
      </c>
      <c r="F32" s="295">
        <v>3575</v>
      </c>
      <c r="G32" s="295">
        <v>3575</v>
      </c>
      <c r="H32" s="295">
        <v>3575</v>
      </c>
      <c r="I32" s="295">
        <v>3575</v>
      </c>
      <c r="J32" s="295">
        <v>3575</v>
      </c>
      <c r="K32" s="295">
        <v>3575</v>
      </c>
      <c r="L32" s="295">
        <v>3575</v>
      </c>
      <c r="M32" s="295">
        <v>3575</v>
      </c>
      <c r="N32" s="295">
        <v>3575</v>
      </c>
      <c r="O32" s="295">
        <v>3575</v>
      </c>
      <c r="P32" s="295">
        <v>3575</v>
      </c>
      <c r="Q32" s="295">
        <v>3575</v>
      </c>
      <c r="R32" s="295">
        <v>3575</v>
      </c>
      <c r="S32" s="295">
        <v>3575</v>
      </c>
      <c r="T32" s="45">
        <v>3575</v>
      </c>
      <c r="U32" s="45">
        <v>3575</v>
      </c>
      <c r="V32" s="45">
        <v>3575</v>
      </c>
      <c r="W32" s="45">
        <v>3575</v>
      </c>
      <c r="X32" s="45">
        <v>3575</v>
      </c>
      <c r="Y32" s="45">
        <v>3575</v>
      </c>
      <c r="Z32" s="45">
        <v>3575</v>
      </c>
      <c r="AA32" s="45">
        <v>3575</v>
      </c>
      <c r="AB32" s="45">
        <v>3575</v>
      </c>
      <c r="AC32" s="45">
        <v>3575</v>
      </c>
      <c r="AD32" s="45">
        <v>3575</v>
      </c>
      <c r="AE32" s="45">
        <v>3575</v>
      </c>
      <c r="AF32" s="45">
        <v>3575</v>
      </c>
      <c r="AG32" s="45">
        <v>3575</v>
      </c>
      <c r="AH32" s="45">
        <v>3575</v>
      </c>
      <c r="AI32" s="45">
        <v>3575</v>
      </c>
      <c r="AJ32" s="45">
        <v>3575</v>
      </c>
      <c r="AK32" s="45">
        <v>3575</v>
      </c>
      <c r="AL32" s="45">
        <v>3575</v>
      </c>
      <c r="AM32" s="45">
        <v>3575</v>
      </c>
      <c r="AN32" s="45">
        <v>3575</v>
      </c>
      <c r="AO32" s="45">
        <v>3575</v>
      </c>
      <c r="AP32" s="45">
        <v>3575</v>
      </c>
      <c r="AQ32" s="45">
        <v>3575</v>
      </c>
      <c r="AR32" s="45">
        <v>3575</v>
      </c>
      <c r="AS32" s="45">
        <v>3575</v>
      </c>
      <c r="AT32" s="45">
        <v>3575</v>
      </c>
      <c r="AU32" s="45">
        <v>3575</v>
      </c>
      <c r="AV32" s="45">
        <v>3575</v>
      </c>
      <c r="AW32" s="45">
        <v>3575</v>
      </c>
      <c r="AX32" s="45">
        <v>3575</v>
      </c>
      <c r="AY32" s="45">
        <v>3575</v>
      </c>
      <c r="AZ32" s="45">
        <v>3575</v>
      </c>
      <c r="BA32" s="45">
        <v>3575</v>
      </c>
      <c r="BB32" s="45">
        <v>0</v>
      </c>
      <c r="BC32" s="45">
        <v>0</v>
      </c>
      <c r="BD32" s="45">
        <v>0</v>
      </c>
      <c r="BE32" s="45">
        <v>0</v>
      </c>
      <c r="BF32" s="45">
        <v>0</v>
      </c>
      <c r="BG32" s="45">
        <v>0</v>
      </c>
      <c r="BH32" s="45">
        <v>0</v>
      </c>
      <c r="BI32" s="45">
        <v>0</v>
      </c>
      <c r="BJ32" s="45">
        <v>0</v>
      </c>
      <c r="BK32" s="45">
        <v>0</v>
      </c>
    </row>
    <row r="33" spans="1:63" s="291" customFormat="1" ht="13">
      <c r="A33" s="291" t="s">
        <v>93</v>
      </c>
      <c r="B33" s="291" t="s">
        <v>76</v>
      </c>
      <c r="C33" s="292" t="s">
        <v>81</v>
      </c>
      <c r="D33" s="51">
        <v>0</v>
      </c>
      <c r="E33" s="45">
        <v>14809</v>
      </c>
      <c r="F33" s="45">
        <v>14809</v>
      </c>
      <c r="G33" s="45">
        <v>14809</v>
      </c>
      <c r="H33" s="45">
        <v>14809</v>
      </c>
      <c r="I33" s="45">
        <v>14809</v>
      </c>
      <c r="J33" s="45">
        <v>14809</v>
      </c>
      <c r="K33" s="45">
        <v>14809</v>
      </c>
      <c r="L33" s="45">
        <v>14809</v>
      </c>
      <c r="M33" s="45">
        <v>14809</v>
      </c>
      <c r="N33" s="45">
        <v>14809</v>
      </c>
      <c r="O33" s="45">
        <v>14809</v>
      </c>
      <c r="P33" s="45">
        <v>14809</v>
      </c>
      <c r="Q33" s="45">
        <v>14809</v>
      </c>
      <c r="R33" s="45">
        <v>14809</v>
      </c>
      <c r="S33" s="45">
        <v>14809</v>
      </c>
      <c r="T33" s="45">
        <v>14809</v>
      </c>
      <c r="U33" s="45">
        <v>14809</v>
      </c>
      <c r="V33" s="45">
        <v>14809</v>
      </c>
      <c r="W33" s="45">
        <v>14809</v>
      </c>
      <c r="X33" s="45">
        <v>14809</v>
      </c>
      <c r="Y33" s="45">
        <v>14809</v>
      </c>
      <c r="Z33" s="45">
        <v>14809</v>
      </c>
      <c r="AA33" s="45">
        <v>14809</v>
      </c>
      <c r="AB33" s="45">
        <v>14809</v>
      </c>
      <c r="AC33" s="45">
        <v>14809</v>
      </c>
      <c r="AD33" s="45">
        <v>14809</v>
      </c>
      <c r="AE33" s="45">
        <v>14809</v>
      </c>
      <c r="AF33" s="45">
        <v>14809</v>
      </c>
      <c r="AG33" s="45">
        <v>14809</v>
      </c>
      <c r="AH33" s="45">
        <v>14809</v>
      </c>
      <c r="AI33" s="45">
        <v>14809</v>
      </c>
      <c r="AJ33" s="45">
        <v>14809</v>
      </c>
      <c r="AK33" s="45">
        <v>14809</v>
      </c>
      <c r="AL33" s="45">
        <v>14809</v>
      </c>
      <c r="AM33" s="45">
        <v>14809</v>
      </c>
      <c r="AN33" s="45">
        <v>14809</v>
      </c>
      <c r="AO33" s="45">
        <v>14809</v>
      </c>
      <c r="AP33" s="45">
        <v>14809</v>
      </c>
      <c r="AQ33" s="45">
        <v>14809</v>
      </c>
      <c r="AR33" s="45">
        <v>14809</v>
      </c>
      <c r="AS33" s="45">
        <v>14809</v>
      </c>
      <c r="AT33" s="45">
        <v>14809</v>
      </c>
      <c r="AU33" s="45">
        <v>14809</v>
      </c>
      <c r="AV33" s="45">
        <v>14809</v>
      </c>
      <c r="AW33" s="45">
        <v>14809</v>
      </c>
      <c r="AX33" s="45">
        <v>14809</v>
      </c>
      <c r="AY33" s="45">
        <v>14809</v>
      </c>
      <c r="AZ33" s="45">
        <v>14809</v>
      </c>
      <c r="BA33" s="45">
        <v>14809</v>
      </c>
      <c r="BB33" s="45">
        <v>0</v>
      </c>
      <c r="BC33" s="45">
        <v>0</v>
      </c>
      <c r="BD33" s="45">
        <v>0</v>
      </c>
      <c r="BE33" s="45">
        <v>0</v>
      </c>
      <c r="BF33" s="45">
        <v>0</v>
      </c>
      <c r="BG33" s="45">
        <v>0</v>
      </c>
      <c r="BH33" s="45">
        <v>0</v>
      </c>
      <c r="BI33" s="45">
        <v>0</v>
      </c>
      <c r="BJ33" s="45">
        <v>0</v>
      </c>
      <c r="BK33" s="45">
        <v>0</v>
      </c>
    </row>
    <row r="34" spans="1:63" ht="13">
      <c r="A34" s="291" t="s">
        <v>94</v>
      </c>
      <c r="B34" s="291" t="s">
        <v>76</v>
      </c>
      <c r="C34" s="292" t="s">
        <v>79</v>
      </c>
      <c r="D34" s="51">
        <v>0</v>
      </c>
      <c r="E34" s="51">
        <v>0</v>
      </c>
      <c r="F34" s="295">
        <v>14125.23</v>
      </c>
      <c r="G34" s="295">
        <v>14125.23</v>
      </c>
      <c r="H34" s="295">
        <v>14125.23</v>
      </c>
      <c r="I34" s="295">
        <v>14125.23</v>
      </c>
      <c r="J34" s="295">
        <v>14125.23</v>
      </c>
      <c r="K34" s="295">
        <v>14125.23</v>
      </c>
      <c r="L34" s="295">
        <v>14125.23</v>
      </c>
      <c r="M34" s="295">
        <v>14125.23</v>
      </c>
      <c r="N34" s="295">
        <v>14125.23</v>
      </c>
      <c r="O34" s="295">
        <v>14125.23</v>
      </c>
      <c r="P34" s="295">
        <v>14125.23</v>
      </c>
      <c r="Q34" s="295">
        <v>14125.23</v>
      </c>
      <c r="R34" s="295">
        <v>14125.23</v>
      </c>
      <c r="S34" s="295">
        <v>14125.23</v>
      </c>
      <c r="T34" s="45">
        <v>14125.23</v>
      </c>
      <c r="U34" s="45">
        <v>14125.23</v>
      </c>
      <c r="V34" s="45">
        <v>14125.23</v>
      </c>
      <c r="W34" s="45">
        <v>14125.23</v>
      </c>
      <c r="X34" s="45">
        <v>14125.23</v>
      </c>
      <c r="Y34" s="45">
        <v>14125.23</v>
      </c>
      <c r="Z34" s="45">
        <v>14125.23</v>
      </c>
      <c r="AA34" s="45">
        <v>14125.23</v>
      </c>
      <c r="AB34" s="45">
        <v>14125.23</v>
      </c>
      <c r="AC34" s="45">
        <v>14125.23</v>
      </c>
      <c r="AD34" s="45">
        <v>14125.23</v>
      </c>
      <c r="AE34" s="45">
        <v>14125.23</v>
      </c>
      <c r="AF34" s="45">
        <v>14125.23</v>
      </c>
      <c r="AG34" s="45">
        <v>14125.23</v>
      </c>
      <c r="AH34" s="45">
        <v>14125.23</v>
      </c>
      <c r="AI34" s="45">
        <v>14125.23</v>
      </c>
      <c r="AJ34" s="45">
        <v>14125.23</v>
      </c>
      <c r="AK34" s="45">
        <v>14125.23</v>
      </c>
      <c r="AL34" s="45">
        <v>14125.23</v>
      </c>
      <c r="AM34" s="45">
        <v>14125.23</v>
      </c>
      <c r="AN34" s="45">
        <v>14125.23</v>
      </c>
      <c r="AO34" s="45">
        <v>14125.23</v>
      </c>
      <c r="AP34" s="45">
        <v>14125.23</v>
      </c>
      <c r="AQ34" s="45">
        <v>14125.23</v>
      </c>
      <c r="AR34" s="45">
        <v>14125.23</v>
      </c>
      <c r="AS34" s="45">
        <v>0</v>
      </c>
      <c r="AT34" s="45">
        <v>0</v>
      </c>
      <c r="AU34" s="45">
        <v>0</v>
      </c>
      <c r="AV34" s="45">
        <v>0</v>
      </c>
      <c r="AW34" s="45">
        <v>0</v>
      </c>
      <c r="AX34" s="45">
        <v>0</v>
      </c>
      <c r="AY34" s="45">
        <v>0</v>
      </c>
      <c r="AZ34" s="45">
        <v>0</v>
      </c>
      <c r="BA34" s="45">
        <v>0</v>
      </c>
      <c r="BB34" s="45">
        <v>0</v>
      </c>
      <c r="BC34" s="45">
        <v>0</v>
      </c>
      <c r="BD34" s="45">
        <v>0</v>
      </c>
      <c r="BE34" s="45">
        <v>0</v>
      </c>
      <c r="BF34" s="45">
        <v>0</v>
      </c>
      <c r="BG34" s="45">
        <v>0</v>
      </c>
      <c r="BH34" s="45">
        <v>0</v>
      </c>
      <c r="BI34" s="45">
        <v>0</v>
      </c>
      <c r="BJ34" s="45">
        <v>0</v>
      </c>
      <c r="BK34" s="45">
        <v>0</v>
      </c>
    </row>
    <row r="35" spans="1:63" s="291" customFormat="1" ht="13">
      <c r="A35" s="291" t="s">
        <v>95</v>
      </c>
      <c r="B35" s="291" t="s">
        <v>76</v>
      </c>
      <c r="C35" s="292" t="s">
        <v>96</v>
      </c>
      <c r="D35" s="51">
        <v>0</v>
      </c>
      <c r="E35" s="51">
        <v>0</v>
      </c>
      <c r="F35" s="45">
        <v>7534</v>
      </c>
      <c r="G35" s="45">
        <v>7534</v>
      </c>
      <c r="H35" s="45">
        <v>7534</v>
      </c>
      <c r="I35" s="45">
        <v>7534</v>
      </c>
      <c r="J35" s="45">
        <v>7534</v>
      </c>
      <c r="K35" s="45">
        <v>7534</v>
      </c>
      <c r="L35" s="45">
        <v>7534</v>
      </c>
      <c r="M35" s="45">
        <v>7534</v>
      </c>
      <c r="N35" s="45">
        <v>7534</v>
      </c>
      <c r="O35" s="45">
        <v>7534</v>
      </c>
      <c r="P35" s="45">
        <v>7534</v>
      </c>
      <c r="Q35" s="45">
        <v>7534</v>
      </c>
      <c r="R35" s="45">
        <v>7534</v>
      </c>
      <c r="S35" s="45">
        <v>7534</v>
      </c>
      <c r="T35" s="45">
        <v>7534</v>
      </c>
      <c r="U35" s="45">
        <v>7534</v>
      </c>
      <c r="V35" s="45">
        <v>7534</v>
      </c>
      <c r="W35" s="45">
        <v>7534</v>
      </c>
      <c r="X35" s="45">
        <v>7534</v>
      </c>
      <c r="Y35" s="45">
        <v>7534</v>
      </c>
      <c r="Z35" s="45">
        <v>7534</v>
      </c>
      <c r="AA35" s="45">
        <v>7534</v>
      </c>
      <c r="AB35" s="45">
        <v>7534</v>
      </c>
      <c r="AC35" s="45">
        <v>7534</v>
      </c>
      <c r="AD35" s="45">
        <v>7534</v>
      </c>
      <c r="AE35" s="45">
        <v>7534</v>
      </c>
      <c r="AF35" s="45">
        <v>7534</v>
      </c>
      <c r="AG35" s="45">
        <v>7534</v>
      </c>
      <c r="AH35" s="45">
        <v>7534</v>
      </c>
      <c r="AI35" s="45">
        <v>7534</v>
      </c>
      <c r="AJ35" s="45">
        <v>0</v>
      </c>
      <c r="AK35" s="45">
        <v>0</v>
      </c>
      <c r="AL35" s="45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5">
        <v>0</v>
      </c>
      <c r="AU35" s="45">
        <v>0</v>
      </c>
      <c r="AV35" s="45">
        <v>0</v>
      </c>
      <c r="AW35" s="45">
        <v>0</v>
      </c>
      <c r="AX35" s="45">
        <v>0</v>
      </c>
      <c r="AY35" s="45">
        <v>0</v>
      </c>
      <c r="AZ35" s="45">
        <v>0</v>
      </c>
      <c r="BA35" s="45">
        <v>0</v>
      </c>
      <c r="BB35" s="45">
        <v>0</v>
      </c>
      <c r="BC35" s="45">
        <v>0</v>
      </c>
      <c r="BD35" s="45">
        <v>0</v>
      </c>
      <c r="BE35" s="45">
        <v>0</v>
      </c>
      <c r="BF35" s="45">
        <v>0</v>
      </c>
      <c r="BG35" s="45">
        <v>0</v>
      </c>
      <c r="BH35" s="45">
        <v>0</v>
      </c>
      <c r="BI35" s="45">
        <v>0</v>
      </c>
      <c r="BJ35" s="45">
        <v>0</v>
      </c>
      <c r="BK35" s="45">
        <v>0</v>
      </c>
    </row>
    <row r="36" spans="1:63" s="291" customFormat="1" ht="13">
      <c r="A36" s="291" t="s">
        <v>97</v>
      </c>
      <c r="B36" s="291" t="s">
        <v>76</v>
      </c>
      <c r="C36" s="292" t="s">
        <v>81</v>
      </c>
      <c r="D36" s="51">
        <v>0</v>
      </c>
      <c r="E36" s="51">
        <v>0</v>
      </c>
      <c r="F36" s="45">
        <v>14572</v>
      </c>
      <c r="G36" s="45">
        <v>14572</v>
      </c>
      <c r="H36" s="45">
        <v>14572</v>
      </c>
      <c r="I36" s="45">
        <v>14572</v>
      </c>
      <c r="J36" s="45">
        <v>14572</v>
      </c>
      <c r="K36" s="45">
        <v>14572</v>
      </c>
      <c r="L36" s="45">
        <v>14572</v>
      </c>
      <c r="M36" s="45">
        <v>14572</v>
      </c>
      <c r="N36" s="45">
        <v>14572</v>
      </c>
      <c r="O36" s="45">
        <v>14572</v>
      </c>
      <c r="P36" s="45">
        <v>14572</v>
      </c>
      <c r="Q36" s="45">
        <v>14572</v>
      </c>
      <c r="R36" s="45">
        <v>14572</v>
      </c>
      <c r="S36" s="45">
        <v>14572</v>
      </c>
      <c r="T36" s="45">
        <v>14572</v>
      </c>
      <c r="U36" s="45">
        <v>14572</v>
      </c>
      <c r="V36" s="45">
        <v>14572</v>
      </c>
      <c r="W36" s="45">
        <v>14572</v>
      </c>
      <c r="X36" s="45">
        <v>14572</v>
      </c>
      <c r="Y36" s="45">
        <v>14572</v>
      </c>
      <c r="Z36" s="45">
        <v>14572</v>
      </c>
      <c r="AA36" s="45">
        <v>14572</v>
      </c>
      <c r="AB36" s="45">
        <v>14572</v>
      </c>
      <c r="AC36" s="45">
        <v>14572</v>
      </c>
      <c r="AD36" s="45">
        <v>14572</v>
      </c>
      <c r="AE36" s="45">
        <v>14572</v>
      </c>
      <c r="AF36" s="45">
        <v>14572</v>
      </c>
      <c r="AG36" s="45">
        <v>14572</v>
      </c>
      <c r="AH36" s="45">
        <v>14572</v>
      </c>
      <c r="AI36" s="45">
        <v>14572</v>
      </c>
      <c r="AJ36" s="45">
        <v>14572</v>
      </c>
      <c r="AK36" s="45">
        <v>14572</v>
      </c>
      <c r="AL36" s="45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5">
        <v>0</v>
      </c>
      <c r="AU36" s="45">
        <v>0</v>
      </c>
      <c r="AV36" s="45">
        <v>0</v>
      </c>
      <c r="AW36" s="45">
        <v>0</v>
      </c>
      <c r="AX36" s="45">
        <v>0</v>
      </c>
      <c r="AY36" s="45">
        <v>0</v>
      </c>
      <c r="AZ36" s="45">
        <v>0</v>
      </c>
      <c r="BA36" s="45">
        <v>0</v>
      </c>
      <c r="BB36" s="45">
        <v>0</v>
      </c>
      <c r="BC36" s="45">
        <v>0</v>
      </c>
      <c r="BD36" s="45">
        <v>0</v>
      </c>
      <c r="BE36" s="45">
        <v>0</v>
      </c>
      <c r="BF36" s="45">
        <v>0</v>
      </c>
      <c r="BG36" s="45">
        <v>0</v>
      </c>
      <c r="BH36" s="45">
        <v>0</v>
      </c>
      <c r="BI36" s="45">
        <v>0</v>
      </c>
      <c r="BJ36" s="45">
        <v>0</v>
      </c>
      <c r="BK36" s="45">
        <v>0</v>
      </c>
    </row>
    <row r="37" spans="1:63" s="291" customFormat="1" ht="13">
      <c r="A37" s="291" t="s">
        <v>98</v>
      </c>
      <c r="B37" s="291" t="s">
        <v>76</v>
      </c>
      <c r="C37" s="292" t="s">
        <v>79</v>
      </c>
      <c r="D37" s="51">
        <v>0</v>
      </c>
      <c r="E37" s="51">
        <v>0</v>
      </c>
      <c r="F37" s="295">
        <v>11335</v>
      </c>
      <c r="G37" s="295">
        <v>11335</v>
      </c>
      <c r="H37" s="295">
        <v>11335</v>
      </c>
      <c r="I37" s="295">
        <v>11335</v>
      </c>
      <c r="J37" s="295">
        <v>11335</v>
      </c>
      <c r="K37" s="295">
        <v>11335</v>
      </c>
      <c r="L37" s="295">
        <v>11335</v>
      </c>
      <c r="M37" s="295">
        <v>11335</v>
      </c>
      <c r="N37" s="295">
        <v>11335</v>
      </c>
      <c r="O37" s="295">
        <v>11335</v>
      </c>
      <c r="P37" s="295">
        <v>11335</v>
      </c>
      <c r="Q37" s="295">
        <v>11335</v>
      </c>
      <c r="R37" s="295">
        <v>11335</v>
      </c>
      <c r="S37" s="295">
        <v>11335</v>
      </c>
      <c r="T37" s="45">
        <v>11335</v>
      </c>
      <c r="U37" s="45">
        <v>11335</v>
      </c>
      <c r="V37" s="45">
        <v>11335</v>
      </c>
      <c r="W37" s="45">
        <v>11335.4</v>
      </c>
      <c r="X37" s="45">
        <v>11335.4</v>
      </c>
      <c r="Y37" s="45">
        <v>11335.4</v>
      </c>
      <c r="Z37" s="45">
        <v>11335.4</v>
      </c>
      <c r="AA37" s="45">
        <v>11335.4</v>
      </c>
      <c r="AB37" s="45">
        <v>11335.4</v>
      </c>
      <c r="AC37" s="45">
        <v>11335.4</v>
      </c>
      <c r="AD37" s="45">
        <v>11335.4</v>
      </c>
      <c r="AE37" s="45">
        <v>11335.4</v>
      </c>
      <c r="AF37" s="45">
        <v>11335.4</v>
      </c>
      <c r="AG37" s="45">
        <v>11335.4</v>
      </c>
      <c r="AH37" s="45">
        <v>11335.4</v>
      </c>
      <c r="AI37" s="45">
        <v>11335.4</v>
      </c>
      <c r="AJ37" s="45">
        <v>11335.4</v>
      </c>
      <c r="AK37" s="45">
        <v>11335.4</v>
      </c>
      <c r="AL37" s="45">
        <v>11335.4</v>
      </c>
      <c r="AM37" s="45">
        <v>11335.4</v>
      </c>
      <c r="AN37" s="45">
        <v>11335.4</v>
      </c>
      <c r="AO37" s="45">
        <v>11335.4</v>
      </c>
      <c r="AP37" s="45">
        <v>11335.4</v>
      </c>
      <c r="AQ37" s="45">
        <v>11335.4</v>
      </c>
      <c r="AR37" s="45">
        <v>11335.4</v>
      </c>
      <c r="AS37" s="45">
        <v>11335.4</v>
      </c>
      <c r="AT37" s="45">
        <v>11335.4</v>
      </c>
      <c r="AU37" s="45">
        <v>11335.4</v>
      </c>
      <c r="AV37" s="45">
        <v>11335.4</v>
      </c>
      <c r="AW37" s="45">
        <v>11335.4</v>
      </c>
      <c r="AX37" s="45">
        <v>11335.4</v>
      </c>
      <c r="AY37" s="45">
        <v>11335.4</v>
      </c>
      <c r="AZ37" s="45">
        <v>11335.4</v>
      </c>
      <c r="BA37" s="45">
        <v>11335.4</v>
      </c>
      <c r="BB37" s="45">
        <v>0</v>
      </c>
      <c r="BC37" s="45">
        <v>0</v>
      </c>
      <c r="BD37" s="45">
        <v>0</v>
      </c>
      <c r="BE37" s="45">
        <v>0</v>
      </c>
      <c r="BF37" s="45">
        <v>0</v>
      </c>
      <c r="BG37" s="45">
        <v>0</v>
      </c>
      <c r="BH37" s="45">
        <v>0</v>
      </c>
      <c r="BI37" s="45">
        <v>0</v>
      </c>
      <c r="BJ37" s="45">
        <v>0</v>
      </c>
      <c r="BK37" s="45">
        <v>0</v>
      </c>
    </row>
    <row r="38" spans="1:63" s="291" customFormat="1" ht="13">
      <c r="A38" s="291" t="s">
        <v>99</v>
      </c>
      <c r="B38" s="291" t="s">
        <v>76</v>
      </c>
      <c r="C38" s="292" t="s">
        <v>81</v>
      </c>
      <c r="D38" s="51">
        <v>0</v>
      </c>
      <c r="E38" s="51">
        <v>0</v>
      </c>
      <c r="F38" s="295">
        <v>2153</v>
      </c>
      <c r="G38" s="295">
        <v>2153</v>
      </c>
      <c r="H38" s="295">
        <v>2153</v>
      </c>
      <c r="I38" s="295">
        <v>2153</v>
      </c>
      <c r="J38" s="295">
        <v>2153</v>
      </c>
      <c r="K38" s="295">
        <v>2153</v>
      </c>
      <c r="L38" s="295">
        <v>2153</v>
      </c>
      <c r="M38" s="295">
        <v>2153</v>
      </c>
      <c r="N38" s="295">
        <v>2153</v>
      </c>
      <c r="O38" s="295">
        <v>2153</v>
      </c>
      <c r="P38" s="295">
        <v>2153</v>
      </c>
      <c r="Q38" s="295">
        <v>2153</v>
      </c>
      <c r="R38" s="295">
        <v>2153</v>
      </c>
      <c r="S38" s="295">
        <v>2153</v>
      </c>
      <c r="T38" s="45">
        <v>2153</v>
      </c>
      <c r="U38" s="45">
        <v>2153</v>
      </c>
      <c r="V38" s="45">
        <v>2153</v>
      </c>
      <c r="W38" s="45">
        <v>2153.4</v>
      </c>
      <c r="X38" s="45">
        <v>2153.4</v>
      </c>
      <c r="Y38" s="45">
        <v>2153.4</v>
      </c>
      <c r="Z38" s="45">
        <v>2153.4</v>
      </c>
      <c r="AA38" s="45">
        <v>2153.4</v>
      </c>
      <c r="AB38" s="45">
        <v>2153.4</v>
      </c>
      <c r="AC38" s="45">
        <v>2153.4</v>
      </c>
      <c r="AD38" s="45">
        <v>2153.4</v>
      </c>
      <c r="AE38" s="45">
        <v>2153.4</v>
      </c>
      <c r="AF38" s="45">
        <v>2153.4</v>
      </c>
      <c r="AG38" s="45">
        <v>2153.4</v>
      </c>
      <c r="AH38" s="45">
        <v>2153.4</v>
      </c>
      <c r="AI38" s="45">
        <v>2153.4</v>
      </c>
      <c r="AJ38" s="45">
        <v>2153.4</v>
      </c>
      <c r="AK38" s="45">
        <v>2153.4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</row>
    <row r="39" spans="1:63" s="291" customFormat="1" ht="13">
      <c r="A39" s="291" t="s">
        <v>112</v>
      </c>
      <c r="B39" s="291" t="s">
        <v>144</v>
      </c>
      <c r="C39" s="292" t="s">
        <v>77</v>
      </c>
      <c r="D39" s="51">
        <v>0</v>
      </c>
      <c r="E39" s="51">
        <v>0</v>
      </c>
      <c r="F39" s="295">
        <v>7748.27</v>
      </c>
      <c r="G39" s="295">
        <v>7748.27</v>
      </c>
      <c r="H39" s="295">
        <v>7748.27</v>
      </c>
      <c r="I39" s="295">
        <v>7748.27</v>
      </c>
      <c r="J39" s="295">
        <v>7748.27</v>
      </c>
      <c r="K39" s="295">
        <v>7748.27</v>
      </c>
      <c r="L39" s="295">
        <v>7748.27</v>
      </c>
      <c r="M39" s="295">
        <v>7748.27</v>
      </c>
      <c r="N39" s="295">
        <v>7748.27</v>
      </c>
      <c r="O39" s="295">
        <v>7748.27</v>
      </c>
      <c r="P39" s="295">
        <v>7748.27</v>
      </c>
      <c r="Q39" s="295">
        <v>7748.27</v>
      </c>
      <c r="R39" s="295">
        <v>7748.27</v>
      </c>
      <c r="S39" s="295">
        <v>7748.27</v>
      </c>
      <c r="T39" s="45">
        <v>7748.27</v>
      </c>
      <c r="U39" s="45">
        <v>7748.27</v>
      </c>
      <c r="V39" s="45">
        <v>7748.27</v>
      </c>
      <c r="W39" s="45">
        <v>7748.27</v>
      </c>
      <c r="X39" s="45">
        <v>7748.27</v>
      </c>
      <c r="Y39" s="45">
        <v>7748.27</v>
      </c>
      <c r="Z39" s="45">
        <v>7748.27</v>
      </c>
      <c r="AA39" s="45">
        <v>7748.27</v>
      </c>
      <c r="AB39" s="45">
        <v>7748.27</v>
      </c>
      <c r="AC39" s="45">
        <v>7748.27</v>
      </c>
      <c r="AD39" s="45">
        <v>7748.27</v>
      </c>
      <c r="AE39" s="45">
        <v>7748.27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5">
        <v>0</v>
      </c>
      <c r="AU39" s="45">
        <v>0</v>
      </c>
      <c r="AV39" s="45">
        <v>0</v>
      </c>
      <c r="AW39" s="45">
        <v>0</v>
      </c>
      <c r="AX39" s="45">
        <v>0</v>
      </c>
      <c r="AY39" s="45">
        <v>0</v>
      </c>
      <c r="AZ39" s="45">
        <v>0</v>
      </c>
      <c r="BA39" s="45">
        <v>0</v>
      </c>
      <c r="BB39" s="45">
        <v>0</v>
      </c>
      <c r="BC39" s="45">
        <v>0</v>
      </c>
      <c r="BD39" s="45">
        <v>0</v>
      </c>
      <c r="BE39" s="45">
        <v>0</v>
      </c>
      <c r="BF39" s="45">
        <v>0</v>
      </c>
      <c r="BG39" s="45">
        <v>0</v>
      </c>
      <c r="BH39" s="45">
        <v>0</v>
      </c>
      <c r="BI39" s="45">
        <v>0</v>
      </c>
      <c r="BJ39" s="45">
        <v>0</v>
      </c>
      <c r="BK39" s="45">
        <v>0</v>
      </c>
    </row>
    <row r="40" spans="1:63" s="291" customFormat="1" ht="13">
      <c r="A40" s="291" t="s">
        <v>100</v>
      </c>
      <c r="B40" s="291" t="s">
        <v>76</v>
      </c>
      <c r="C40" s="292" t="s">
        <v>79</v>
      </c>
      <c r="D40" s="51">
        <v>0</v>
      </c>
      <c r="E40" s="51">
        <v>0</v>
      </c>
      <c r="F40" s="51">
        <v>0</v>
      </c>
      <c r="G40" s="45">
        <v>5017</v>
      </c>
      <c r="H40" s="45">
        <v>5017</v>
      </c>
      <c r="I40" s="45">
        <v>5017</v>
      </c>
      <c r="J40" s="45">
        <v>5017</v>
      </c>
      <c r="K40" s="45">
        <v>5017</v>
      </c>
      <c r="L40" s="45">
        <v>5017</v>
      </c>
      <c r="M40" s="45">
        <v>5017</v>
      </c>
      <c r="N40" s="45">
        <v>5017</v>
      </c>
      <c r="O40" s="45">
        <v>5017</v>
      </c>
      <c r="P40" s="45">
        <v>5017</v>
      </c>
      <c r="Q40" s="45">
        <v>5017</v>
      </c>
      <c r="R40" s="45">
        <v>5017</v>
      </c>
      <c r="S40" s="45">
        <v>5017</v>
      </c>
      <c r="T40" s="45">
        <v>5017</v>
      </c>
      <c r="U40" s="45">
        <v>5017</v>
      </c>
      <c r="V40" s="45">
        <v>5017</v>
      </c>
      <c r="W40" s="45">
        <v>5017.3999999999996</v>
      </c>
      <c r="X40" s="45">
        <v>5017.3999999999996</v>
      </c>
      <c r="Y40" s="45">
        <v>5017.3999999999996</v>
      </c>
      <c r="Z40" s="45">
        <v>5017.3999999999996</v>
      </c>
      <c r="AA40" s="45">
        <v>5017.3999999999996</v>
      </c>
      <c r="AB40" s="45">
        <v>5017.3999999999996</v>
      </c>
      <c r="AC40" s="45">
        <v>5017.3999999999996</v>
      </c>
      <c r="AD40" s="45">
        <v>5017.3999999999996</v>
      </c>
      <c r="AE40" s="45">
        <v>5017.3999999999996</v>
      </c>
      <c r="AF40" s="45">
        <v>5017.3999999999996</v>
      </c>
      <c r="AG40" s="45">
        <v>5017.3999999999996</v>
      </c>
      <c r="AH40" s="45">
        <v>5017.3999999999996</v>
      </c>
      <c r="AI40" s="45">
        <v>5017.3999999999996</v>
      </c>
      <c r="AJ40" s="45">
        <v>5017.3999999999996</v>
      </c>
      <c r="AK40" s="45">
        <v>5017.3999999999996</v>
      </c>
      <c r="AL40" s="45">
        <v>5017.3999999999996</v>
      </c>
      <c r="AM40" s="45">
        <v>5017.3999999999996</v>
      </c>
      <c r="AN40" s="45">
        <v>5017.3999999999996</v>
      </c>
      <c r="AO40" s="45">
        <v>5017.3999999999996</v>
      </c>
      <c r="AP40" s="45">
        <v>5017.3999999999996</v>
      </c>
      <c r="AQ40" s="45">
        <v>5017.3999999999996</v>
      </c>
      <c r="AR40" s="45">
        <v>5017.3999999999996</v>
      </c>
      <c r="AS40" s="45">
        <v>5017.3999999999996</v>
      </c>
      <c r="AT40" s="45">
        <v>5017.3999999999996</v>
      </c>
      <c r="AU40" s="45">
        <v>5017.3999999999996</v>
      </c>
      <c r="AV40" s="45">
        <v>5017.3999999999996</v>
      </c>
      <c r="AW40" s="45">
        <v>5017.3999999999996</v>
      </c>
      <c r="AX40" s="45">
        <v>5017.3999999999996</v>
      </c>
      <c r="AY40" s="45">
        <v>5017.3999999999996</v>
      </c>
      <c r="AZ40" s="45">
        <v>5017.3999999999996</v>
      </c>
      <c r="BA40" s="45">
        <v>5017.3999999999996</v>
      </c>
      <c r="BB40" s="45">
        <v>0</v>
      </c>
      <c r="BC40" s="45">
        <v>0</v>
      </c>
      <c r="BD40" s="45">
        <v>0</v>
      </c>
      <c r="BE40" s="45">
        <v>0</v>
      </c>
      <c r="BF40" s="45">
        <v>0</v>
      </c>
      <c r="BG40" s="45">
        <v>0</v>
      </c>
      <c r="BH40" s="45">
        <v>0</v>
      </c>
      <c r="BI40" s="45">
        <v>0</v>
      </c>
      <c r="BJ40" s="45">
        <v>0</v>
      </c>
      <c r="BK40" s="45">
        <v>0</v>
      </c>
    </row>
    <row r="41" spans="1:63" s="291" customFormat="1" ht="13">
      <c r="A41" s="291" t="s">
        <v>101</v>
      </c>
      <c r="B41" s="291" t="s">
        <v>76</v>
      </c>
      <c r="C41" s="292" t="s">
        <v>79</v>
      </c>
      <c r="D41" s="51">
        <v>0</v>
      </c>
      <c r="E41" s="51">
        <v>0</v>
      </c>
      <c r="F41" s="51">
        <v>0</v>
      </c>
      <c r="G41" s="45">
        <v>5080</v>
      </c>
      <c r="H41" s="45">
        <v>5080</v>
      </c>
      <c r="I41" s="45">
        <v>5080</v>
      </c>
      <c r="J41" s="45">
        <v>5080</v>
      </c>
      <c r="K41" s="45">
        <v>5080</v>
      </c>
      <c r="L41" s="45">
        <v>5080</v>
      </c>
      <c r="M41" s="45">
        <v>5080</v>
      </c>
      <c r="N41" s="45">
        <v>5080</v>
      </c>
      <c r="O41" s="45">
        <v>5080</v>
      </c>
      <c r="P41" s="45">
        <v>5080</v>
      </c>
      <c r="Q41" s="45">
        <v>5080</v>
      </c>
      <c r="R41" s="45">
        <v>5080</v>
      </c>
      <c r="S41" s="45">
        <v>5080</v>
      </c>
      <c r="T41" s="45">
        <v>5080</v>
      </c>
      <c r="U41" s="45">
        <v>5080</v>
      </c>
      <c r="V41" s="45">
        <v>5080</v>
      </c>
      <c r="W41" s="45">
        <v>5080.3999999999996</v>
      </c>
      <c r="X41" s="45">
        <v>5080.3999999999996</v>
      </c>
      <c r="Y41" s="45">
        <v>5080.3999999999996</v>
      </c>
      <c r="Z41" s="45">
        <v>5080.3999999999996</v>
      </c>
      <c r="AA41" s="45">
        <v>5080.3999999999996</v>
      </c>
      <c r="AB41" s="45">
        <v>5080.3999999999996</v>
      </c>
      <c r="AC41" s="45">
        <v>5080.3999999999996</v>
      </c>
      <c r="AD41" s="45">
        <v>5080.3999999999996</v>
      </c>
      <c r="AE41" s="45">
        <v>5080.3999999999996</v>
      </c>
      <c r="AF41" s="45">
        <v>5080.3999999999996</v>
      </c>
      <c r="AG41" s="45">
        <v>5080.3999999999996</v>
      </c>
      <c r="AH41" s="45">
        <v>5080.3999999999996</v>
      </c>
      <c r="AI41" s="45">
        <v>5080.3999999999996</v>
      </c>
      <c r="AJ41" s="45">
        <v>5080.3999999999996</v>
      </c>
      <c r="AK41" s="45">
        <v>5080.3999999999996</v>
      </c>
      <c r="AL41" s="45">
        <v>5080.3999999999996</v>
      </c>
      <c r="AM41" s="45">
        <v>5080.3999999999996</v>
      </c>
      <c r="AN41" s="45">
        <v>5080.3999999999996</v>
      </c>
      <c r="AO41" s="45">
        <v>5080.3999999999996</v>
      </c>
      <c r="AP41" s="45">
        <v>5080.3999999999996</v>
      </c>
      <c r="AQ41" s="45">
        <v>5080.3999999999996</v>
      </c>
      <c r="AR41" s="45">
        <v>5080.3999999999996</v>
      </c>
      <c r="AS41" s="45">
        <v>5080.3999999999996</v>
      </c>
      <c r="AT41" s="45">
        <v>5080.3999999999996</v>
      </c>
      <c r="AU41" s="45">
        <v>5080.3999999999996</v>
      </c>
      <c r="AV41" s="45">
        <v>5080.3999999999996</v>
      </c>
      <c r="AW41" s="45">
        <v>5080.3999999999996</v>
      </c>
      <c r="AX41" s="45">
        <v>5080.3999999999996</v>
      </c>
      <c r="AY41" s="45">
        <v>5080.3999999999996</v>
      </c>
      <c r="AZ41" s="45">
        <v>5080.3999999999996</v>
      </c>
      <c r="BA41" s="45">
        <v>5080.3999999999996</v>
      </c>
      <c r="BB41" s="45">
        <v>0</v>
      </c>
      <c r="BC41" s="45">
        <v>0</v>
      </c>
      <c r="BD41" s="45">
        <v>0</v>
      </c>
      <c r="BE41" s="45">
        <v>0</v>
      </c>
      <c r="BF41" s="45">
        <v>0</v>
      </c>
      <c r="BG41" s="45">
        <v>0</v>
      </c>
      <c r="BH41" s="45">
        <v>0</v>
      </c>
      <c r="BI41" s="45">
        <v>0</v>
      </c>
      <c r="BJ41" s="45">
        <v>0</v>
      </c>
      <c r="BK41" s="45">
        <v>0</v>
      </c>
    </row>
    <row r="42" spans="1:63" s="291" customFormat="1" ht="13">
      <c r="A42" s="291" t="s">
        <v>113</v>
      </c>
      <c r="B42" s="291" t="s">
        <v>144</v>
      </c>
      <c r="C42" s="292" t="s">
        <v>77</v>
      </c>
      <c r="D42" s="51">
        <v>0</v>
      </c>
      <c r="E42" s="51">
        <v>0</v>
      </c>
      <c r="F42" s="51">
        <v>0</v>
      </c>
      <c r="G42" s="295">
        <v>6462</v>
      </c>
      <c r="H42" s="295">
        <v>6462</v>
      </c>
      <c r="I42" s="295">
        <v>6462</v>
      </c>
      <c r="J42" s="295">
        <v>6462</v>
      </c>
      <c r="K42" s="295">
        <v>6462</v>
      </c>
      <c r="L42" s="295">
        <v>6462</v>
      </c>
      <c r="M42" s="295">
        <v>6462</v>
      </c>
      <c r="N42" s="295">
        <v>6462</v>
      </c>
      <c r="O42" s="295">
        <v>6462</v>
      </c>
      <c r="P42" s="295">
        <v>6462</v>
      </c>
      <c r="Q42" s="295">
        <v>6462</v>
      </c>
      <c r="R42" s="295">
        <v>6462</v>
      </c>
      <c r="S42" s="295">
        <v>6462</v>
      </c>
      <c r="T42" s="45">
        <v>6462</v>
      </c>
      <c r="U42" s="45">
        <v>6462</v>
      </c>
      <c r="V42" s="45">
        <v>6462</v>
      </c>
      <c r="W42" s="45">
        <v>6462</v>
      </c>
      <c r="X42" s="45">
        <v>6462</v>
      </c>
      <c r="Y42" s="45">
        <v>6462</v>
      </c>
      <c r="Z42" s="45">
        <v>6462</v>
      </c>
      <c r="AA42" s="45">
        <v>6462</v>
      </c>
      <c r="AB42" s="45">
        <v>6462</v>
      </c>
      <c r="AC42" s="45">
        <v>6462</v>
      </c>
      <c r="AD42" s="45">
        <v>6462</v>
      </c>
      <c r="AE42" s="45">
        <v>6462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5">
        <v>0</v>
      </c>
      <c r="AU42" s="45">
        <v>0</v>
      </c>
      <c r="AV42" s="45">
        <v>0</v>
      </c>
      <c r="AW42" s="45">
        <v>0</v>
      </c>
      <c r="AX42" s="45">
        <v>0</v>
      </c>
      <c r="AY42" s="45">
        <v>0</v>
      </c>
      <c r="AZ42" s="45">
        <v>0</v>
      </c>
      <c r="BA42" s="45">
        <v>0</v>
      </c>
      <c r="BB42" s="45">
        <v>0</v>
      </c>
      <c r="BC42" s="45">
        <v>0</v>
      </c>
      <c r="BD42" s="45">
        <v>0</v>
      </c>
      <c r="BE42" s="45">
        <v>0</v>
      </c>
      <c r="BF42" s="45">
        <v>0</v>
      </c>
      <c r="BG42" s="45">
        <v>0</v>
      </c>
      <c r="BH42" s="45">
        <v>0</v>
      </c>
      <c r="BI42" s="45">
        <v>0</v>
      </c>
      <c r="BJ42" s="45">
        <v>0</v>
      </c>
      <c r="BK42" s="45">
        <v>0</v>
      </c>
    </row>
    <row r="43" spans="1:63" s="291" customFormat="1" ht="13">
      <c r="A43" s="291" t="s">
        <v>120</v>
      </c>
      <c r="B43" s="291" t="s">
        <v>76</v>
      </c>
      <c r="C43" s="292" t="s">
        <v>79</v>
      </c>
      <c r="D43" s="51">
        <v>0</v>
      </c>
      <c r="E43" s="51">
        <v>0</v>
      </c>
      <c r="F43" s="51">
        <v>0</v>
      </c>
      <c r="G43" s="295">
        <v>4658</v>
      </c>
      <c r="H43" s="295">
        <v>4658</v>
      </c>
      <c r="I43" s="295">
        <v>4658</v>
      </c>
      <c r="J43" s="295">
        <v>4658</v>
      </c>
      <c r="K43" s="295">
        <v>4658</v>
      </c>
      <c r="L43" s="295">
        <v>4658</v>
      </c>
      <c r="M43" s="295">
        <v>4658</v>
      </c>
      <c r="N43" s="295">
        <v>4658</v>
      </c>
      <c r="O43" s="295">
        <v>4658</v>
      </c>
      <c r="P43" s="295">
        <v>2329</v>
      </c>
      <c r="Q43" s="295">
        <v>2329</v>
      </c>
      <c r="R43" s="295">
        <v>2329</v>
      </c>
      <c r="S43" s="295">
        <v>2329</v>
      </c>
      <c r="T43" s="45">
        <v>2329</v>
      </c>
      <c r="U43" s="45">
        <v>2329</v>
      </c>
      <c r="V43" s="45">
        <v>2329</v>
      </c>
      <c r="W43" s="45">
        <v>2329</v>
      </c>
      <c r="X43" s="45">
        <v>2329</v>
      </c>
      <c r="Y43" s="45">
        <v>2329</v>
      </c>
      <c r="Z43" s="45">
        <v>2329</v>
      </c>
      <c r="AA43" s="45">
        <v>2329</v>
      </c>
      <c r="AB43" s="45">
        <v>2329</v>
      </c>
      <c r="AC43" s="45">
        <v>2329</v>
      </c>
      <c r="AD43" s="45">
        <v>2329</v>
      </c>
      <c r="AE43" s="45">
        <v>2329</v>
      </c>
      <c r="AF43" s="45">
        <v>2329</v>
      </c>
      <c r="AG43" s="45">
        <v>2329</v>
      </c>
      <c r="AH43" s="45">
        <v>2329</v>
      </c>
      <c r="AI43" s="45">
        <v>2329</v>
      </c>
      <c r="AJ43" s="45">
        <v>2329</v>
      </c>
      <c r="AK43" s="45">
        <v>2329</v>
      </c>
      <c r="AL43" s="45">
        <v>2329</v>
      </c>
      <c r="AM43" s="45">
        <v>2329</v>
      </c>
      <c r="AN43" s="45">
        <v>2329</v>
      </c>
      <c r="AO43" s="45">
        <v>2329</v>
      </c>
      <c r="AP43" s="45">
        <v>2329</v>
      </c>
      <c r="AQ43" s="45">
        <v>2329</v>
      </c>
      <c r="AR43" s="45">
        <v>2329</v>
      </c>
      <c r="AS43" s="45">
        <v>2329</v>
      </c>
      <c r="AT43" s="45">
        <v>2329</v>
      </c>
      <c r="AU43" s="45">
        <v>2329</v>
      </c>
      <c r="AV43" s="45">
        <v>2329</v>
      </c>
      <c r="AW43" s="45">
        <v>2329</v>
      </c>
      <c r="AX43" s="45">
        <v>2329</v>
      </c>
      <c r="AY43" s="45">
        <v>2329</v>
      </c>
      <c r="AZ43" s="45">
        <v>2329</v>
      </c>
      <c r="BA43" s="45">
        <v>2329</v>
      </c>
      <c r="BB43" s="45">
        <v>1115.6339</v>
      </c>
      <c r="BC43" s="45">
        <v>1115.6339</v>
      </c>
      <c r="BD43" s="45">
        <v>1115.6339</v>
      </c>
      <c r="BE43" s="45">
        <v>1115.6339</v>
      </c>
      <c r="BF43" s="45">
        <v>1115.6339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</row>
    <row r="44" spans="1:63" s="291" customFormat="1" ht="13">
      <c r="A44" s="291" t="s">
        <v>293</v>
      </c>
      <c r="B44" s="291" t="s">
        <v>144</v>
      </c>
      <c r="C44" s="292" t="s">
        <v>79</v>
      </c>
      <c r="D44" s="51">
        <v>0</v>
      </c>
      <c r="E44" s="51">
        <v>0</v>
      </c>
      <c r="F44" s="51">
        <v>0</v>
      </c>
      <c r="G44" s="295">
        <v>73382.14</v>
      </c>
      <c r="H44" s="295">
        <v>73382.14</v>
      </c>
      <c r="I44" s="295">
        <v>73382.14</v>
      </c>
      <c r="J44" s="295">
        <v>73382.14</v>
      </c>
      <c r="K44" s="295">
        <v>73382.14</v>
      </c>
      <c r="L44" s="295">
        <v>73382.14</v>
      </c>
      <c r="M44" s="295">
        <v>73382.14</v>
      </c>
      <c r="N44" s="295">
        <v>73382.14</v>
      </c>
      <c r="O44" s="295">
        <v>73382.14</v>
      </c>
      <c r="P44" s="295">
        <v>73382.14</v>
      </c>
      <c r="Q44" s="295">
        <v>73382.14</v>
      </c>
      <c r="R44" s="295">
        <v>73382.14</v>
      </c>
      <c r="S44" s="295">
        <v>73382.14</v>
      </c>
      <c r="T44" s="45">
        <v>73382.14</v>
      </c>
      <c r="U44" s="45">
        <v>73382.14</v>
      </c>
      <c r="V44" s="45">
        <v>73382.14</v>
      </c>
      <c r="W44" s="45">
        <v>73382.14</v>
      </c>
      <c r="X44" s="45">
        <v>73382.14</v>
      </c>
      <c r="Y44" s="45">
        <v>73382.14</v>
      </c>
      <c r="Z44" s="45">
        <v>73382.14</v>
      </c>
      <c r="AA44" s="45">
        <v>73382.14</v>
      </c>
      <c r="AB44" s="45">
        <v>73382.14</v>
      </c>
      <c r="AC44" s="45">
        <v>73382.14</v>
      </c>
      <c r="AD44" s="45">
        <v>73382.14</v>
      </c>
      <c r="AE44" s="45">
        <v>73382.14</v>
      </c>
      <c r="AF44" s="45">
        <v>73382.14</v>
      </c>
      <c r="AG44" s="45">
        <v>73382.14</v>
      </c>
      <c r="AH44" s="45">
        <v>73382.14</v>
      </c>
      <c r="AI44" s="45">
        <v>73382.14</v>
      </c>
      <c r="AJ44" s="45">
        <v>73382.14</v>
      </c>
      <c r="AK44" s="45">
        <v>73382.14</v>
      </c>
      <c r="AL44" s="45">
        <v>0</v>
      </c>
      <c r="AM44" s="45">
        <v>0</v>
      </c>
      <c r="AN44" s="45">
        <v>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0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</row>
    <row r="45" spans="1:63" s="291" customFormat="1" ht="13">
      <c r="A45" s="291" t="s">
        <v>114</v>
      </c>
      <c r="B45" s="291" t="s">
        <v>144</v>
      </c>
      <c r="C45" s="292" t="s">
        <v>79</v>
      </c>
      <c r="D45" s="51">
        <v>0</v>
      </c>
      <c r="E45" s="51">
        <v>0</v>
      </c>
      <c r="F45" s="51">
        <v>0</v>
      </c>
      <c r="G45" s="51">
        <v>0</v>
      </c>
      <c r="H45" s="295">
        <v>15500</v>
      </c>
      <c r="I45" s="295">
        <v>15500</v>
      </c>
      <c r="J45" s="295">
        <v>15500</v>
      </c>
      <c r="K45" s="295">
        <v>15500</v>
      </c>
      <c r="L45" s="295">
        <v>15500</v>
      </c>
      <c r="M45" s="295">
        <v>15500</v>
      </c>
      <c r="N45" s="295">
        <v>15500</v>
      </c>
      <c r="O45" s="295">
        <v>15500</v>
      </c>
      <c r="P45" s="295">
        <v>15500</v>
      </c>
      <c r="Q45" s="295">
        <v>15500</v>
      </c>
      <c r="R45" s="295">
        <v>15500</v>
      </c>
      <c r="S45" s="295">
        <v>15500</v>
      </c>
      <c r="T45" s="45">
        <v>15500</v>
      </c>
      <c r="U45" s="45">
        <v>15500</v>
      </c>
      <c r="V45" s="45">
        <v>15500</v>
      </c>
      <c r="W45" s="45">
        <v>15500</v>
      </c>
      <c r="X45" s="45">
        <v>15500</v>
      </c>
      <c r="Y45" s="45">
        <v>15500</v>
      </c>
      <c r="Z45" s="45">
        <v>15500</v>
      </c>
      <c r="AA45" s="45">
        <v>15500</v>
      </c>
      <c r="AB45" s="45">
        <v>15500</v>
      </c>
      <c r="AC45" s="45">
        <v>15500</v>
      </c>
      <c r="AD45" s="45">
        <v>15500</v>
      </c>
      <c r="AE45" s="45">
        <v>15500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0</v>
      </c>
      <c r="AM45" s="45">
        <v>0</v>
      </c>
      <c r="AN45" s="45">
        <v>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45">
        <v>0</v>
      </c>
    </row>
    <row r="46" spans="1:63" s="291" customFormat="1" ht="13">
      <c r="A46" s="291" t="s">
        <v>140</v>
      </c>
      <c r="B46" s="291" t="s">
        <v>76</v>
      </c>
      <c r="C46" s="292" t="s">
        <v>96</v>
      </c>
      <c r="D46" s="51">
        <v>0</v>
      </c>
      <c r="E46" s="51">
        <v>0</v>
      </c>
      <c r="F46" s="51">
        <v>0</v>
      </c>
      <c r="G46" s="51">
        <v>0</v>
      </c>
      <c r="H46" s="295">
        <v>18268.509999999998</v>
      </c>
      <c r="I46" s="295">
        <v>18268.509999999998</v>
      </c>
      <c r="J46" s="295">
        <v>18268.509999999998</v>
      </c>
      <c r="K46" s="295">
        <v>18268.509999999998</v>
      </c>
      <c r="L46" s="295">
        <v>18268.509999999998</v>
      </c>
      <c r="M46" s="295">
        <v>18268.509999999998</v>
      </c>
      <c r="N46" s="295">
        <v>18269</v>
      </c>
      <c r="O46" s="295">
        <v>0</v>
      </c>
      <c r="P46" s="295">
        <v>0</v>
      </c>
      <c r="Q46" s="295">
        <v>0</v>
      </c>
      <c r="R46" s="295">
        <v>0</v>
      </c>
      <c r="S46" s="29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5">
        <v>0</v>
      </c>
      <c r="AJ46" s="45">
        <v>0</v>
      </c>
      <c r="AK46" s="45">
        <v>0</v>
      </c>
      <c r="AL46" s="45">
        <v>0</v>
      </c>
      <c r="AM46" s="45">
        <v>0</v>
      </c>
      <c r="AN46" s="45">
        <v>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5">
        <v>0</v>
      </c>
      <c r="AU46" s="45">
        <v>0</v>
      </c>
      <c r="AV46" s="45">
        <v>0</v>
      </c>
      <c r="AW46" s="45">
        <v>0</v>
      </c>
      <c r="AX46" s="45">
        <v>0</v>
      </c>
      <c r="AY46" s="45">
        <v>0</v>
      </c>
      <c r="AZ46" s="45">
        <v>0</v>
      </c>
      <c r="BA46" s="45">
        <v>0</v>
      </c>
      <c r="BB46" s="45">
        <v>0</v>
      </c>
      <c r="BC46" s="45">
        <v>0</v>
      </c>
      <c r="BD46" s="45">
        <v>0</v>
      </c>
      <c r="BE46" s="45">
        <v>0</v>
      </c>
      <c r="BF46" s="45">
        <v>0</v>
      </c>
      <c r="BG46" s="45">
        <v>0</v>
      </c>
      <c r="BH46" s="45">
        <v>0</v>
      </c>
      <c r="BI46" s="45">
        <v>0</v>
      </c>
      <c r="BJ46" s="45">
        <v>0</v>
      </c>
      <c r="BK46" s="45">
        <v>0</v>
      </c>
    </row>
    <row r="47" spans="1:63" ht="13">
      <c r="A47" s="291" t="s">
        <v>115</v>
      </c>
      <c r="B47" s="291" t="s">
        <v>144</v>
      </c>
      <c r="C47" s="292" t="s">
        <v>79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295">
        <v>14797</v>
      </c>
      <c r="J47" s="295">
        <v>14797</v>
      </c>
      <c r="K47" s="295">
        <v>14797</v>
      </c>
      <c r="L47" s="295">
        <v>14797</v>
      </c>
      <c r="M47" s="295">
        <v>14797</v>
      </c>
      <c r="N47" s="295">
        <v>14797</v>
      </c>
      <c r="O47" s="295">
        <v>14797</v>
      </c>
      <c r="P47" s="295">
        <v>14797</v>
      </c>
      <c r="Q47" s="295">
        <v>14797</v>
      </c>
      <c r="R47" s="295">
        <v>14797</v>
      </c>
      <c r="S47" s="295">
        <v>14797</v>
      </c>
      <c r="T47" s="45">
        <v>14797</v>
      </c>
      <c r="U47" s="45">
        <v>14797</v>
      </c>
      <c r="V47" s="45">
        <v>14797</v>
      </c>
      <c r="W47" s="45">
        <v>14797</v>
      </c>
      <c r="X47" s="45">
        <v>14797</v>
      </c>
      <c r="Y47" s="45">
        <v>14797</v>
      </c>
      <c r="Z47" s="45">
        <v>14797</v>
      </c>
      <c r="AA47" s="45">
        <v>14797</v>
      </c>
      <c r="AB47" s="45">
        <v>14797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5">
        <v>0</v>
      </c>
      <c r="AJ47" s="45">
        <v>0</v>
      </c>
      <c r="AK47" s="45">
        <v>0</v>
      </c>
      <c r="AL47" s="45">
        <v>0</v>
      </c>
      <c r="AM47" s="45">
        <v>0</v>
      </c>
      <c r="AN47" s="45">
        <v>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5">
        <v>0</v>
      </c>
      <c r="AU47" s="45">
        <v>0</v>
      </c>
      <c r="AV47" s="45">
        <v>0</v>
      </c>
      <c r="AW47" s="45">
        <v>0</v>
      </c>
      <c r="AX47" s="45">
        <v>0</v>
      </c>
      <c r="AY47" s="45">
        <v>0</v>
      </c>
      <c r="AZ47" s="45">
        <v>0</v>
      </c>
      <c r="BA47" s="45">
        <v>0</v>
      </c>
      <c r="BB47" s="45">
        <v>0</v>
      </c>
      <c r="BC47" s="45">
        <v>0</v>
      </c>
      <c r="BD47" s="45">
        <v>0</v>
      </c>
      <c r="BE47" s="45">
        <v>0</v>
      </c>
      <c r="BF47" s="45">
        <v>0</v>
      </c>
      <c r="BG47" s="45">
        <v>0</v>
      </c>
      <c r="BH47" s="45">
        <v>0</v>
      </c>
      <c r="BI47" s="45">
        <v>0</v>
      </c>
      <c r="BJ47" s="45">
        <v>0</v>
      </c>
      <c r="BK47" s="45">
        <v>0</v>
      </c>
    </row>
    <row r="48" spans="1:63" s="291" customFormat="1" ht="13">
      <c r="A48" s="291" t="s">
        <v>116</v>
      </c>
      <c r="B48" s="291" t="s">
        <v>144</v>
      </c>
      <c r="C48" s="292" t="s">
        <v>79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295">
        <v>49659</v>
      </c>
      <c r="O48" s="295">
        <v>49659</v>
      </c>
      <c r="P48" s="295">
        <v>49659</v>
      </c>
      <c r="Q48" s="295">
        <v>60272</v>
      </c>
      <c r="R48" s="295">
        <v>60272</v>
      </c>
      <c r="S48" s="295">
        <v>60272</v>
      </c>
      <c r="T48" s="45">
        <v>60272</v>
      </c>
      <c r="U48" s="45">
        <v>73681</v>
      </c>
      <c r="V48" s="45">
        <v>73681</v>
      </c>
      <c r="W48" s="45">
        <v>73681</v>
      </c>
      <c r="X48" s="45">
        <v>73681</v>
      </c>
      <c r="Y48" s="45">
        <v>73681</v>
      </c>
      <c r="Z48" s="45">
        <v>73681</v>
      </c>
      <c r="AA48" s="45">
        <v>73681</v>
      </c>
      <c r="AB48" s="45">
        <v>73681</v>
      </c>
      <c r="AC48" s="45">
        <v>73681</v>
      </c>
      <c r="AD48" s="45">
        <v>73681</v>
      </c>
      <c r="AE48" s="45">
        <v>73681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5">
        <v>0</v>
      </c>
      <c r="AU48" s="45">
        <v>0</v>
      </c>
      <c r="AV48" s="45">
        <v>0</v>
      </c>
      <c r="AW48" s="45">
        <v>0</v>
      </c>
      <c r="AX48" s="45">
        <v>0</v>
      </c>
      <c r="AY48" s="45">
        <v>0</v>
      </c>
      <c r="AZ48" s="45">
        <v>0</v>
      </c>
      <c r="BA48" s="45">
        <v>0</v>
      </c>
      <c r="BB48" s="45">
        <v>0</v>
      </c>
      <c r="BC48" s="45">
        <v>0</v>
      </c>
      <c r="BD48" s="45">
        <v>0</v>
      </c>
      <c r="BE48" s="45">
        <v>0</v>
      </c>
      <c r="BF48" s="45">
        <v>0</v>
      </c>
      <c r="BG48" s="45">
        <v>0</v>
      </c>
      <c r="BH48" s="45">
        <v>0</v>
      </c>
      <c r="BI48" s="45">
        <v>0</v>
      </c>
      <c r="BJ48" s="45">
        <v>0</v>
      </c>
      <c r="BK48" s="45">
        <v>0</v>
      </c>
    </row>
    <row r="49" spans="1:63" s="291" customFormat="1" ht="13">
      <c r="A49" s="291" t="s">
        <v>102</v>
      </c>
      <c r="B49" s="291" t="s">
        <v>76</v>
      </c>
      <c r="C49" s="292" t="s">
        <v>79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295">
        <v>6889</v>
      </c>
      <c r="O49" s="295">
        <v>6889</v>
      </c>
      <c r="P49" s="295">
        <v>6889</v>
      </c>
      <c r="Q49" s="295">
        <v>6889</v>
      </c>
      <c r="R49" s="295">
        <v>6889</v>
      </c>
      <c r="S49" s="295">
        <v>6889</v>
      </c>
      <c r="T49" s="45">
        <v>6889</v>
      </c>
      <c r="U49" s="45">
        <v>6889</v>
      </c>
      <c r="V49" s="45">
        <v>6889</v>
      </c>
      <c r="W49" s="45">
        <v>6889</v>
      </c>
      <c r="X49" s="45">
        <v>6889</v>
      </c>
      <c r="Y49" s="45">
        <v>6889</v>
      </c>
      <c r="Z49" s="45">
        <v>6889</v>
      </c>
      <c r="AA49" s="45">
        <v>6889</v>
      </c>
      <c r="AB49" s="45">
        <v>6889</v>
      </c>
      <c r="AC49" s="45">
        <v>6889</v>
      </c>
      <c r="AD49" s="45">
        <v>6889</v>
      </c>
      <c r="AE49" s="45">
        <v>6889</v>
      </c>
      <c r="AF49" s="45">
        <v>6889</v>
      </c>
      <c r="AG49" s="45">
        <v>6889</v>
      </c>
      <c r="AH49" s="45">
        <v>6889</v>
      </c>
      <c r="AI49" s="45">
        <v>6889</v>
      </c>
      <c r="AJ49" s="45">
        <v>6889</v>
      </c>
      <c r="AK49" s="45">
        <v>6889</v>
      </c>
      <c r="AL49" s="45">
        <v>6889</v>
      </c>
      <c r="AM49" s="45">
        <v>6889</v>
      </c>
      <c r="AN49" s="45">
        <v>6889</v>
      </c>
      <c r="AO49" s="45">
        <v>6889</v>
      </c>
      <c r="AP49" s="45">
        <v>6889</v>
      </c>
      <c r="AQ49" s="45">
        <v>6889</v>
      </c>
      <c r="AR49" s="45">
        <v>6889</v>
      </c>
      <c r="AS49" s="45">
        <v>6889</v>
      </c>
      <c r="AT49" s="45">
        <v>6889</v>
      </c>
      <c r="AU49" s="45">
        <v>6889</v>
      </c>
      <c r="AV49" s="45">
        <v>6889</v>
      </c>
      <c r="AW49" s="45">
        <v>6889</v>
      </c>
      <c r="AX49" s="45">
        <v>6889</v>
      </c>
      <c r="AY49" s="45">
        <v>6889</v>
      </c>
      <c r="AZ49" s="45">
        <v>6889</v>
      </c>
      <c r="BA49" s="45">
        <v>6889</v>
      </c>
      <c r="BB49" s="45">
        <v>0</v>
      </c>
      <c r="BC49" s="45">
        <v>0</v>
      </c>
      <c r="BD49" s="45">
        <v>0</v>
      </c>
      <c r="BE49" s="45">
        <v>0</v>
      </c>
      <c r="BF49" s="45">
        <v>0</v>
      </c>
      <c r="BG49" s="45">
        <v>0</v>
      </c>
      <c r="BH49" s="45">
        <v>0</v>
      </c>
      <c r="BI49" s="45">
        <v>0</v>
      </c>
      <c r="BJ49" s="45">
        <v>0</v>
      </c>
      <c r="BK49" s="45">
        <v>0</v>
      </c>
    </row>
    <row r="50" spans="1:63" s="291" customFormat="1" ht="13">
      <c r="A50" s="291" t="s">
        <v>103</v>
      </c>
      <c r="B50" s="291" t="s">
        <v>76</v>
      </c>
      <c r="C50" s="292" t="s">
        <v>81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295">
        <v>6284</v>
      </c>
      <c r="O50" s="295">
        <v>6284</v>
      </c>
      <c r="P50" s="295">
        <v>6284</v>
      </c>
      <c r="Q50" s="295">
        <v>6284</v>
      </c>
      <c r="R50" s="295">
        <v>6284</v>
      </c>
      <c r="S50" s="295">
        <v>6284</v>
      </c>
      <c r="T50" s="45">
        <v>6284</v>
      </c>
      <c r="U50" s="45">
        <v>6284</v>
      </c>
      <c r="V50" s="45">
        <v>6284</v>
      </c>
      <c r="W50" s="45">
        <v>6284</v>
      </c>
      <c r="X50" s="45">
        <v>6284</v>
      </c>
      <c r="Y50" s="45">
        <v>6284</v>
      </c>
      <c r="Z50" s="45">
        <v>6284</v>
      </c>
      <c r="AA50" s="45">
        <v>6284</v>
      </c>
      <c r="AB50" s="45">
        <v>6284</v>
      </c>
      <c r="AC50" s="45">
        <v>6284</v>
      </c>
      <c r="AD50" s="45">
        <v>6284</v>
      </c>
      <c r="AE50" s="45">
        <v>6284</v>
      </c>
      <c r="AF50" s="45">
        <v>6284</v>
      </c>
      <c r="AG50" s="45">
        <v>6284</v>
      </c>
      <c r="AH50" s="45">
        <v>6284</v>
      </c>
      <c r="AI50" s="45">
        <v>6284</v>
      </c>
      <c r="AJ50" s="45">
        <v>6284</v>
      </c>
      <c r="AK50" s="45">
        <v>6284</v>
      </c>
      <c r="AL50" s="45">
        <v>6284</v>
      </c>
      <c r="AM50" s="45">
        <v>6284</v>
      </c>
      <c r="AN50" s="45">
        <v>6284</v>
      </c>
      <c r="AO50" s="45">
        <v>6284</v>
      </c>
      <c r="AP50" s="45">
        <v>6284</v>
      </c>
      <c r="AQ50" s="45">
        <v>6284</v>
      </c>
      <c r="AR50" s="45">
        <v>6284</v>
      </c>
      <c r="AS50" s="45">
        <v>6284</v>
      </c>
      <c r="AT50" s="45">
        <v>6284</v>
      </c>
      <c r="AU50" s="45">
        <v>6284</v>
      </c>
      <c r="AV50" s="45">
        <v>6284</v>
      </c>
      <c r="AW50" s="45">
        <v>6284</v>
      </c>
      <c r="AX50" s="45">
        <v>6284</v>
      </c>
      <c r="AY50" s="45">
        <v>6284</v>
      </c>
      <c r="AZ50" s="45">
        <v>6284</v>
      </c>
      <c r="BA50" s="45">
        <v>6284</v>
      </c>
      <c r="BB50" s="45">
        <v>0</v>
      </c>
      <c r="BC50" s="45">
        <v>0</v>
      </c>
      <c r="BD50" s="45">
        <v>0</v>
      </c>
      <c r="BE50" s="45">
        <v>0</v>
      </c>
      <c r="BF50" s="45">
        <v>0</v>
      </c>
      <c r="BG50" s="45">
        <v>0</v>
      </c>
      <c r="BH50" s="45">
        <v>0</v>
      </c>
      <c r="BI50" s="45">
        <v>0</v>
      </c>
      <c r="BJ50" s="45">
        <v>0</v>
      </c>
      <c r="BK50" s="45">
        <v>0</v>
      </c>
    </row>
    <row r="51" spans="1:63" s="291" customFormat="1" ht="13">
      <c r="A51" s="291" t="s">
        <v>175</v>
      </c>
      <c r="B51" s="291" t="s">
        <v>144</v>
      </c>
      <c r="C51" s="292" t="s">
        <v>79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295">
        <v>138095.38</v>
      </c>
      <c r="O51" s="295">
        <v>138095.38</v>
      </c>
      <c r="P51" s="295">
        <v>138095.38</v>
      </c>
      <c r="Q51" s="295">
        <v>138095.38</v>
      </c>
      <c r="R51" s="295">
        <v>138095.38</v>
      </c>
      <c r="S51" s="295">
        <v>138095.38</v>
      </c>
      <c r="T51" s="45">
        <v>138095.38</v>
      </c>
      <c r="U51" s="45">
        <v>138095.38</v>
      </c>
      <c r="V51" s="45">
        <v>138095.38</v>
      </c>
      <c r="W51" s="45">
        <v>138095.38</v>
      </c>
      <c r="X51" s="45">
        <v>138095.38</v>
      </c>
      <c r="Y51" s="45">
        <v>138095.38</v>
      </c>
      <c r="Z51" s="45">
        <v>138095.38</v>
      </c>
      <c r="AA51" s="45">
        <v>138095.38</v>
      </c>
      <c r="AB51" s="45">
        <v>138095.38</v>
      </c>
      <c r="AC51" s="45">
        <v>138095.38</v>
      </c>
      <c r="AD51" s="45">
        <v>138095.38</v>
      </c>
      <c r="AE51" s="45">
        <v>138095.38</v>
      </c>
      <c r="AF51" s="45">
        <v>0</v>
      </c>
      <c r="AG51" s="45">
        <v>0</v>
      </c>
      <c r="AH51" s="45">
        <v>0</v>
      </c>
      <c r="AI51" s="45">
        <v>0</v>
      </c>
      <c r="AJ51" s="45">
        <v>0</v>
      </c>
      <c r="AK51" s="45">
        <v>0</v>
      </c>
      <c r="AL51" s="45">
        <v>0</v>
      </c>
      <c r="AM51" s="45">
        <v>0</v>
      </c>
      <c r="AN51" s="45">
        <v>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5">
        <v>0</v>
      </c>
      <c r="AU51" s="45">
        <v>0</v>
      </c>
      <c r="AV51" s="45">
        <v>0</v>
      </c>
      <c r="AW51" s="45">
        <v>0</v>
      </c>
      <c r="AX51" s="45">
        <v>0</v>
      </c>
      <c r="AY51" s="45">
        <v>0</v>
      </c>
      <c r="AZ51" s="45">
        <v>0</v>
      </c>
      <c r="BA51" s="45">
        <v>0</v>
      </c>
      <c r="BB51" s="45">
        <v>0</v>
      </c>
      <c r="BC51" s="45">
        <v>0</v>
      </c>
      <c r="BD51" s="45">
        <v>0</v>
      </c>
      <c r="BE51" s="45">
        <v>0</v>
      </c>
      <c r="BF51" s="45">
        <v>0</v>
      </c>
      <c r="BG51" s="45">
        <v>0</v>
      </c>
      <c r="BH51" s="45">
        <v>0</v>
      </c>
      <c r="BI51" s="45">
        <v>0</v>
      </c>
      <c r="BJ51" s="45">
        <v>0</v>
      </c>
      <c r="BK51" s="45">
        <v>0</v>
      </c>
    </row>
    <row r="52" spans="1:63" s="291" customFormat="1" ht="13">
      <c r="A52" s="291" t="s">
        <v>176</v>
      </c>
      <c r="B52" s="291" t="s">
        <v>144</v>
      </c>
      <c r="C52" s="292" t="s">
        <v>79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295">
        <v>6503.31</v>
      </c>
      <c r="O52" s="295">
        <v>6503.31</v>
      </c>
      <c r="P52" s="295">
        <v>6503.31</v>
      </c>
      <c r="Q52" s="295">
        <v>6503.31</v>
      </c>
      <c r="R52" s="295">
        <v>6503.31</v>
      </c>
      <c r="S52" s="295">
        <v>6503.31</v>
      </c>
      <c r="T52" s="45">
        <v>6503.31</v>
      </c>
      <c r="U52" s="45">
        <v>6503.31</v>
      </c>
      <c r="V52" s="45">
        <v>6503.31</v>
      </c>
      <c r="W52" s="45">
        <v>6503.31</v>
      </c>
      <c r="X52" s="45">
        <v>6503.31</v>
      </c>
      <c r="Y52" s="45">
        <v>6503.31</v>
      </c>
      <c r="Z52" s="45">
        <v>6503.31</v>
      </c>
      <c r="AA52" s="45">
        <v>6503.31</v>
      </c>
      <c r="AB52" s="45">
        <v>6503.31</v>
      </c>
      <c r="AC52" s="45">
        <v>6503.31</v>
      </c>
      <c r="AD52" s="45">
        <v>6503.31</v>
      </c>
      <c r="AE52" s="45">
        <v>6503.31</v>
      </c>
      <c r="AF52" s="45">
        <v>0</v>
      </c>
      <c r="AG52" s="45">
        <v>0</v>
      </c>
      <c r="AH52" s="45">
        <v>0</v>
      </c>
      <c r="AI52" s="45">
        <v>0</v>
      </c>
      <c r="AJ52" s="45">
        <v>0</v>
      </c>
      <c r="AK52" s="45">
        <v>0</v>
      </c>
      <c r="AL52" s="45">
        <v>0</v>
      </c>
      <c r="AM52" s="45">
        <v>0</v>
      </c>
      <c r="AN52" s="45">
        <v>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5">
        <v>0</v>
      </c>
      <c r="AU52" s="45">
        <v>0</v>
      </c>
      <c r="AV52" s="45">
        <v>0</v>
      </c>
      <c r="AW52" s="45">
        <v>0</v>
      </c>
      <c r="AX52" s="45">
        <v>0</v>
      </c>
      <c r="AY52" s="45">
        <v>0</v>
      </c>
      <c r="AZ52" s="45">
        <v>0</v>
      </c>
      <c r="BA52" s="45">
        <v>0</v>
      </c>
      <c r="BB52" s="45">
        <v>0</v>
      </c>
      <c r="BC52" s="45">
        <v>0</v>
      </c>
      <c r="BD52" s="45">
        <v>0</v>
      </c>
      <c r="BE52" s="45">
        <v>0</v>
      </c>
      <c r="BF52" s="45">
        <v>0</v>
      </c>
      <c r="BG52" s="45">
        <v>0</v>
      </c>
      <c r="BH52" s="45">
        <v>0</v>
      </c>
      <c r="BI52" s="45">
        <v>0</v>
      </c>
      <c r="BJ52" s="45">
        <v>0</v>
      </c>
      <c r="BK52" s="45">
        <v>0</v>
      </c>
    </row>
    <row r="53" spans="1:63" s="291" customFormat="1" ht="13">
      <c r="A53" s="291" t="s">
        <v>117</v>
      </c>
      <c r="B53" s="291" t="s">
        <v>144</v>
      </c>
      <c r="C53" s="292" t="s">
        <v>77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295">
        <v>42696.84</v>
      </c>
      <c r="P53" s="295">
        <v>42696.84</v>
      </c>
      <c r="Q53" s="295">
        <v>42696.84</v>
      </c>
      <c r="R53" s="295">
        <v>42696.84</v>
      </c>
      <c r="S53" s="295">
        <v>42696.84</v>
      </c>
      <c r="T53" s="45">
        <v>42696.84</v>
      </c>
      <c r="U53" s="45">
        <v>42696.84</v>
      </c>
      <c r="V53" s="45">
        <v>42696.84</v>
      </c>
      <c r="W53" s="45">
        <v>42696.84</v>
      </c>
      <c r="X53" s="45">
        <v>42696.84</v>
      </c>
      <c r="Y53" s="45">
        <v>42696.84</v>
      </c>
      <c r="Z53" s="45">
        <v>42696.84</v>
      </c>
      <c r="AA53" s="45">
        <v>42696.84</v>
      </c>
      <c r="AB53" s="45">
        <v>42696.84</v>
      </c>
      <c r="AC53" s="45">
        <v>42696.84</v>
      </c>
      <c r="AD53" s="45">
        <v>42696.84</v>
      </c>
      <c r="AE53" s="45">
        <v>42696.84</v>
      </c>
      <c r="AF53" s="45">
        <v>0</v>
      </c>
      <c r="AG53" s="45">
        <v>0</v>
      </c>
      <c r="AH53" s="45">
        <v>0</v>
      </c>
      <c r="AI53" s="45">
        <v>0</v>
      </c>
      <c r="AJ53" s="45">
        <v>0</v>
      </c>
      <c r="AK53" s="45">
        <v>0</v>
      </c>
      <c r="AL53" s="45">
        <v>0</v>
      </c>
      <c r="AM53" s="45">
        <v>0</v>
      </c>
      <c r="AN53" s="45">
        <v>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5">
        <v>0</v>
      </c>
      <c r="AU53" s="45">
        <v>0</v>
      </c>
      <c r="AV53" s="45">
        <v>0</v>
      </c>
      <c r="AW53" s="45">
        <v>0</v>
      </c>
      <c r="AX53" s="45">
        <v>0</v>
      </c>
      <c r="AY53" s="45">
        <v>0</v>
      </c>
      <c r="AZ53" s="45">
        <v>0</v>
      </c>
      <c r="BA53" s="45">
        <v>0</v>
      </c>
      <c r="BB53" s="45">
        <v>0</v>
      </c>
      <c r="BC53" s="45">
        <v>0</v>
      </c>
      <c r="BD53" s="45">
        <v>0</v>
      </c>
      <c r="BE53" s="45">
        <v>0</v>
      </c>
      <c r="BF53" s="45">
        <v>0</v>
      </c>
      <c r="BG53" s="45">
        <v>0</v>
      </c>
      <c r="BH53" s="45">
        <v>0</v>
      </c>
      <c r="BI53" s="45">
        <v>0</v>
      </c>
      <c r="BJ53" s="45">
        <v>0</v>
      </c>
      <c r="BK53" s="45">
        <v>0</v>
      </c>
    </row>
    <row r="54" spans="1:63" s="291" customFormat="1" ht="13">
      <c r="A54" s="291" t="s">
        <v>146</v>
      </c>
      <c r="B54" s="291" t="s">
        <v>144</v>
      </c>
      <c r="C54" s="292" t="s">
        <v>79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295">
        <v>6453</v>
      </c>
      <c r="P54" s="295">
        <v>6453</v>
      </c>
      <c r="Q54" s="295">
        <v>6453</v>
      </c>
      <c r="R54" s="295">
        <v>6453</v>
      </c>
      <c r="S54" s="295">
        <v>6453</v>
      </c>
      <c r="T54" s="45">
        <v>6453</v>
      </c>
      <c r="U54" s="45">
        <v>6452.68</v>
      </c>
      <c r="V54" s="45">
        <v>6452.68</v>
      </c>
      <c r="W54" s="45">
        <v>6452.68</v>
      </c>
      <c r="X54" s="45">
        <v>6452.68</v>
      </c>
      <c r="Y54" s="45">
        <v>6452.68</v>
      </c>
      <c r="Z54" s="45">
        <v>6452.68</v>
      </c>
      <c r="AA54" s="45">
        <v>6452.68</v>
      </c>
      <c r="AB54" s="45">
        <v>6452.68</v>
      </c>
      <c r="AC54" s="45">
        <v>6452.68</v>
      </c>
      <c r="AD54" s="45">
        <v>6452.68</v>
      </c>
      <c r="AE54" s="45">
        <v>6452.68</v>
      </c>
      <c r="AF54" s="45">
        <v>6452.68</v>
      </c>
      <c r="AG54" s="45">
        <v>0</v>
      </c>
      <c r="AH54" s="45">
        <v>0</v>
      </c>
      <c r="AI54" s="45">
        <v>0</v>
      </c>
      <c r="AJ54" s="45">
        <v>0</v>
      </c>
      <c r="AK54" s="45">
        <v>0</v>
      </c>
      <c r="AL54" s="45">
        <v>0</v>
      </c>
      <c r="AM54" s="45">
        <v>0</v>
      </c>
      <c r="AN54" s="45">
        <v>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5">
        <v>0</v>
      </c>
      <c r="AU54" s="45">
        <v>0</v>
      </c>
      <c r="AV54" s="45">
        <v>0</v>
      </c>
      <c r="AW54" s="45">
        <v>0</v>
      </c>
      <c r="AX54" s="45">
        <v>0</v>
      </c>
      <c r="AY54" s="45">
        <v>0</v>
      </c>
      <c r="AZ54" s="45">
        <v>0</v>
      </c>
      <c r="BA54" s="45">
        <v>0</v>
      </c>
      <c r="BB54" s="45">
        <v>0</v>
      </c>
      <c r="BC54" s="45">
        <v>0</v>
      </c>
      <c r="BD54" s="45">
        <v>0</v>
      </c>
      <c r="BE54" s="45">
        <v>0</v>
      </c>
      <c r="BF54" s="45">
        <v>0</v>
      </c>
      <c r="BG54" s="45">
        <v>0</v>
      </c>
      <c r="BH54" s="45">
        <v>0</v>
      </c>
      <c r="BI54" s="45">
        <v>0</v>
      </c>
      <c r="BJ54" s="45">
        <v>0</v>
      </c>
      <c r="BK54" s="45">
        <v>0</v>
      </c>
    </row>
    <row r="55" spans="1:63" s="291" customFormat="1" ht="13">
      <c r="A55" s="291" t="s">
        <v>147</v>
      </c>
      <c r="B55" s="291" t="s">
        <v>144</v>
      </c>
      <c r="C55" s="292" t="s">
        <v>79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295">
        <v>3919</v>
      </c>
      <c r="P55" s="295">
        <v>3919</v>
      </c>
      <c r="Q55" s="295">
        <v>3919</v>
      </c>
      <c r="R55" s="295">
        <v>3919</v>
      </c>
      <c r="S55" s="295">
        <v>3919</v>
      </c>
      <c r="T55" s="45">
        <v>3919</v>
      </c>
      <c r="U55" s="45">
        <v>3918.88</v>
      </c>
      <c r="V55" s="45">
        <v>3918.88</v>
      </c>
      <c r="W55" s="45">
        <v>3918.88</v>
      </c>
      <c r="X55" s="45">
        <v>3918.88</v>
      </c>
      <c r="Y55" s="45">
        <v>3918.88</v>
      </c>
      <c r="Z55" s="45">
        <v>3918.88</v>
      </c>
      <c r="AA55" s="45">
        <v>3918.88</v>
      </c>
      <c r="AB55" s="45">
        <v>3918.88</v>
      </c>
      <c r="AC55" s="45">
        <v>3918.88</v>
      </c>
      <c r="AD55" s="45">
        <v>3918.88</v>
      </c>
      <c r="AE55" s="45">
        <v>3918.88</v>
      </c>
      <c r="AF55" s="45">
        <v>3918.88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5">
        <v>0</v>
      </c>
      <c r="AU55" s="45">
        <v>0</v>
      </c>
      <c r="AV55" s="45">
        <v>0</v>
      </c>
      <c r="AW55" s="45">
        <v>0</v>
      </c>
      <c r="AX55" s="45">
        <v>0</v>
      </c>
      <c r="AY55" s="45">
        <v>0</v>
      </c>
      <c r="AZ55" s="45">
        <v>0</v>
      </c>
      <c r="BA55" s="45">
        <v>0</v>
      </c>
      <c r="BB55" s="45">
        <v>0</v>
      </c>
      <c r="BC55" s="45">
        <v>0</v>
      </c>
      <c r="BD55" s="45">
        <v>0</v>
      </c>
      <c r="BE55" s="45">
        <v>0</v>
      </c>
      <c r="BF55" s="45">
        <v>0</v>
      </c>
      <c r="BG55" s="45">
        <v>0</v>
      </c>
      <c r="BH55" s="45">
        <v>0</v>
      </c>
      <c r="BI55" s="45">
        <v>0</v>
      </c>
      <c r="BJ55" s="45">
        <v>0</v>
      </c>
      <c r="BK55" s="45">
        <v>0</v>
      </c>
    </row>
    <row r="56" spans="1:63" s="291" customFormat="1" ht="13">
      <c r="A56" s="291" t="s">
        <v>148</v>
      </c>
      <c r="B56" s="291" t="s">
        <v>144</v>
      </c>
      <c r="C56" s="292" t="s">
        <v>79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295">
        <v>6317</v>
      </c>
      <c r="P56" s="295">
        <v>6317</v>
      </c>
      <c r="Q56" s="295">
        <v>6317</v>
      </c>
      <c r="R56" s="295">
        <v>6317</v>
      </c>
      <c r="S56" s="295">
        <v>6317</v>
      </c>
      <c r="T56" s="45">
        <v>6317</v>
      </c>
      <c r="U56" s="45">
        <v>6316.83</v>
      </c>
      <c r="V56" s="45">
        <v>6316.83</v>
      </c>
      <c r="W56" s="45">
        <v>6316.83</v>
      </c>
      <c r="X56" s="45">
        <v>6316.83</v>
      </c>
      <c r="Y56" s="45">
        <v>6316.83</v>
      </c>
      <c r="Z56" s="45">
        <v>6316.83</v>
      </c>
      <c r="AA56" s="45">
        <v>6316.83</v>
      </c>
      <c r="AB56" s="45">
        <v>6316.83</v>
      </c>
      <c r="AC56" s="45">
        <v>6316.83</v>
      </c>
      <c r="AD56" s="45">
        <v>6316.83</v>
      </c>
      <c r="AE56" s="45">
        <v>6316.83</v>
      </c>
      <c r="AF56" s="45">
        <v>6316.83</v>
      </c>
      <c r="AG56" s="45">
        <v>0</v>
      </c>
      <c r="AH56" s="45">
        <v>0</v>
      </c>
      <c r="AI56" s="45">
        <v>0</v>
      </c>
      <c r="AJ56" s="45">
        <v>0</v>
      </c>
      <c r="AK56" s="45">
        <v>0</v>
      </c>
      <c r="AL56" s="45">
        <v>0</v>
      </c>
      <c r="AM56" s="45">
        <v>0</v>
      </c>
      <c r="AN56" s="45">
        <v>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5">
        <v>0</v>
      </c>
      <c r="AU56" s="45">
        <v>0</v>
      </c>
      <c r="AV56" s="45">
        <v>0</v>
      </c>
      <c r="AW56" s="45">
        <v>0</v>
      </c>
      <c r="AX56" s="45">
        <v>0</v>
      </c>
      <c r="AY56" s="45">
        <v>0</v>
      </c>
      <c r="AZ56" s="45">
        <v>0</v>
      </c>
      <c r="BA56" s="45">
        <v>0</v>
      </c>
      <c r="BB56" s="45">
        <v>0</v>
      </c>
      <c r="BC56" s="45">
        <v>0</v>
      </c>
      <c r="BD56" s="45">
        <v>0</v>
      </c>
      <c r="BE56" s="45">
        <v>0</v>
      </c>
      <c r="BF56" s="45">
        <v>0</v>
      </c>
      <c r="BG56" s="45">
        <v>0</v>
      </c>
      <c r="BH56" s="45">
        <v>0</v>
      </c>
      <c r="BI56" s="45">
        <v>0</v>
      </c>
      <c r="BJ56" s="45">
        <v>0</v>
      </c>
      <c r="BK56" s="45">
        <v>0</v>
      </c>
    </row>
    <row r="57" spans="1:63" s="291" customFormat="1" ht="13">
      <c r="A57" s="291" t="s">
        <v>149</v>
      </c>
      <c r="B57" s="291" t="s">
        <v>144</v>
      </c>
      <c r="C57" s="292" t="s">
        <v>79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295">
        <v>28026</v>
      </c>
      <c r="P57" s="295">
        <v>28026</v>
      </c>
      <c r="Q57" s="295">
        <v>28026</v>
      </c>
      <c r="R57" s="295">
        <v>28026</v>
      </c>
      <c r="S57" s="295">
        <v>28026</v>
      </c>
      <c r="T57" s="45">
        <v>28026</v>
      </c>
      <c r="U57" s="45">
        <v>28026.48</v>
      </c>
      <c r="V57" s="45">
        <v>28026.48</v>
      </c>
      <c r="W57" s="45">
        <v>28026.48</v>
      </c>
      <c r="X57" s="45">
        <v>28026.48</v>
      </c>
      <c r="Y57" s="45">
        <v>28026.48</v>
      </c>
      <c r="Z57" s="45">
        <v>28026.48</v>
      </c>
      <c r="AA57" s="45">
        <v>28026.48</v>
      </c>
      <c r="AB57" s="45">
        <v>28026.48</v>
      </c>
      <c r="AC57" s="45">
        <v>28026.48</v>
      </c>
      <c r="AD57" s="45">
        <v>28026.48</v>
      </c>
      <c r="AE57" s="45">
        <v>28026.48</v>
      </c>
      <c r="AF57" s="45">
        <v>28026.48</v>
      </c>
      <c r="AG57" s="45">
        <v>28026.48</v>
      </c>
      <c r="AH57" s="45">
        <v>28026.48</v>
      </c>
      <c r="AI57" s="45">
        <v>28026.48</v>
      </c>
      <c r="AJ57" s="45">
        <v>28026.48</v>
      </c>
      <c r="AK57" s="45">
        <v>28026.48</v>
      </c>
      <c r="AL57" s="45">
        <v>0</v>
      </c>
      <c r="AM57" s="45">
        <v>0</v>
      </c>
      <c r="AN57" s="45">
        <v>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5">
        <v>0</v>
      </c>
      <c r="AU57" s="45">
        <v>0</v>
      </c>
      <c r="AV57" s="45">
        <v>0</v>
      </c>
      <c r="AW57" s="45">
        <v>0</v>
      </c>
      <c r="AX57" s="45">
        <v>0</v>
      </c>
      <c r="AY57" s="45">
        <v>0</v>
      </c>
      <c r="AZ57" s="45">
        <v>0</v>
      </c>
      <c r="BA57" s="45">
        <v>0</v>
      </c>
      <c r="BB57" s="45">
        <v>0</v>
      </c>
      <c r="BC57" s="45">
        <v>0</v>
      </c>
      <c r="BD57" s="45">
        <v>0</v>
      </c>
      <c r="BE57" s="45">
        <v>0</v>
      </c>
      <c r="BF57" s="45">
        <v>0</v>
      </c>
      <c r="BG57" s="45">
        <v>0</v>
      </c>
      <c r="BH57" s="45">
        <v>0</v>
      </c>
      <c r="BI57" s="45">
        <v>0</v>
      </c>
      <c r="BJ57" s="45">
        <v>0</v>
      </c>
      <c r="BK57" s="45">
        <v>0</v>
      </c>
    </row>
    <row r="58" spans="1:63" s="291" customFormat="1" ht="13">
      <c r="A58" s="291" t="s">
        <v>150</v>
      </c>
      <c r="B58" s="291" t="s">
        <v>144</v>
      </c>
      <c r="C58" s="292" t="s">
        <v>79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295">
        <v>14467</v>
      </c>
      <c r="P58" s="295">
        <v>14467</v>
      </c>
      <c r="Q58" s="295">
        <v>14467</v>
      </c>
      <c r="R58" s="295">
        <v>14467</v>
      </c>
      <c r="S58" s="295">
        <v>14467</v>
      </c>
      <c r="T58" s="45">
        <v>14467</v>
      </c>
      <c r="U58" s="45">
        <v>14467.41</v>
      </c>
      <c r="V58" s="45">
        <v>14467.41</v>
      </c>
      <c r="W58" s="45">
        <v>14467.41</v>
      </c>
      <c r="X58" s="45">
        <v>14467.41</v>
      </c>
      <c r="Y58" s="45">
        <v>14467.41</v>
      </c>
      <c r="Z58" s="45">
        <v>14467.41</v>
      </c>
      <c r="AA58" s="45">
        <v>14467.41</v>
      </c>
      <c r="AB58" s="45">
        <v>14467.41</v>
      </c>
      <c r="AC58" s="45">
        <v>14467.41</v>
      </c>
      <c r="AD58" s="45">
        <v>14467.41</v>
      </c>
      <c r="AE58" s="45">
        <v>14467.41</v>
      </c>
      <c r="AF58" s="45">
        <v>14467.41</v>
      </c>
      <c r="AG58" s="45">
        <v>0</v>
      </c>
      <c r="AH58" s="45">
        <v>0</v>
      </c>
      <c r="AI58" s="45">
        <v>0</v>
      </c>
      <c r="AJ58" s="45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5">
        <v>0</v>
      </c>
      <c r="AU58" s="45">
        <v>0</v>
      </c>
      <c r="AV58" s="45">
        <v>0</v>
      </c>
      <c r="AW58" s="45">
        <v>0</v>
      </c>
      <c r="AX58" s="45">
        <v>0</v>
      </c>
      <c r="AY58" s="45">
        <v>0</v>
      </c>
      <c r="AZ58" s="45">
        <v>0</v>
      </c>
      <c r="BA58" s="45">
        <v>0</v>
      </c>
      <c r="BB58" s="45">
        <v>0</v>
      </c>
      <c r="BC58" s="45">
        <v>0</v>
      </c>
      <c r="BD58" s="45">
        <v>0</v>
      </c>
      <c r="BE58" s="45">
        <v>0</v>
      </c>
      <c r="BF58" s="45">
        <v>0</v>
      </c>
      <c r="BG58" s="45">
        <v>0</v>
      </c>
      <c r="BH58" s="45">
        <v>0</v>
      </c>
      <c r="BI58" s="45">
        <v>0</v>
      </c>
      <c r="BJ58" s="45">
        <v>0</v>
      </c>
      <c r="BK58" s="45">
        <v>0</v>
      </c>
    </row>
    <row r="59" spans="1:63" ht="13">
      <c r="A59" s="287" t="s">
        <v>104</v>
      </c>
      <c r="B59" s="287" t="s">
        <v>76</v>
      </c>
      <c r="C59" s="290" t="s">
        <v>79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49">
        <v>27931</v>
      </c>
      <c r="P59" s="49">
        <v>27931</v>
      </c>
      <c r="Q59" s="49">
        <v>27931</v>
      </c>
      <c r="R59" s="49">
        <v>27931</v>
      </c>
      <c r="S59" s="49">
        <v>27931</v>
      </c>
      <c r="T59" s="49">
        <v>27931</v>
      </c>
      <c r="U59" s="49">
        <v>27931</v>
      </c>
      <c r="V59" s="49">
        <v>27931</v>
      </c>
      <c r="W59" s="49">
        <v>27931</v>
      </c>
      <c r="X59" s="49">
        <v>27931</v>
      </c>
      <c r="Y59" s="49">
        <v>27931</v>
      </c>
      <c r="Z59" s="49">
        <v>27931</v>
      </c>
      <c r="AA59" s="49">
        <v>27931</v>
      </c>
      <c r="AB59" s="49">
        <v>27931</v>
      </c>
      <c r="AC59" s="49">
        <v>27931</v>
      </c>
      <c r="AD59" s="49">
        <v>27931</v>
      </c>
      <c r="AE59" s="49">
        <v>27931</v>
      </c>
      <c r="AF59" s="49">
        <v>27931</v>
      </c>
      <c r="AG59" s="49">
        <v>27931</v>
      </c>
      <c r="AH59" s="49">
        <v>27931</v>
      </c>
      <c r="AI59" s="49">
        <v>27931</v>
      </c>
      <c r="AJ59" s="49">
        <v>27931</v>
      </c>
      <c r="AK59" s="49">
        <v>27931</v>
      </c>
      <c r="AL59" s="49">
        <v>27931</v>
      </c>
      <c r="AM59" s="49">
        <v>27931</v>
      </c>
      <c r="AN59" s="49">
        <v>27931</v>
      </c>
      <c r="AO59" s="49">
        <v>27931</v>
      </c>
      <c r="AP59" s="49">
        <v>27931</v>
      </c>
      <c r="AQ59" s="49">
        <v>27931</v>
      </c>
      <c r="AR59" s="49">
        <v>27931</v>
      </c>
      <c r="AS59" s="49">
        <v>27931</v>
      </c>
      <c r="AT59" s="49">
        <v>27931</v>
      </c>
      <c r="AU59" s="49">
        <v>27931</v>
      </c>
      <c r="AV59" s="49">
        <v>27931</v>
      </c>
      <c r="AW59" s="49">
        <v>27931</v>
      </c>
      <c r="AX59" s="49">
        <v>27931</v>
      </c>
      <c r="AY59" s="49">
        <v>27931</v>
      </c>
      <c r="AZ59" s="49">
        <v>27931</v>
      </c>
      <c r="BA59" s="49">
        <v>27931</v>
      </c>
      <c r="BB59" s="49">
        <v>26291.478088519721</v>
      </c>
      <c r="BC59" s="49">
        <v>26291.478088519721</v>
      </c>
      <c r="BD59" s="49">
        <v>26291.478088519721</v>
      </c>
      <c r="BE59" s="49">
        <v>26291.478088519721</v>
      </c>
      <c r="BF59" s="49">
        <v>26291.478088519721</v>
      </c>
      <c r="BG59" s="49">
        <v>26291.478088519721</v>
      </c>
      <c r="BH59" s="49">
        <v>26291.478088519721</v>
      </c>
      <c r="BI59" s="49">
        <v>26291.478088519721</v>
      </c>
      <c r="BJ59" s="49">
        <v>26291.478088519721</v>
      </c>
      <c r="BK59" s="49">
        <v>26291.478088519721</v>
      </c>
    </row>
    <row r="60" spans="1:63" s="291" customFormat="1" ht="13">
      <c r="A60" s="291" t="s">
        <v>105</v>
      </c>
      <c r="B60" s="291" t="s">
        <v>76</v>
      </c>
      <c r="C60" s="292" t="s">
        <v>79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295">
        <v>31953.63</v>
      </c>
      <c r="Q60" s="295">
        <v>31953.63</v>
      </c>
      <c r="R60" s="295">
        <v>31953.63</v>
      </c>
      <c r="S60" s="295">
        <v>31953.63</v>
      </c>
      <c r="T60" s="55">
        <v>31953.63</v>
      </c>
      <c r="U60" s="55">
        <v>31953.63</v>
      </c>
      <c r="V60" s="55">
        <v>31953.63</v>
      </c>
      <c r="W60" s="55">
        <v>31953.63</v>
      </c>
      <c r="X60" s="55">
        <v>31953.63</v>
      </c>
      <c r="Y60" s="55">
        <v>31953.63</v>
      </c>
      <c r="Z60" s="55">
        <v>31953.63</v>
      </c>
      <c r="AA60" s="55">
        <v>31953.63</v>
      </c>
      <c r="AB60" s="55">
        <v>31953.63</v>
      </c>
      <c r="AC60" s="55">
        <v>31953.63</v>
      </c>
      <c r="AD60" s="55">
        <v>31953.63</v>
      </c>
      <c r="AE60" s="55">
        <v>31953.63</v>
      </c>
      <c r="AF60" s="55">
        <v>31953.63</v>
      </c>
      <c r="AG60" s="55">
        <v>31953.63</v>
      </c>
      <c r="AH60" s="55">
        <v>31953.63</v>
      </c>
      <c r="AI60" s="55">
        <v>31953.63</v>
      </c>
      <c r="AJ60" s="55">
        <v>31953.63</v>
      </c>
      <c r="AK60" s="55">
        <v>31953.63</v>
      </c>
      <c r="AL60" s="55">
        <v>31953.63</v>
      </c>
      <c r="AM60" s="55">
        <v>31953.63</v>
      </c>
      <c r="AN60" s="55">
        <v>31953.63</v>
      </c>
      <c r="AO60" s="55">
        <v>31953.63</v>
      </c>
      <c r="AP60" s="55">
        <v>31953.63</v>
      </c>
      <c r="AQ60" s="55">
        <v>31953.63</v>
      </c>
      <c r="AR60" s="55">
        <v>31953.63</v>
      </c>
      <c r="AS60" s="55">
        <v>31953.63</v>
      </c>
      <c r="AT60" s="55">
        <v>31953.63</v>
      </c>
      <c r="AU60" s="55">
        <v>31953.63</v>
      </c>
      <c r="AV60" s="55">
        <v>31953.63</v>
      </c>
      <c r="AW60" s="55">
        <v>31953.63</v>
      </c>
      <c r="AX60" s="55">
        <v>31953.63</v>
      </c>
      <c r="AY60" s="55">
        <v>31953.63</v>
      </c>
      <c r="AZ60" s="55">
        <v>31953.63</v>
      </c>
      <c r="BA60" s="55">
        <v>31953.63</v>
      </c>
      <c r="BB60" s="55">
        <v>0</v>
      </c>
      <c r="BC60" s="55">
        <v>0</v>
      </c>
      <c r="BD60" s="55">
        <v>0</v>
      </c>
      <c r="BE60" s="55">
        <v>0</v>
      </c>
      <c r="BF60" s="55">
        <v>0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</row>
    <row r="61" spans="1:63" s="291" customFormat="1" ht="13">
      <c r="A61" s="291" t="s">
        <v>134</v>
      </c>
      <c r="B61" s="291" t="s">
        <v>144</v>
      </c>
      <c r="C61" s="292" t="s">
        <v>79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295">
        <v>49684</v>
      </c>
      <c r="Q61" s="295">
        <v>49684</v>
      </c>
      <c r="R61" s="295">
        <v>49684</v>
      </c>
      <c r="S61" s="295">
        <v>49684</v>
      </c>
      <c r="T61" s="55">
        <v>49684</v>
      </c>
      <c r="U61" s="55">
        <v>49683.89</v>
      </c>
      <c r="V61" s="55">
        <v>49683.89</v>
      </c>
      <c r="W61" s="55">
        <v>49683.89</v>
      </c>
      <c r="X61" s="55">
        <v>49683.89</v>
      </c>
      <c r="Y61" s="55">
        <v>49683.89</v>
      </c>
      <c r="Z61" s="55">
        <v>49683.89</v>
      </c>
      <c r="AA61" s="55">
        <v>49683.89</v>
      </c>
      <c r="AB61" s="55">
        <v>49683.89</v>
      </c>
      <c r="AC61" s="55">
        <v>49683.89</v>
      </c>
      <c r="AD61" s="55">
        <v>49683.89</v>
      </c>
      <c r="AE61" s="55">
        <v>49683.89</v>
      </c>
      <c r="AF61" s="55">
        <v>0</v>
      </c>
      <c r="AG61" s="55">
        <v>0</v>
      </c>
      <c r="AH61" s="55">
        <v>0</v>
      </c>
      <c r="AI61" s="55">
        <v>0</v>
      </c>
      <c r="AJ61" s="55">
        <v>0</v>
      </c>
      <c r="AK61" s="55">
        <v>0</v>
      </c>
      <c r="AL61" s="55">
        <v>0</v>
      </c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</row>
    <row r="62" spans="1:63" s="291" customFormat="1" ht="13">
      <c r="A62" s="291" t="s">
        <v>135</v>
      </c>
      <c r="B62" s="291" t="s">
        <v>144</v>
      </c>
      <c r="C62" s="292" t="s">
        <v>79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295">
        <v>56622</v>
      </c>
      <c r="Q62" s="295">
        <v>56622</v>
      </c>
      <c r="R62" s="295">
        <v>56622</v>
      </c>
      <c r="S62" s="295">
        <v>56622</v>
      </c>
      <c r="T62" s="55">
        <v>56622</v>
      </c>
      <c r="U62" s="55">
        <v>56622.37</v>
      </c>
      <c r="V62" s="55">
        <v>56622.37</v>
      </c>
      <c r="W62" s="55">
        <v>56622.37</v>
      </c>
      <c r="X62" s="55">
        <v>56622.37</v>
      </c>
      <c r="Y62" s="55">
        <v>56622.37</v>
      </c>
      <c r="Z62" s="55">
        <v>56622.37</v>
      </c>
      <c r="AA62" s="55">
        <v>56622.37</v>
      </c>
      <c r="AB62" s="55">
        <v>56622.37</v>
      </c>
      <c r="AC62" s="55">
        <v>56622.37</v>
      </c>
      <c r="AD62" s="55">
        <v>56622.37</v>
      </c>
      <c r="AE62" s="55">
        <v>56622.37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5">
        <v>0</v>
      </c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</row>
    <row r="63" spans="1:63" s="291" customFormat="1" ht="13">
      <c r="A63" s="291" t="s">
        <v>106</v>
      </c>
      <c r="B63" s="291" t="s">
        <v>76</v>
      </c>
      <c r="C63" s="292" t="s">
        <v>81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45">
        <v>11516</v>
      </c>
      <c r="Q63" s="45">
        <v>11516</v>
      </c>
      <c r="R63" s="45">
        <v>11516</v>
      </c>
      <c r="S63" s="45">
        <v>11516</v>
      </c>
      <c r="T63" s="45">
        <v>11516</v>
      </c>
      <c r="U63" s="45">
        <v>11516</v>
      </c>
      <c r="V63" s="45">
        <v>11516</v>
      </c>
      <c r="W63" s="45">
        <v>11516</v>
      </c>
      <c r="X63" s="45">
        <v>11516</v>
      </c>
      <c r="Y63" s="45">
        <v>11516</v>
      </c>
      <c r="Z63" s="45">
        <v>11516</v>
      </c>
      <c r="AA63" s="45">
        <v>11516</v>
      </c>
      <c r="AB63" s="45">
        <v>11516</v>
      </c>
      <c r="AC63" s="45">
        <v>11516</v>
      </c>
      <c r="AD63" s="45">
        <v>11516</v>
      </c>
      <c r="AE63" s="45">
        <v>11516</v>
      </c>
      <c r="AF63" s="45">
        <v>11516</v>
      </c>
      <c r="AG63" s="45">
        <v>11516</v>
      </c>
      <c r="AH63" s="45">
        <v>11516</v>
      </c>
      <c r="AI63" s="45">
        <v>11516</v>
      </c>
      <c r="AJ63" s="45">
        <v>11516</v>
      </c>
      <c r="AK63" s="45">
        <v>11516</v>
      </c>
      <c r="AL63" s="45">
        <v>11516</v>
      </c>
      <c r="AM63" s="45">
        <v>11516</v>
      </c>
      <c r="AN63" s="45">
        <v>11516</v>
      </c>
      <c r="AO63" s="45">
        <v>11516</v>
      </c>
      <c r="AP63" s="45">
        <v>11516</v>
      </c>
      <c r="AQ63" s="45">
        <v>11516</v>
      </c>
      <c r="AR63" s="45">
        <v>11516</v>
      </c>
      <c r="AS63" s="45">
        <v>11516</v>
      </c>
      <c r="AT63" s="45">
        <v>11516</v>
      </c>
      <c r="AU63" s="45">
        <v>11516</v>
      </c>
      <c r="AV63" s="45">
        <v>11516</v>
      </c>
      <c r="AW63" s="45">
        <v>11516</v>
      </c>
      <c r="AX63" s="45">
        <v>11516</v>
      </c>
      <c r="AY63" s="45">
        <v>11516</v>
      </c>
      <c r="AZ63" s="45">
        <v>11516</v>
      </c>
      <c r="BA63" s="45">
        <v>11516</v>
      </c>
      <c r="BB63" s="45">
        <v>0</v>
      </c>
      <c r="BC63" s="45">
        <v>0</v>
      </c>
      <c r="BD63" s="45">
        <v>0</v>
      </c>
      <c r="BE63" s="45">
        <v>0</v>
      </c>
      <c r="BF63" s="45">
        <v>0</v>
      </c>
      <c r="BG63" s="45">
        <v>0</v>
      </c>
      <c r="BH63" s="45">
        <v>0</v>
      </c>
      <c r="BI63" s="45">
        <v>0</v>
      </c>
      <c r="BJ63" s="45">
        <v>0</v>
      </c>
      <c r="BK63" s="45">
        <v>0</v>
      </c>
    </row>
    <row r="64" spans="1:63" s="291" customFormat="1" ht="13">
      <c r="A64" s="291" t="s">
        <v>118</v>
      </c>
      <c r="B64" s="291" t="s">
        <v>144</v>
      </c>
      <c r="C64" s="292" t="s">
        <v>79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295">
        <v>88643</v>
      </c>
      <c r="Q64" s="295">
        <v>88643</v>
      </c>
      <c r="R64" s="295">
        <v>88643</v>
      </c>
      <c r="S64" s="295">
        <v>88643</v>
      </c>
      <c r="T64" s="45">
        <v>88643</v>
      </c>
      <c r="U64" s="45">
        <v>88643</v>
      </c>
      <c r="V64" s="45">
        <v>88643</v>
      </c>
      <c r="W64" s="45">
        <v>88643</v>
      </c>
      <c r="X64" s="45">
        <v>88643</v>
      </c>
      <c r="Y64" s="45">
        <v>88643</v>
      </c>
      <c r="Z64" s="45">
        <v>88643</v>
      </c>
      <c r="AA64" s="45">
        <v>88643</v>
      </c>
      <c r="AB64" s="45">
        <v>88643</v>
      </c>
      <c r="AC64" s="45">
        <v>88643</v>
      </c>
      <c r="AD64" s="45">
        <v>88643</v>
      </c>
      <c r="AE64" s="45">
        <v>88643</v>
      </c>
      <c r="AF64" s="45">
        <v>0</v>
      </c>
      <c r="AG64" s="45">
        <v>0</v>
      </c>
      <c r="AH64" s="45">
        <v>0</v>
      </c>
      <c r="AI64" s="45">
        <v>0</v>
      </c>
      <c r="AJ64" s="45">
        <v>0</v>
      </c>
      <c r="AK64" s="45">
        <v>0</v>
      </c>
      <c r="AL64" s="45">
        <v>0</v>
      </c>
      <c r="AM64" s="45">
        <v>0</v>
      </c>
      <c r="AN64" s="45">
        <v>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5">
        <v>0</v>
      </c>
      <c r="AU64" s="45">
        <v>0</v>
      </c>
      <c r="AV64" s="45">
        <v>0</v>
      </c>
      <c r="AW64" s="45">
        <v>0</v>
      </c>
      <c r="AX64" s="45">
        <v>0</v>
      </c>
      <c r="AY64" s="45">
        <v>0</v>
      </c>
      <c r="AZ64" s="45">
        <v>0</v>
      </c>
      <c r="BA64" s="45">
        <v>0</v>
      </c>
      <c r="BB64" s="45">
        <v>0</v>
      </c>
      <c r="BC64" s="45">
        <v>0</v>
      </c>
      <c r="BD64" s="45">
        <v>0</v>
      </c>
      <c r="BE64" s="45">
        <v>0</v>
      </c>
      <c r="BF64" s="45">
        <v>0</v>
      </c>
      <c r="BG64" s="45">
        <v>0</v>
      </c>
      <c r="BH64" s="45">
        <v>0</v>
      </c>
      <c r="BI64" s="45">
        <v>0</v>
      </c>
      <c r="BJ64" s="45">
        <v>0</v>
      </c>
      <c r="BK64" s="45">
        <v>0</v>
      </c>
    </row>
    <row r="65" spans="1:63" ht="13">
      <c r="A65" s="287" t="s">
        <v>107</v>
      </c>
      <c r="B65" s="287" t="s">
        <v>76</v>
      </c>
      <c r="C65" s="290" t="s">
        <v>81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49">
        <v>27658</v>
      </c>
      <c r="Q65" s="49">
        <v>27658</v>
      </c>
      <c r="R65" s="49">
        <v>27658</v>
      </c>
      <c r="S65" s="49">
        <v>27658</v>
      </c>
      <c r="T65" s="49">
        <v>27658</v>
      </c>
      <c r="U65" s="49">
        <v>27658</v>
      </c>
      <c r="V65" s="49">
        <v>27658</v>
      </c>
      <c r="W65" s="49">
        <v>27658</v>
      </c>
      <c r="X65" s="49">
        <v>27658</v>
      </c>
      <c r="Y65" s="49">
        <v>27658</v>
      </c>
      <c r="Z65" s="49">
        <v>23591</v>
      </c>
      <c r="AA65" s="49">
        <v>23591</v>
      </c>
      <c r="AB65" s="49">
        <v>23591</v>
      </c>
      <c r="AC65" s="49">
        <v>23591</v>
      </c>
      <c r="AD65" s="49">
        <v>23591</v>
      </c>
      <c r="AE65" s="49">
        <v>23591</v>
      </c>
      <c r="AF65" s="49">
        <v>23591</v>
      </c>
      <c r="AG65" s="49">
        <v>23591</v>
      </c>
      <c r="AH65" s="49">
        <v>23591</v>
      </c>
      <c r="AI65" s="49">
        <v>23591</v>
      </c>
      <c r="AJ65" s="49">
        <v>23591</v>
      </c>
      <c r="AK65" s="49">
        <v>23591</v>
      </c>
      <c r="AL65" s="49">
        <v>23591</v>
      </c>
      <c r="AM65" s="49">
        <v>23591</v>
      </c>
      <c r="AN65" s="49">
        <v>23591</v>
      </c>
      <c r="AO65" s="49">
        <v>23591</v>
      </c>
      <c r="AP65" s="49">
        <v>23591</v>
      </c>
      <c r="AQ65" s="49">
        <v>23591</v>
      </c>
      <c r="AR65" s="49">
        <v>23591</v>
      </c>
      <c r="AS65" s="49">
        <v>23591</v>
      </c>
      <c r="AT65" s="49">
        <v>23591</v>
      </c>
      <c r="AU65" s="49">
        <v>23591</v>
      </c>
      <c r="AV65" s="49">
        <v>23591</v>
      </c>
      <c r="AW65" s="49">
        <v>23591</v>
      </c>
      <c r="AX65" s="49">
        <v>23591</v>
      </c>
      <c r="AY65" s="49">
        <v>23591</v>
      </c>
      <c r="AZ65" s="49">
        <v>23591</v>
      </c>
      <c r="BA65" s="49">
        <v>23591</v>
      </c>
      <c r="BB65" s="49">
        <v>23380.801768805501</v>
      </c>
      <c r="BC65" s="49">
        <v>23380.801768805501</v>
      </c>
      <c r="BD65" s="49">
        <v>23380.801768805501</v>
      </c>
      <c r="BE65" s="49">
        <v>23380.801768805501</v>
      </c>
      <c r="BF65" s="49">
        <v>23380.801768805501</v>
      </c>
      <c r="BG65" s="49">
        <v>23380.801768805501</v>
      </c>
      <c r="BH65" s="49">
        <v>23380.801768805501</v>
      </c>
      <c r="BI65" s="49">
        <v>23380.801768805501</v>
      </c>
      <c r="BJ65" s="49">
        <v>23380.801768805501</v>
      </c>
      <c r="BK65" s="49">
        <v>23380.801768805501</v>
      </c>
    </row>
    <row r="66" spans="1:63" ht="13">
      <c r="A66" s="287" t="s">
        <v>264</v>
      </c>
      <c r="B66" s="287" t="s">
        <v>76</v>
      </c>
      <c r="C66" s="290" t="s">
        <v>81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296">
        <v>21493</v>
      </c>
      <c r="R66" s="296">
        <v>21493</v>
      </c>
      <c r="S66" s="296">
        <v>21493</v>
      </c>
      <c r="T66" s="49">
        <v>21493</v>
      </c>
      <c r="U66" s="49">
        <v>21492.575000000001</v>
      </c>
      <c r="V66" s="49">
        <v>21492.575000000001</v>
      </c>
      <c r="W66" s="49">
        <v>42986</v>
      </c>
      <c r="X66" s="49">
        <v>42986</v>
      </c>
      <c r="Y66" s="49">
        <v>42986</v>
      </c>
      <c r="Z66" s="49">
        <v>42986</v>
      </c>
      <c r="AA66" s="49">
        <v>42986</v>
      </c>
      <c r="AB66" s="49">
        <v>42986</v>
      </c>
      <c r="AC66" s="49">
        <v>42986</v>
      </c>
      <c r="AD66" s="49">
        <v>42986</v>
      </c>
      <c r="AE66" s="49">
        <v>42986</v>
      </c>
      <c r="AF66" s="49">
        <v>42986</v>
      </c>
      <c r="AG66" s="49">
        <v>42986</v>
      </c>
      <c r="AH66" s="49">
        <v>42986</v>
      </c>
      <c r="AI66" s="49">
        <v>42986</v>
      </c>
      <c r="AJ66" s="49">
        <v>42986</v>
      </c>
      <c r="AK66" s="49">
        <v>42986</v>
      </c>
      <c r="AL66" s="49">
        <v>42986</v>
      </c>
      <c r="AM66" s="49">
        <v>42986</v>
      </c>
      <c r="AN66" s="49">
        <v>42986</v>
      </c>
      <c r="AO66" s="49">
        <v>42986</v>
      </c>
      <c r="AP66" s="49">
        <v>42986</v>
      </c>
      <c r="AQ66" s="49">
        <v>42986</v>
      </c>
      <c r="AR66" s="49">
        <v>42986</v>
      </c>
      <c r="AS66" s="49">
        <v>42986</v>
      </c>
      <c r="AT66" s="49">
        <v>42986</v>
      </c>
      <c r="AU66" s="49">
        <v>42986</v>
      </c>
      <c r="AV66" s="49">
        <v>42986</v>
      </c>
      <c r="AW66" s="49">
        <v>42986</v>
      </c>
      <c r="AX66" s="49">
        <v>42986</v>
      </c>
      <c r="AY66" s="49">
        <v>42986</v>
      </c>
      <c r="AZ66" s="49">
        <v>42986</v>
      </c>
      <c r="BA66" s="49">
        <v>42986</v>
      </c>
      <c r="BB66" s="49">
        <v>44636.722618899956</v>
      </c>
      <c r="BC66" s="49">
        <v>44636.722618899956</v>
      </c>
      <c r="BD66" s="49">
        <v>44636.722618899956</v>
      </c>
      <c r="BE66" s="49">
        <v>44636.722618899956</v>
      </c>
      <c r="BF66" s="49">
        <v>44636.722618899956</v>
      </c>
      <c r="BG66" s="49">
        <v>44636.722618899956</v>
      </c>
      <c r="BH66" s="49">
        <v>44636.722618899956</v>
      </c>
      <c r="BI66" s="49">
        <v>44636.722618899956</v>
      </c>
      <c r="BJ66" s="49">
        <v>44636.722618899956</v>
      </c>
      <c r="BK66" s="49">
        <v>44636.722618899956</v>
      </c>
    </row>
    <row r="67" spans="1:63" s="291" customFormat="1" ht="13">
      <c r="A67" s="291" t="s">
        <v>145</v>
      </c>
      <c r="B67" s="291" t="s">
        <v>144</v>
      </c>
      <c r="C67" s="292" t="s">
        <v>79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295">
        <v>0</v>
      </c>
      <c r="R67" s="295">
        <v>12923</v>
      </c>
      <c r="S67" s="295">
        <v>12923</v>
      </c>
      <c r="T67" s="45">
        <v>12923</v>
      </c>
      <c r="U67" s="45">
        <v>12923</v>
      </c>
      <c r="V67" s="45">
        <v>12923</v>
      </c>
      <c r="W67" s="45">
        <v>12923</v>
      </c>
      <c r="X67" s="45">
        <v>12923</v>
      </c>
      <c r="Y67" s="45">
        <v>12923</v>
      </c>
      <c r="Z67" s="45">
        <v>12923</v>
      </c>
      <c r="AA67" s="45">
        <v>12923</v>
      </c>
      <c r="AB67" s="45">
        <v>12923</v>
      </c>
      <c r="AC67" s="45">
        <v>12923</v>
      </c>
      <c r="AD67" s="45">
        <v>12923</v>
      </c>
      <c r="AE67" s="45">
        <v>12923</v>
      </c>
      <c r="AF67" s="45">
        <v>0</v>
      </c>
      <c r="AG67" s="45">
        <v>0</v>
      </c>
      <c r="AH67" s="45">
        <v>0</v>
      </c>
      <c r="AI67" s="45">
        <v>0</v>
      </c>
      <c r="AJ67" s="45">
        <v>0</v>
      </c>
      <c r="AK67" s="45">
        <v>0</v>
      </c>
      <c r="AL67" s="45">
        <v>0</v>
      </c>
      <c r="AM67" s="45">
        <v>0</v>
      </c>
      <c r="AN67" s="45">
        <v>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5">
        <v>0</v>
      </c>
      <c r="AU67" s="45">
        <v>0</v>
      </c>
      <c r="AV67" s="45">
        <v>0</v>
      </c>
      <c r="AW67" s="45">
        <v>0</v>
      </c>
      <c r="AX67" s="45">
        <v>0</v>
      </c>
      <c r="AY67" s="45">
        <v>0</v>
      </c>
      <c r="AZ67" s="45">
        <v>0</v>
      </c>
      <c r="BA67" s="45">
        <v>0</v>
      </c>
      <c r="BB67" s="45">
        <v>0</v>
      </c>
      <c r="BC67" s="45">
        <v>0</v>
      </c>
      <c r="BD67" s="45">
        <v>0</v>
      </c>
      <c r="BE67" s="45">
        <v>0</v>
      </c>
      <c r="BF67" s="45">
        <v>0</v>
      </c>
      <c r="BG67" s="45">
        <v>0</v>
      </c>
      <c r="BH67" s="45">
        <v>0</v>
      </c>
      <c r="BI67" s="45">
        <v>0</v>
      </c>
      <c r="BJ67" s="45">
        <v>0</v>
      </c>
      <c r="BK67" s="45">
        <v>0</v>
      </c>
    </row>
    <row r="68" spans="1:63" s="291" customFormat="1" ht="13">
      <c r="A68" s="291" t="s">
        <v>151</v>
      </c>
      <c r="B68" s="291" t="s">
        <v>142</v>
      </c>
      <c r="C68" s="292" t="s">
        <v>156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295">
        <v>0</v>
      </c>
      <c r="R68" s="295">
        <v>98714.219999999987</v>
      </c>
      <c r="S68" s="295">
        <v>98714.219999999987</v>
      </c>
      <c r="T68" s="45">
        <v>98714.219999999987</v>
      </c>
      <c r="U68" s="45">
        <v>98715</v>
      </c>
      <c r="V68" s="45">
        <v>98715</v>
      </c>
      <c r="W68" s="45">
        <v>98714</v>
      </c>
      <c r="X68" s="45">
        <v>98714</v>
      </c>
      <c r="Y68" s="45">
        <v>98714</v>
      </c>
      <c r="Z68" s="45">
        <v>98714</v>
      </c>
      <c r="AA68" s="45">
        <v>98714</v>
      </c>
      <c r="AB68" s="45">
        <v>98714</v>
      </c>
      <c r="AC68" s="45">
        <v>98714</v>
      </c>
      <c r="AD68" s="45">
        <v>98714</v>
      </c>
      <c r="AE68" s="45">
        <v>98714</v>
      </c>
      <c r="AF68" s="45">
        <v>98714</v>
      </c>
      <c r="AG68" s="45">
        <v>0</v>
      </c>
      <c r="AH68" s="45">
        <v>0</v>
      </c>
      <c r="AI68" s="45">
        <v>0</v>
      </c>
      <c r="AJ68" s="45">
        <v>0</v>
      </c>
      <c r="AK68" s="45">
        <v>0</v>
      </c>
      <c r="AL68" s="45">
        <v>0</v>
      </c>
      <c r="AM68" s="45">
        <v>0</v>
      </c>
      <c r="AN68" s="45">
        <v>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5">
        <v>0</v>
      </c>
      <c r="AU68" s="45">
        <v>0</v>
      </c>
      <c r="AV68" s="45">
        <v>0</v>
      </c>
      <c r="AW68" s="45">
        <v>0</v>
      </c>
      <c r="AX68" s="45">
        <v>0</v>
      </c>
      <c r="AY68" s="45">
        <v>0</v>
      </c>
      <c r="AZ68" s="45">
        <v>0</v>
      </c>
      <c r="BA68" s="45">
        <v>0</v>
      </c>
      <c r="BB68" s="45">
        <v>0</v>
      </c>
      <c r="BC68" s="45">
        <v>0</v>
      </c>
      <c r="BD68" s="45">
        <v>0</v>
      </c>
      <c r="BE68" s="45">
        <v>0</v>
      </c>
      <c r="BF68" s="45">
        <v>0</v>
      </c>
      <c r="BG68" s="45">
        <v>0</v>
      </c>
      <c r="BH68" s="45">
        <v>0</v>
      </c>
      <c r="BI68" s="45">
        <v>0</v>
      </c>
      <c r="BJ68" s="45">
        <v>0</v>
      </c>
      <c r="BK68" s="45">
        <v>0</v>
      </c>
    </row>
    <row r="69" spans="1:63" s="291" customFormat="1" ht="13">
      <c r="A69" s="291" t="s">
        <v>292</v>
      </c>
      <c r="B69" s="291" t="s">
        <v>142</v>
      </c>
      <c r="C69" s="292" t="s">
        <v>81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295">
        <v>0</v>
      </c>
      <c r="R69" s="295">
        <v>2171.19</v>
      </c>
      <c r="S69" s="295">
        <v>2171.19</v>
      </c>
      <c r="T69" s="45">
        <v>2171.19</v>
      </c>
      <c r="U69" s="45">
        <v>2171.1999999999998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  <c r="AK69" s="45">
        <v>0</v>
      </c>
      <c r="AL69" s="45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5">
        <v>0</v>
      </c>
      <c r="AU69" s="45">
        <v>0</v>
      </c>
      <c r="AV69" s="45">
        <v>0</v>
      </c>
      <c r="AW69" s="45">
        <v>0</v>
      </c>
      <c r="AX69" s="45">
        <v>0</v>
      </c>
      <c r="AY69" s="45">
        <v>0</v>
      </c>
      <c r="AZ69" s="45">
        <v>0</v>
      </c>
      <c r="BA69" s="45">
        <v>0</v>
      </c>
      <c r="BB69" s="45">
        <v>0</v>
      </c>
      <c r="BC69" s="45">
        <v>0</v>
      </c>
      <c r="BD69" s="45">
        <v>0</v>
      </c>
      <c r="BE69" s="45">
        <v>0</v>
      </c>
      <c r="BF69" s="45">
        <v>0</v>
      </c>
      <c r="BG69" s="45">
        <v>0</v>
      </c>
      <c r="BH69" s="45">
        <v>0</v>
      </c>
      <c r="BI69" s="45">
        <v>0</v>
      </c>
      <c r="BJ69" s="45">
        <v>0</v>
      </c>
      <c r="BK69" s="45">
        <v>0</v>
      </c>
    </row>
    <row r="70" spans="1:63" s="291" customFormat="1" ht="13">
      <c r="A70" s="291" t="s">
        <v>152</v>
      </c>
      <c r="B70" s="291" t="s">
        <v>76</v>
      </c>
      <c r="C70" s="292" t="s">
        <v>79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295">
        <v>0</v>
      </c>
      <c r="R70" s="295">
        <v>8084</v>
      </c>
      <c r="S70" s="295">
        <v>8084</v>
      </c>
      <c r="T70" s="45">
        <v>8084</v>
      </c>
      <c r="U70" s="45">
        <v>8084</v>
      </c>
      <c r="V70" s="45">
        <v>8084</v>
      </c>
      <c r="W70" s="45">
        <v>8084</v>
      </c>
      <c r="X70" s="55">
        <v>8084</v>
      </c>
      <c r="Y70" s="55">
        <v>8084</v>
      </c>
      <c r="Z70" s="55">
        <v>8084</v>
      </c>
      <c r="AA70" s="55">
        <v>8084</v>
      </c>
      <c r="AB70" s="55">
        <v>8084</v>
      </c>
      <c r="AC70" s="55">
        <v>8084</v>
      </c>
      <c r="AD70" s="55">
        <v>8084</v>
      </c>
      <c r="AE70" s="55">
        <v>8084</v>
      </c>
      <c r="AF70" s="55">
        <v>8084</v>
      </c>
      <c r="AG70" s="55">
        <v>0</v>
      </c>
      <c r="AH70" s="55">
        <v>0</v>
      </c>
      <c r="AI70" s="55">
        <v>0</v>
      </c>
      <c r="AJ70" s="55">
        <v>0</v>
      </c>
      <c r="AK70" s="55">
        <v>0</v>
      </c>
      <c r="AL70" s="55">
        <v>0</v>
      </c>
      <c r="AM70" s="55">
        <v>0</v>
      </c>
      <c r="AN70" s="55">
        <v>0</v>
      </c>
      <c r="AO70" s="55">
        <v>0</v>
      </c>
      <c r="AP70" s="55">
        <v>0</v>
      </c>
      <c r="AQ70" s="55">
        <v>0</v>
      </c>
      <c r="AR70" s="55">
        <v>0</v>
      </c>
      <c r="AS70" s="55">
        <v>0</v>
      </c>
      <c r="AT70" s="55">
        <v>0</v>
      </c>
      <c r="AU70" s="55">
        <v>0</v>
      </c>
      <c r="AV70" s="55">
        <v>0</v>
      </c>
      <c r="AW70" s="55">
        <v>0</v>
      </c>
      <c r="AX70" s="55">
        <v>0</v>
      </c>
      <c r="AY70" s="55">
        <v>0</v>
      </c>
      <c r="AZ70" s="55">
        <v>0</v>
      </c>
      <c r="BA70" s="55">
        <v>0</v>
      </c>
      <c r="BB70" s="55">
        <v>0</v>
      </c>
      <c r="BC70" s="55">
        <v>0</v>
      </c>
      <c r="BD70" s="55">
        <v>0</v>
      </c>
      <c r="BE70" s="55">
        <v>0</v>
      </c>
      <c r="BF70" s="55">
        <v>0</v>
      </c>
      <c r="BG70" s="55">
        <v>0</v>
      </c>
      <c r="BH70" s="55">
        <v>0</v>
      </c>
      <c r="BI70" s="55">
        <v>0</v>
      </c>
      <c r="BJ70" s="55">
        <v>0</v>
      </c>
      <c r="BK70" s="55">
        <v>0</v>
      </c>
    </row>
    <row r="71" spans="1:63" ht="13">
      <c r="A71" s="291" t="s">
        <v>153</v>
      </c>
      <c r="B71" s="291" t="s">
        <v>76</v>
      </c>
      <c r="C71" s="292" t="s">
        <v>79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295">
        <v>0</v>
      </c>
      <c r="R71" s="295">
        <v>7471.5199999999995</v>
      </c>
      <c r="S71" s="295">
        <v>7471.5199999999995</v>
      </c>
      <c r="T71" s="45">
        <v>7471.5199999999995</v>
      </c>
      <c r="U71" s="45">
        <v>7471.5</v>
      </c>
      <c r="V71" s="45">
        <v>7471.5</v>
      </c>
      <c r="W71" s="45">
        <v>6937.8</v>
      </c>
      <c r="X71" s="297">
        <v>534</v>
      </c>
      <c r="Y71" s="297">
        <v>534</v>
      </c>
      <c r="Z71" s="297">
        <v>534</v>
      </c>
      <c r="AA71" s="297">
        <v>534</v>
      </c>
      <c r="AB71" s="45">
        <v>0</v>
      </c>
      <c r="AC71" s="45">
        <v>0</v>
      </c>
      <c r="AD71" s="45">
        <v>0</v>
      </c>
      <c r="AE71" s="45">
        <v>0</v>
      </c>
      <c r="AF71" s="45">
        <v>0</v>
      </c>
      <c r="AG71" s="45">
        <v>0</v>
      </c>
      <c r="AH71" s="45">
        <v>0</v>
      </c>
      <c r="AI71" s="45">
        <v>0</v>
      </c>
      <c r="AJ71" s="45">
        <v>0</v>
      </c>
      <c r="AK71" s="45">
        <v>0</v>
      </c>
      <c r="AL71" s="45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5">
        <v>0</v>
      </c>
      <c r="AU71" s="45">
        <v>0</v>
      </c>
      <c r="AV71" s="45">
        <v>0</v>
      </c>
      <c r="AW71" s="45">
        <v>0</v>
      </c>
      <c r="AX71" s="45">
        <v>0</v>
      </c>
      <c r="AY71" s="45">
        <v>0</v>
      </c>
      <c r="AZ71" s="45">
        <v>0</v>
      </c>
      <c r="BA71" s="45">
        <v>0</v>
      </c>
      <c r="BB71" s="45">
        <v>0</v>
      </c>
      <c r="BC71" s="45">
        <v>0</v>
      </c>
      <c r="BD71" s="45">
        <v>0</v>
      </c>
      <c r="BE71" s="45">
        <v>0</v>
      </c>
      <c r="BF71" s="45">
        <v>0</v>
      </c>
      <c r="BG71" s="45">
        <v>0</v>
      </c>
      <c r="BH71" s="45">
        <v>0</v>
      </c>
      <c r="BI71" s="45">
        <v>0</v>
      </c>
      <c r="BJ71" s="45">
        <v>0</v>
      </c>
      <c r="BK71" s="45">
        <v>0</v>
      </c>
    </row>
    <row r="72" spans="1:63" s="291" customFormat="1" ht="13">
      <c r="A72" s="291" t="s">
        <v>154</v>
      </c>
      <c r="B72" s="291" t="s">
        <v>76</v>
      </c>
      <c r="C72" s="292" t="s">
        <v>79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295">
        <v>0</v>
      </c>
      <c r="R72" s="295">
        <v>4257.04</v>
      </c>
      <c r="S72" s="295">
        <v>4257.04</v>
      </c>
      <c r="T72" s="45">
        <v>4257.04</v>
      </c>
      <c r="U72" s="45">
        <v>4257.04</v>
      </c>
      <c r="V72" s="45">
        <v>4257.04</v>
      </c>
      <c r="W72" s="45">
        <v>4257.04</v>
      </c>
      <c r="X72" s="45">
        <v>4257.04</v>
      </c>
      <c r="Y72" s="45">
        <v>4257.04</v>
      </c>
      <c r="Z72" s="45">
        <v>4257.04</v>
      </c>
      <c r="AA72" s="45">
        <v>4257.04</v>
      </c>
      <c r="AB72" s="45">
        <v>4257.04</v>
      </c>
      <c r="AC72" s="45">
        <v>4257.04</v>
      </c>
      <c r="AD72" s="45">
        <v>4257.04</v>
      </c>
      <c r="AE72" s="45">
        <v>4257.04</v>
      </c>
      <c r="AF72" s="45">
        <v>4257.04</v>
      </c>
      <c r="AG72" s="45">
        <v>0</v>
      </c>
      <c r="AH72" s="45">
        <v>0</v>
      </c>
      <c r="AI72" s="45">
        <v>0</v>
      </c>
      <c r="AJ72" s="45">
        <v>0</v>
      </c>
      <c r="AK72" s="45">
        <v>0</v>
      </c>
      <c r="AL72" s="45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5">
        <v>0</v>
      </c>
      <c r="AU72" s="45">
        <v>0</v>
      </c>
      <c r="AV72" s="45">
        <v>0</v>
      </c>
      <c r="AW72" s="45">
        <v>0</v>
      </c>
      <c r="AX72" s="45">
        <v>0</v>
      </c>
      <c r="AY72" s="45">
        <v>0</v>
      </c>
      <c r="AZ72" s="45">
        <v>0</v>
      </c>
      <c r="BA72" s="45">
        <v>0</v>
      </c>
      <c r="BB72" s="45">
        <v>0</v>
      </c>
      <c r="BC72" s="45">
        <v>0</v>
      </c>
      <c r="BD72" s="45">
        <v>0</v>
      </c>
      <c r="BE72" s="45">
        <v>0</v>
      </c>
      <c r="BF72" s="45">
        <v>0</v>
      </c>
      <c r="BG72" s="45">
        <v>0</v>
      </c>
      <c r="BH72" s="45">
        <v>0</v>
      </c>
      <c r="BI72" s="45">
        <v>0</v>
      </c>
      <c r="BJ72" s="45">
        <v>0</v>
      </c>
      <c r="BK72" s="45">
        <v>0</v>
      </c>
    </row>
    <row r="73" spans="1:63" s="291" customFormat="1" ht="13">
      <c r="A73" s="291" t="s">
        <v>155</v>
      </c>
      <c r="B73" s="291" t="s">
        <v>76</v>
      </c>
      <c r="C73" s="292" t="s">
        <v>79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295">
        <v>0</v>
      </c>
      <c r="R73" s="295">
        <v>1448</v>
      </c>
      <c r="S73" s="295">
        <v>1448</v>
      </c>
      <c r="T73" s="45">
        <v>1448</v>
      </c>
      <c r="U73" s="45">
        <v>1448</v>
      </c>
      <c r="V73" s="45">
        <v>1448</v>
      </c>
      <c r="W73" s="45">
        <v>1448</v>
      </c>
      <c r="X73" s="45">
        <v>1448</v>
      </c>
      <c r="Y73" s="45">
        <v>1448</v>
      </c>
      <c r="Z73" s="45">
        <v>1448</v>
      </c>
      <c r="AA73" s="45">
        <v>1448</v>
      </c>
      <c r="AB73" s="45">
        <v>1448</v>
      </c>
      <c r="AC73" s="45">
        <v>1448</v>
      </c>
      <c r="AD73" s="45">
        <v>1448</v>
      </c>
      <c r="AE73" s="45">
        <v>1448</v>
      </c>
      <c r="AF73" s="45">
        <v>1448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5">
        <v>0</v>
      </c>
      <c r="AU73" s="45">
        <v>0</v>
      </c>
      <c r="AV73" s="45">
        <v>0</v>
      </c>
      <c r="AW73" s="45">
        <v>0</v>
      </c>
      <c r="AX73" s="45">
        <v>0</v>
      </c>
      <c r="AY73" s="45">
        <v>0</v>
      </c>
      <c r="AZ73" s="45">
        <v>0</v>
      </c>
      <c r="BA73" s="45">
        <v>0</v>
      </c>
      <c r="BB73" s="45">
        <v>0</v>
      </c>
      <c r="BC73" s="45">
        <v>0</v>
      </c>
      <c r="BD73" s="45">
        <v>0</v>
      </c>
      <c r="BE73" s="45">
        <v>0</v>
      </c>
      <c r="BF73" s="45">
        <v>0</v>
      </c>
      <c r="BG73" s="45">
        <v>0</v>
      </c>
      <c r="BH73" s="45">
        <v>0</v>
      </c>
      <c r="BI73" s="45">
        <v>0</v>
      </c>
      <c r="BJ73" s="45">
        <v>0</v>
      </c>
      <c r="BK73" s="45">
        <v>0</v>
      </c>
    </row>
    <row r="74" spans="1:63" ht="13">
      <c r="A74" s="282" t="s">
        <v>265</v>
      </c>
      <c r="B74" s="287" t="s">
        <v>76</v>
      </c>
      <c r="C74" s="290" t="s">
        <v>96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296">
        <v>0</v>
      </c>
      <c r="R74" s="296">
        <v>0</v>
      </c>
      <c r="S74" s="296">
        <v>0</v>
      </c>
      <c r="T74" s="296">
        <v>0</v>
      </c>
      <c r="U74" s="296">
        <v>0</v>
      </c>
      <c r="V74" s="296">
        <v>0</v>
      </c>
      <c r="W74" s="49">
        <v>8932</v>
      </c>
      <c r="X74" s="49">
        <v>8932</v>
      </c>
      <c r="Y74" s="49">
        <v>8932</v>
      </c>
      <c r="Z74" s="49">
        <v>8932</v>
      </c>
      <c r="AA74" s="49">
        <v>8932</v>
      </c>
      <c r="AB74" s="49">
        <v>8932</v>
      </c>
      <c r="AC74" s="49">
        <v>8932</v>
      </c>
      <c r="AD74" s="49">
        <v>8932</v>
      </c>
      <c r="AE74" s="49">
        <v>8932</v>
      </c>
      <c r="AF74" s="49">
        <v>8932</v>
      </c>
      <c r="AG74" s="49">
        <v>8932</v>
      </c>
      <c r="AH74" s="49">
        <v>8932</v>
      </c>
      <c r="AI74" s="49">
        <v>8932</v>
      </c>
      <c r="AJ74" s="49">
        <v>8932</v>
      </c>
      <c r="AK74" s="49">
        <v>8932</v>
      </c>
      <c r="AL74" s="49">
        <v>8932</v>
      </c>
      <c r="AM74" s="49">
        <v>8932</v>
      </c>
      <c r="AN74" s="49">
        <v>8932</v>
      </c>
      <c r="AO74" s="49">
        <v>8932</v>
      </c>
      <c r="AP74" s="49">
        <v>8932</v>
      </c>
      <c r="AQ74" s="49">
        <v>8932</v>
      </c>
      <c r="AR74" s="49">
        <v>8932</v>
      </c>
      <c r="AS74" s="49">
        <v>8932</v>
      </c>
      <c r="AT74" s="49">
        <v>8932</v>
      </c>
      <c r="AU74" s="49">
        <v>8932</v>
      </c>
      <c r="AV74" s="49">
        <v>8932</v>
      </c>
      <c r="AW74" s="49">
        <v>8932</v>
      </c>
      <c r="AX74" s="49">
        <v>8932</v>
      </c>
      <c r="AY74" s="49">
        <v>8932</v>
      </c>
      <c r="AZ74" s="49">
        <v>8932</v>
      </c>
      <c r="BA74" s="49">
        <v>8932</v>
      </c>
      <c r="BB74" s="49">
        <v>8932</v>
      </c>
      <c r="BC74" s="49">
        <v>8932</v>
      </c>
      <c r="BD74" s="49">
        <v>8932</v>
      </c>
      <c r="BE74" s="49">
        <v>8932</v>
      </c>
      <c r="BF74" s="49">
        <v>8932</v>
      </c>
      <c r="BG74" s="49">
        <v>8932</v>
      </c>
      <c r="BH74" s="49">
        <v>8932</v>
      </c>
      <c r="BI74" s="49">
        <v>8932</v>
      </c>
      <c r="BJ74" s="49">
        <v>8932</v>
      </c>
      <c r="BK74" s="49">
        <v>8932</v>
      </c>
    </row>
    <row r="75" spans="1:63" s="291" customFormat="1" ht="13">
      <c r="A75" s="291" t="s">
        <v>266</v>
      </c>
      <c r="B75" s="291" t="s">
        <v>76</v>
      </c>
      <c r="C75" s="292" t="s">
        <v>79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295">
        <v>0</v>
      </c>
      <c r="R75" s="295">
        <v>0</v>
      </c>
      <c r="S75" s="295">
        <v>0</v>
      </c>
      <c r="T75" s="295">
        <v>0</v>
      </c>
      <c r="U75" s="295">
        <v>0</v>
      </c>
      <c r="V75" s="295">
        <v>0</v>
      </c>
      <c r="W75" s="45">
        <v>21906</v>
      </c>
      <c r="X75" s="45">
        <v>21906</v>
      </c>
      <c r="Y75" s="45">
        <v>21906</v>
      </c>
      <c r="Z75" s="45">
        <v>21906</v>
      </c>
      <c r="AA75" s="45">
        <v>21906</v>
      </c>
      <c r="AB75" s="45">
        <v>21906</v>
      </c>
      <c r="AC75" s="45">
        <v>21906</v>
      </c>
      <c r="AD75" s="45">
        <v>21906</v>
      </c>
      <c r="AE75" s="45">
        <v>21906</v>
      </c>
      <c r="AF75" s="45">
        <v>21906</v>
      </c>
      <c r="AG75" s="45">
        <v>21906</v>
      </c>
      <c r="AH75" s="45">
        <v>21906</v>
      </c>
      <c r="AI75" s="45">
        <v>21906</v>
      </c>
      <c r="AJ75" s="45">
        <v>21906</v>
      </c>
      <c r="AK75" s="45">
        <v>21906</v>
      </c>
      <c r="AL75" s="45">
        <v>21906</v>
      </c>
      <c r="AM75" s="45">
        <v>21906</v>
      </c>
      <c r="AN75" s="45">
        <v>21906</v>
      </c>
      <c r="AO75" s="45">
        <v>21906</v>
      </c>
      <c r="AP75" s="45">
        <v>21906</v>
      </c>
      <c r="AQ75" s="45">
        <v>21906</v>
      </c>
      <c r="AR75" s="45">
        <v>21906</v>
      </c>
      <c r="AS75" s="45">
        <v>21906</v>
      </c>
      <c r="AT75" s="45">
        <v>21906</v>
      </c>
      <c r="AU75" s="45">
        <v>21906</v>
      </c>
      <c r="AV75" s="45">
        <v>21906</v>
      </c>
      <c r="AW75" s="45">
        <v>21906</v>
      </c>
      <c r="AX75" s="45">
        <v>21906</v>
      </c>
      <c r="AY75" s="45">
        <v>21906</v>
      </c>
      <c r="AZ75" s="45">
        <v>21906</v>
      </c>
      <c r="BA75" s="45">
        <v>21906</v>
      </c>
      <c r="BB75" s="45">
        <v>0</v>
      </c>
      <c r="BC75" s="45">
        <v>0</v>
      </c>
      <c r="BD75" s="45">
        <v>0</v>
      </c>
      <c r="BE75" s="45">
        <v>0</v>
      </c>
      <c r="BF75" s="45">
        <v>0</v>
      </c>
      <c r="BG75" s="45">
        <v>0</v>
      </c>
      <c r="BH75" s="45">
        <v>0</v>
      </c>
      <c r="BI75" s="45">
        <v>0</v>
      </c>
      <c r="BJ75" s="45">
        <v>0</v>
      </c>
      <c r="BK75" s="45">
        <v>0</v>
      </c>
    </row>
    <row r="76" spans="1:63" s="291" customFormat="1" ht="13">
      <c r="A76" s="291" t="s">
        <v>267</v>
      </c>
      <c r="B76" s="291" t="s">
        <v>76</v>
      </c>
      <c r="C76" s="292" t="s">
        <v>79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295">
        <v>0</v>
      </c>
      <c r="R76" s="295">
        <v>0</v>
      </c>
      <c r="S76" s="295">
        <v>0</v>
      </c>
      <c r="T76" s="295">
        <v>0</v>
      </c>
      <c r="U76" s="295">
        <v>0</v>
      </c>
      <c r="V76" s="295">
        <v>0</v>
      </c>
      <c r="W76" s="45">
        <v>11384</v>
      </c>
      <c r="X76" s="45">
        <v>11384</v>
      </c>
      <c r="Y76" s="45">
        <v>11384</v>
      </c>
      <c r="Z76" s="45">
        <v>11384</v>
      </c>
      <c r="AA76" s="45">
        <v>11384</v>
      </c>
      <c r="AB76" s="45">
        <v>11384</v>
      </c>
      <c r="AC76" s="45">
        <v>11384</v>
      </c>
      <c r="AD76" s="45">
        <v>11384</v>
      </c>
      <c r="AE76" s="45">
        <v>11384</v>
      </c>
      <c r="AF76" s="45">
        <v>11384</v>
      </c>
      <c r="AG76" s="45">
        <v>11384</v>
      </c>
      <c r="AH76" s="45">
        <v>11384</v>
      </c>
      <c r="AI76" s="45">
        <v>11384</v>
      </c>
      <c r="AJ76" s="45">
        <v>11384</v>
      </c>
      <c r="AK76" s="45">
        <v>11384</v>
      </c>
      <c r="AL76" s="45">
        <v>11384</v>
      </c>
      <c r="AM76" s="45">
        <v>11384</v>
      </c>
      <c r="AN76" s="45">
        <v>11384</v>
      </c>
      <c r="AO76" s="45">
        <v>11384</v>
      </c>
      <c r="AP76" s="45">
        <v>11384</v>
      </c>
      <c r="AQ76" s="45">
        <v>11384</v>
      </c>
      <c r="AR76" s="45">
        <v>11384</v>
      </c>
      <c r="AS76" s="45">
        <v>11384</v>
      </c>
      <c r="AT76" s="45">
        <v>11384</v>
      </c>
      <c r="AU76" s="45">
        <v>11384</v>
      </c>
      <c r="AV76" s="45">
        <v>11384</v>
      </c>
      <c r="AW76" s="45">
        <v>11384</v>
      </c>
      <c r="AX76" s="45">
        <v>11384</v>
      </c>
      <c r="AY76" s="45">
        <v>11384</v>
      </c>
      <c r="AZ76" s="45">
        <v>11384</v>
      </c>
      <c r="BA76" s="45">
        <v>11384</v>
      </c>
      <c r="BB76" s="45">
        <v>0</v>
      </c>
      <c r="BC76" s="45">
        <v>0</v>
      </c>
      <c r="BD76" s="45">
        <v>0</v>
      </c>
      <c r="BE76" s="45">
        <v>0</v>
      </c>
      <c r="BF76" s="45">
        <v>0</v>
      </c>
      <c r="BG76" s="45">
        <v>0</v>
      </c>
      <c r="BH76" s="45">
        <v>0</v>
      </c>
      <c r="BI76" s="45">
        <v>0</v>
      </c>
      <c r="BJ76" s="45">
        <v>0</v>
      </c>
      <c r="BK76" s="45">
        <v>0</v>
      </c>
    </row>
    <row r="77" spans="1:63" s="291" customFormat="1" ht="13">
      <c r="A77" s="291" t="s">
        <v>268</v>
      </c>
      <c r="B77" s="291" t="s">
        <v>76</v>
      </c>
      <c r="C77" s="292" t="s">
        <v>81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295">
        <v>0</v>
      </c>
      <c r="R77" s="295">
        <v>0</v>
      </c>
      <c r="S77" s="295">
        <v>0</v>
      </c>
      <c r="T77" s="295">
        <v>0</v>
      </c>
      <c r="U77" s="295">
        <v>0</v>
      </c>
      <c r="V77" s="295">
        <v>0</v>
      </c>
      <c r="W77" s="45">
        <v>23209.7</v>
      </c>
      <c r="X77" s="45">
        <v>23209.7</v>
      </c>
      <c r="Y77" s="45">
        <v>23209.7</v>
      </c>
      <c r="Z77" s="45">
        <v>23209.7</v>
      </c>
      <c r="AA77" s="45">
        <v>23209.7</v>
      </c>
      <c r="AB77" s="45">
        <v>23209.7</v>
      </c>
      <c r="AC77" s="45">
        <v>23209.7</v>
      </c>
      <c r="AD77" s="45">
        <v>23209.7</v>
      </c>
      <c r="AE77" s="45">
        <v>23209.7</v>
      </c>
      <c r="AF77" s="45">
        <v>23209.7</v>
      </c>
      <c r="AG77" s="45">
        <v>23209.7</v>
      </c>
      <c r="AH77" s="45">
        <v>23209.7</v>
      </c>
      <c r="AI77" s="45">
        <v>23209.7</v>
      </c>
      <c r="AJ77" s="45">
        <v>23209.7</v>
      </c>
      <c r="AK77" s="45">
        <v>23209.7</v>
      </c>
      <c r="AL77" s="45">
        <v>23209.7</v>
      </c>
      <c r="AM77" s="45">
        <v>23209.7</v>
      </c>
      <c r="AN77" s="45">
        <v>23209.7</v>
      </c>
      <c r="AO77" s="45">
        <v>23209.7</v>
      </c>
      <c r="AP77" s="45">
        <v>23209.7</v>
      </c>
      <c r="AQ77" s="45">
        <v>23209.7</v>
      </c>
      <c r="AR77" s="45">
        <v>23209.7</v>
      </c>
      <c r="AS77" s="45">
        <v>23209.7</v>
      </c>
      <c r="AT77" s="45">
        <v>23209.7</v>
      </c>
      <c r="AU77" s="45">
        <v>23209.7</v>
      </c>
      <c r="AV77" s="45">
        <v>23209.7</v>
      </c>
      <c r="AW77" s="45">
        <v>23209.7</v>
      </c>
      <c r="AX77" s="45">
        <v>23209.7</v>
      </c>
      <c r="AY77" s="45">
        <v>23209.7</v>
      </c>
      <c r="AZ77" s="45">
        <v>6962.91</v>
      </c>
      <c r="BA77" s="45">
        <v>6962.91</v>
      </c>
      <c r="BB77" s="45">
        <v>0</v>
      </c>
      <c r="BC77" s="45">
        <v>0</v>
      </c>
      <c r="BD77" s="45">
        <v>0</v>
      </c>
      <c r="BE77" s="45">
        <v>0</v>
      </c>
      <c r="BF77" s="45">
        <v>0</v>
      </c>
      <c r="BG77" s="45">
        <v>0</v>
      </c>
      <c r="BH77" s="45">
        <v>0</v>
      </c>
      <c r="BI77" s="45">
        <v>0</v>
      </c>
      <c r="BJ77" s="45">
        <v>0</v>
      </c>
      <c r="BK77" s="45">
        <v>0</v>
      </c>
    </row>
    <row r="78" spans="1:63" ht="13">
      <c r="A78" s="282" t="s">
        <v>269</v>
      </c>
      <c r="B78" s="287" t="s">
        <v>76</v>
      </c>
      <c r="C78" s="290" t="s">
        <v>272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296">
        <v>0</v>
      </c>
      <c r="R78" s="296">
        <v>0</v>
      </c>
      <c r="S78" s="296">
        <v>0</v>
      </c>
      <c r="T78" s="296">
        <v>0</v>
      </c>
      <c r="U78" s="296">
        <v>0</v>
      </c>
      <c r="V78" s="296">
        <v>0</v>
      </c>
      <c r="W78" s="49">
        <v>7751</v>
      </c>
      <c r="X78" s="49">
        <v>7751</v>
      </c>
      <c r="Y78" s="49">
        <v>7751</v>
      </c>
      <c r="Z78" s="49">
        <v>7751</v>
      </c>
      <c r="AA78" s="49">
        <v>7751</v>
      </c>
      <c r="AB78" s="49">
        <v>7751</v>
      </c>
      <c r="AC78" s="49">
        <v>7751</v>
      </c>
      <c r="AD78" s="49">
        <v>7751</v>
      </c>
      <c r="AE78" s="49">
        <v>7751</v>
      </c>
      <c r="AF78" s="49">
        <v>7751</v>
      </c>
      <c r="AG78" s="49">
        <v>7751</v>
      </c>
      <c r="AH78" s="49">
        <v>7751</v>
      </c>
      <c r="AI78" s="49">
        <v>7751</v>
      </c>
      <c r="AJ78" s="49">
        <v>7751</v>
      </c>
      <c r="AK78" s="49">
        <v>7751</v>
      </c>
      <c r="AL78" s="49">
        <v>7751</v>
      </c>
      <c r="AM78" s="49">
        <v>7751</v>
      </c>
      <c r="AN78" s="49">
        <v>15501.44</v>
      </c>
      <c r="AO78" s="49">
        <v>15501.44</v>
      </c>
      <c r="AP78" s="49">
        <v>15501.44</v>
      </c>
      <c r="AQ78" s="49">
        <v>15501.44</v>
      </c>
      <c r="AR78" s="49">
        <v>15501.44</v>
      </c>
      <c r="AS78" s="49">
        <v>15501.44</v>
      </c>
      <c r="AT78" s="49">
        <v>15501.44</v>
      </c>
      <c r="AU78" s="49">
        <v>15501.44</v>
      </c>
      <c r="AV78" s="49">
        <v>15501.44</v>
      </c>
      <c r="AW78" s="49">
        <v>15501.44</v>
      </c>
      <c r="AX78" s="49">
        <v>15501.44</v>
      </c>
      <c r="AY78" s="49">
        <v>15501.44</v>
      </c>
      <c r="AZ78" s="49">
        <v>15501.44</v>
      </c>
      <c r="BA78" s="49">
        <v>15501.44</v>
      </c>
      <c r="BB78" s="49">
        <v>15597.159900000004</v>
      </c>
      <c r="BC78" s="49">
        <v>15597.159900000004</v>
      </c>
      <c r="BD78" s="49">
        <v>15597.159900000004</v>
      </c>
      <c r="BE78" s="49">
        <v>15597.159900000004</v>
      </c>
      <c r="BF78" s="49">
        <v>15597.159900000004</v>
      </c>
      <c r="BG78" s="49">
        <v>15597.159900000004</v>
      </c>
      <c r="BH78" s="49">
        <v>15597.159900000004</v>
      </c>
      <c r="BI78" s="49">
        <v>15597.159900000004</v>
      </c>
      <c r="BJ78" s="49">
        <v>15597.159900000004</v>
      </c>
      <c r="BK78" s="49">
        <v>15597.159900000004</v>
      </c>
    </row>
    <row r="79" spans="1:63" s="291" customFormat="1" ht="13">
      <c r="A79" s="291" t="s">
        <v>270</v>
      </c>
      <c r="B79" s="291" t="s">
        <v>76</v>
      </c>
      <c r="C79" s="292" t="s">
        <v>273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295">
        <v>0</v>
      </c>
      <c r="R79" s="295">
        <v>0</v>
      </c>
      <c r="S79" s="295">
        <v>0</v>
      </c>
      <c r="T79" s="295">
        <v>0</v>
      </c>
      <c r="U79" s="295">
        <v>0</v>
      </c>
      <c r="V79" s="295">
        <v>0</v>
      </c>
      <c r="W79" s="45">
        <v>4421.21</v>
      </c>
      <c r="X79" s="45">
        <v>4421.21</v>
      </c>
      <c r="Y79" s="45">
        <v>4421.21</v>
      </c>
      <c r="Z79" s="45">
        <v>4421.21</v>
      </c>
      <c r="AA79" s="45">
        <v>4421.21</v>
      </c>
      <c r="AB79" s="45">
        <v>4421.21</v>
      </c>
      <c r="AC79" s="45">
        <v>4421.21</v>
      </c>
      <c r="AD79" s="45">
        <v>4421.21</v>
      </c>
      <c r="AE79" s="45">
        <v>4421.21</v>
      </c>
      <c r="AF79" s="45">
        <v>4421.21</v>
      </c>
      <c r="AG79" s="45">
        <v>4421.21</v>
      </c>
      <c r="AH79" s="45">
        <v>4421.21</v>
      </c>
      <c r="AI79" s="45">
        <v>4421.21</v>
      </c>
      <c r="AJ79" s="45">
        <v>4421.21</v>
      </c>
      <c r="AK79" s="45">
        <v>4421.21</v>
      </c>
      <c r="AL79" s="45">
        <v>4421.21</v>
      </c>
      <c r="AM79" s="45">
        <v>4421.21</v>
      </c>
      <c r="AN79" s="45">
        <v>4421.21</v>
      </c>
      <c r="AO79" s="45">
        <v>4421.21</v>
      </c>
      <c r="AP79" s="45">
        <v>4421.21</v>
      </c>
      <c r="AQ79" s="45">
        <v>4421.21</v>
      </c>
      <c r="AR79" s="45">
        <v>4421.21</v>
      </c>
      <c r="AS79" s="45">
        <v>4421.21</v>
      </c>
      <c r="AT79" s="45">
        <v>4421.21</v>
      </c>
      <c r="AU79" s="45">
        <v>4421.21</v>
      </c>
      <c r="AV79" s="45">
        <v>4421.21</v>
      </c>
      <c r="AW79" s="45">
        <v>4421.21</v>
      </c>
      <c r="AX79" s="45">
        <v>4421.21</v>
      </c>
      <c r="AY79" s="45">
        <v>4421.21</v>
      </c>
      <c r="AZ79" s="45">
        <v>4421.21</v>
      </c>
      <c r="BA79" s="45">
        <v>4421.21</v>
      </c>
      <c r="BB79" s="45">
        <v>4421.21</v>
      </c>
      <c r="BC79" s="45">
        <v>4421.21</v>
      </c>
      <c r="BD79" s="45">
        <v>4421.21</v>
      </c>
      <c r="BE79" s="45">
        <v>4421.21</v>
      </c>
      <c r="BF79" s="45">
        <v>4421.21</v>
      </c>
      <c r="BG79" s="45">
        <v>0</v>
      </c>
      <c r="BH79" s="45">
        <v>0</v>
      </c>
      <c r="BI79" s="45">
        <v>0</v>
      </c>
      <c r="BJ79" s="45">
        <v>0</v>
      </c>
      <c r="BK79" s="45">
        <v>0</v>
      </c>
    </row>
    <row r="80" spans="1:63" ht="13">
      <c r="A80" s="282" t="s">
        <v>271</v>
      </c>
      <c r="B80" s="287" t="s">
        <v>76</v>
      </c>
      <c r="C80" s="290" t="s">
        <v>81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296">
        <v>0</v>
      </c>
      <c r="R80" s="296">
        <v>0</v>
      </c>
      <c r="S80" s="296">
        <v>0</v>
      </c>
      <c r="T80" s="296">
        <v>0</v>
      </c>
      <c r="U80" s="296">
        <v>0</v>
      </c>
      <c r="V80" s="296">
        <v>0</v>
      </c>
      <c r="W80" s="49">
        <v>45577</v>
      </c>
      <c r="X80" s="49">
        <v>45577</v>
      </c>
      <c r="Y80" s="49">
        <v>45577</v>
      </c>
      <c r="Z80" s="49">
        <v>45577</v>
      </c>
      <c r="AA80" s="49">
        <v>45577</v>
      </c>
      <c r="AB80" s="49">
        <v>45577</v>
      </c>
      <c r="AC80" s="49">
        <v>45577</v>
      </c>
      <c r="AD80" s="49">
        <v>45577</v>
      </c>
      <c r="AE80" s="49">
        <v>45577</v>
      </c>
      <c r="AF80" s="49">
        <v>45577</v>
      </c>
      <c r="AG80" s="49">
        <v>45577</v>
      </c>
      <c r="AH80" s="49">
        <v>45577</v>
      </c>
      <c r="AI80" s="49">
        <v>45577</v>
      </c>
      <c r="AJ80" s="49">
        <v>45577</v>
      </c>
      <c r="AK80" s="49">
        <v>45577</v>
      </c>
      <c r="AL80" s="49">
        <v>45577</v>
      </c>
      <c r="AM80" s="49">
        <v>45577</v>
      </c>
      <c r="AN80" s="49">
        <v>45577</v>
      </c>
      <c r="AO80" s="49">
        <v>45577</v>
      </c>
      <c r="AP80" s="49">
        <v>45577</v>
      </c>
      <c r="AQ80" s="49">
        <v>45577</v>
      </c>
      <c r="AR80" s="49">
        <v>45577</v>
      </c>
      <c r="AS80" s="49">
        <v>45577</v>
      </c>
      <c r="AT80" s="49">
        <v>45577</v>
      </c>
      <c r="AU80" s="49">
        <v>45577</v>
      </c>
      <c r="AV80" s="49">
        <v>45577</v>
      </c>
      <c r="AW80" s="49">
        <v>45577</v>
      </c>
      <c r="AX80" s="49">
        <v>45577</v>
      </c>
      <c r="AY80" s="49">
        <v>45577</v>
      </c>
      <c r="AZ80" s="49">
        <v>45577</v>
      </c>
      <c r="BA80" s="49">
        <v>45577</v>
      </c>
      <c r="BB80" s="49">
        <v>46886.659999999996</v>
      </c>
      <c r="BC80" s="49">
        <v>46886.659999999996</v>
      </c>
      <c r="BD80" s="49">
        <v>46886.659999999996</v>
      </c>
      <c r="BE80" s="49">
        <v>46886.659999999996</v>
      </c>
      <c r="BF80" s="49">
        <v>46886.659999999996</v>
      </c>
      <c r="BG80" s="49">
        <v>46886.659999999996</v>
      </c>
      <c r="BH80" s="49">
        <v>46886.659999999996</v>
      </c>
      <c r="BI80" s="49">
        <v>46886.659999999996</v>
      </c>
      <c r="BJ80" s="49">
        <v>46886.659999999996</v>
      </c>
      <c r="BK80" s="49">
        <v>46886.659999999996</v>
      </c>
    </row>
    <row r="81" spans="1:63" s="291" customFormat="1" ht="13">
      <c r="A81" s="291" t="s">
        <v>274</v>
      </c>
      <c r="B81" s="291" t="s">
        <v>144</v>
      </c>
      <c r="C81" s="292" t="s">
        <v>284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295">
        <v>0</v>
      </c>
      <c r="R81" s="295">
        <v>0</v>
      </c>
      <c r="S81" s="295">
        <v>0</v>
      </c>
      <c r="T81" s="295">
        <v>0</v>
      </c>
      <c r="U81" s="295">
        <v>0</v>
      </c>
      <c r="V81" s="295">
        <v>0</v>
      </c>
      <c r="W81" s="45">
        <v>36238.839999999997</v>
      </c>
      <c r="X81" s="45">
        <v>36238.839999999997</v>
      </c>
      <c r="Y81" s="45">
        <v>36238.839999999997</v>
      </c>
      <c r="Z81" s="45">
        <v>36238.839999999997</v>
      </c>
      <c r="AA81" s="45">
        <v>36238.839999999997</v>
      </c>
      <c r="AB81" s="45">
        <v>36238.839999999997</v>
      </c>
      <c r="AC81" s="45">
        <v>36238.839999999997</v>
      </c>
      <c r="AD81" s="45">
        <v>36238.839999999997</v>
      </c>
      <c r="AE81" s="45">
        <v>36238.839999999997</v>
      </c>
      <c r="AF81" s="45">
        <v>0</v>
      </c>
      <c r="AG81" s="45">
        <v>0</v>
      </c>
      <c r="AH81" s="45">
        <v>0</v>
      </c>
      <c r="AI81" s="45">
        <v>0</v>
      </c>
      <c r="AJ81" s="45">
        <v>0</v>
      </c>
      <c r="AK81" s="45">
        <v>0</v>
      </c>
      <c r="AL81" s="45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5">
        <v>0</v>
      </c>
      <c r="AU81" s="45">
        <v>0</v>
      </c>
      <c r="AV81" s="45">
        <v>0</v>
      </c>
      <c r="AW81" s="45">
        <v>0</v>
      </c>
      <c r="AX81" s="45">
        <v>0</v>
      </c>
      <c r="AY81" s="45">
        <v>0</v>
      </c>
      <c r="AZ81" s="45">
        <v>0</v>
      </c>
      <c r="BA81" s="45">
        <v>0</v>
      </c>
      <c r="BB81" s="45">
        <v>0</v>
      </c>
      <c r="BC81" s="45">
        <v>0</v>
      </c>
      <c r="BD81" s="45">
        <v>0</v>
      </c>
      <c r="BE81" s="45">
        <v>0</v>
      </c>
      <c r="BF81" s="45">
        <v>0</v>
      </c>
      <c r="BG81" s="45">
        <v>0</v>
      </c>
      <c r="BH81" s="45">
        <v>0</v>
      </c>
      <c r="BI81" s="45">
        <v>0</v>
      </c>
      <c r="BJ81" s="45">
        <v>0</v>
      </c>
      <c r="BK81" s="45">
        <v>0</v>
      </c>
    </row>
    <row r="82" spans="1:63" s="291" customFormat="1" ht="13">
      <c r="A82" s="291" t="s">
        <v>275</v>
      </c>
      <c r="B82" s="291" t="s">
        <v>144</v>
      </c>
      <c r="C82" s="292" t="s">
        <v>284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295">
        <v>0</v>
      </c>
      <c r="R82" s="295">
        <v>0</v>
      </c>
      <c r="S82" s="295">
        <v>0</v>
      </c>
      <c r="T82" s="295">
        <v>0</v>
      </c>
      <c r="U82" s="295">
        <v>0</v>
      </c>
      <c r="V82" s="295">
        <v>0</v>
      </c>
      <c r="W82" s="45">
        <v>29864.15</v>
      </c>
      <c r="X82" s="45">
        <v>29864.15</v>
      </c>
      <c r="Y82" s="45">
        <v>29864.15</v>
      </c>
      <c r="Z82" s="45">
        <v>29864.15</v>
      </c>
      <c r="AA82" s="45">
        <v>29864.15</v>
      </c>
      <c r="AB82" s="45">
        <v>29864.15</v>
      </c>
      <c r="AC82" s="45">
        <v>29864.15</v>
      </c>
      <c r="AD82" s="45">
        <v>29864.15</v>
      </c>
      <c r="AE82" s="45">
        <v>29864.15</v>
      </c>
      <c r="AF82" s="45">
        <v>29864.15</v>
      </c>
      <c r="AG82" s="45">
        <v>29864.15</v>
      </c>
      <c r="AH82" s="45">
        <v>29864.15</v>
      </c>
      <c r="AI82" s="45">
        <v>29864.15</v>
      </c>
      <c r="AJ82" s="45">
        <v>29864.15</v>
      </c>
      <c r="AK82" s="45">
        <v>29864.15</v>
      </c>
      <c r="AL82" s="45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5">
        <v>0</v>
      </c>
      <c r="AU82" s="45">
        <v>0</v>
      </c>
      <c r="AV82" s="45">
        <v>0</v>
      </c>
      <c r="AW82" s="45">
        <v>0</v>
      </c>
      <c r="AX82" s="45">
        <v>0</v>
      </c>
      <c r="AY82" s="45">
        <v>0</v>
      </c>
      <c r="AZ82" s="45">
        <v>0</v>
      </c>
      <c r="BA82" s="45">
        <v>0</v>
      </c>
      <c r="BB82" s="45">
        <v>0</v>
      </c>
      <c r="BC82" s="45">
        <v>0</v>
      </c>
      <c r="BD82" s="45">
        <v>0</v>
      </c>
      <c r="BE82" s="45">
        <v>0</v>
      </c>
      <c r="BF82" s="45">
        <v>0</v>
      </c>
      <c r="BG82" s="45">
        <v>0</v>
      </c>
      <c r="BH82" s="45">
        <v>0</v>
      </c>
      <c r="BI82" s="45">
        <v>0</v>
      </c>
      <c r="BJ82" s="45">
        <v>0</v>
      </c>
      <c r="BK82" s="45">
        <v>0</v>
      </c>
    </row>
    <row r="83" spans="1:63" s="291" customFormat="1" ht="13">
      <c r="A83" s="291" t="s">
        <v>276</v>
      </c>
      <c r="B83" s="291" t="s">
        <v>144</v>
      </c>
      <c r="C83" s="292" t="s">
        <v>284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295">
        <v>0</v>
      </c>
      <c r="R83" s="295">
        <v>0</v>
      </c>
      <c r="S83" s="295">
        <v>0</v>
      </c>
      <c r="T83" s="295">
        <v>0</v>
      </c>
      <c r="U83" s="295">
        <v>0</v>
      </c>
      <c r="V83" s="295">
        <v>0</v>
      </c>
      <c r="W83" s="45">
        <v>5710.15</v>
      </c>
      <c r="X83" s="45">
        <v>5710.15</v>
      </c>
      <c r="Y83" s="45">
        <v>5710.15</v>
      </c>
      <c r="Z83" s="45">
        <v>5710.15</v>
      </c>
      <c r="AA83" s="45">
        <v>5710.15</v>
      </c>
      <c r="AB83" s="45">
        <v>5710.15</v>
      </c>
      <c r="AC83" s="45">
        <v>5710.15</v>
      </c>
      <c r="AD83" s="45">
        <v>5710.15</v>
      </c>
      <c r="AE83" s="45">
        <v>5710.15</v>
      </c>
      <c r="AF83" s="45">
        <v>0</v>
      </c>
      <c r="AG83" s="45">
        <v>0</v>
      </c>
      <c r="AH83" s="45">
        <v>0</v>
      </c>
      <c r="AI83" s="45">
        <v>0</v>
      </c>
      <c r="AJ83" s="45">
        <v>0</v>
      </c>
      <c r="AK83" s="45">
        <v>0</v>
      </c>
      <c r="AL83" s="45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5">
        <v>0</v>
      </c>
      <c r="AU83" s="45">
        <v>0</v>
      </c>
      <c r="AV83" s="45">
        <v>0</v>
      </c>
      <c r="AW83" s="45">
        <v>0</v>
      </c>
      <c r="AX83" s="45">
        <v>0</v>
      </c>
      <c r="AY83" s="45">
        <v>0</v>
      </c>
      <c r="AZ83" s="45">
        <v>0</v>
      </c>
      <c r="BA83" s="45">
        <v>0</v>
      </c>
      <c r="BB83" s="45">
        <v>0</v>
      </c>
      <c r="BC83" s="45">
        <v>0</v>
      </c>
      <c r="BD83" s="45">
        <v>0</v>
      </c>
      <c r="BE83" s="45">
        <v>0</v>
      </c>
      <c r="BF83" s="45">
        <v>0</v>
      </c>
      <c r="BG83" s="45">
        <v>0</v>
      </c>
      <c r="BH83" s="45">
        <v>0</v>
      </c>
      <c r="BI83" s="45">
        <v>0</v>
      </c>
      <c r="BJ83" s="45">
        <v>0</v>
      </c>
      <c r="BK83" s="45">
        <v>0</v>
      </c>
    </row>
    <row r="84" spans="1:63" s="291" customFormat="1" ht="13">
      <c r="A84" s="291" t="s">
        <v>277</v>
      </c>
      <c r="B84" s="291" t="s">
        <v>144</v>
      </c>
      <c r="C84" s="292" t="s">
        <v>79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295">
        <v>0</v>
      </c>
      <c r="R84" s="295">
        <v>0</v>
      </c>
      <c r="S84" s="295">
        <v>0</v>
      </c>
      <c r="T84" s="295">
        <v>0</v>
      </c>
      <c r="U84" s="295">
        <v>0</v>
      </c>
      <c r="V84" s="295">
        <v>0</v>
      </c>
      <c r="W84" s="45">
        <v>112500.662</v>
      </c>
      <c r="X84" s="45">
        <v>112500.662</v>
      </c>
      <c r="Y84" s="45">
        <v>112500.662</v>
      </c>
      <c r="Z84" s="45">
        <v>112500.662</v>
      </c>
      <c r="AA84" s="45">
        <v>112500.662</v>
      </c>
      <c r="AB84" s="45">
        <v>112500.662</v>
      </c>
      <c r="AC84" s="45">
        <v>112500.662</v>
      </c>
      <c r="AD84" s="45">
        <v>112500.662</v>
      </c>
      <c r="AE84" s="45">
        <v>112500.662</v>
      </c>
      <c r="AF84" s="45">
        <v>112500.662</v>
      </c>
      <c r="AG84" s="45">
        <v>112500.662</v>
      </c>
      <c r="AH84" s="45">
        <v>112500.662</v>
      </c>
      <c r="AI84" s="45">
        <v>112500.662</v>
      </c>
      <c r="AJ84" s="45">
        <v>112500.662</v>
      </c>
      <c r="AK84" s="45">
        <v>112500.662</v>
      </c>
      <c r="AL84" s="45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5">
        <v>0</v>
      </c>
      <c r="AU84" s="45">
        <v>0</v>
      </c>
      <c r="AV84" s="45">
        <v>0</v>
      </c>
      <c r="AW84" s="45">
        <v>0</v>
      </c>
      <c r="AX84" s="45">
        <v>0</v>
      </c>
      <c r="AY84" s="45">
        <v>0</v>
      </c>
      <c r="AZ84" s="45">
        <v>0</v>
      </c>
      <c r="BA84" s="45">
        <v>0</v>
      </c>
      <c r="BB84" s="45">
        <v>0</v>
      </c>
      <c r="BC84" s="45">
        <v>0</v>
      </c>
      <c r="BD84" s="45">
        <v>0</v>
      </c>
      <c r="BE84" s="45">
        <v>0</v>
      </c>
      <c r="BF84" s="45">
        <v>0</v>
      </c>
      <c r="BG84" s="45">
        <v>0</v>
      </c>
      <c r="BH84" s="45">
        <v>0</v>
      </c>
      <c r="BI84" s="45">
        <v>0</v>
      </c>
      <c r="BJ84" s="45">
        <v>0</v>
      </c>
      <c r="BK84" s="45">
        <v>0</v>
      </c>
    </row>
    <row r="85" spans="1:63" s="291" customFormat="1" ht="13">
      <c r="A85" s="291" t="s">
        <v>278</v>
      </c>
      <c r="B85" s="291" t="s">
        <v>144</v>
      </c>
      <c r="C85" s="292" t="s">
        <v>79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295">
        <v>0</v>
      </c>
      <c r="R85" s="295">
        <v>0</v>
      </c>
      <c r="S85" s="295">
        <v>0</v>
      </c>
      <c r="T85" s="295">
        <v>0</v>
      </c>
      <c r="U85" s="295">
        <v>0</v>
      </c>
      <c r="V85" s="295">
        <v>0</v>
      </c>
      <c r="W85" s="45">
        <v>47353.47</v>
      </c>
      <c r="X85" s="45">
        <v>47353.47</v>
      </c>
      <c r="Y85" s="45">
        <v>47353.47</v>
      </c>
      <c r="Z85" s="45">
        <v>47353.47</v>
      </c>
      <c r="AA85" s="45">
        <v>47353.47</v>
      </c>
      <c r="AB85" s="45">
        <v>47353.47</v>
      </c>
      <c r="AC85" s="45">
        <v>47353.47</v>
      </c>
      <c r="AD85" s="45">
        <v>47353.47</v>
      </c>
      <c r="AE85" s="45">
        <v>47353.47</v>
      </c>
      <c r="AF85" s="45">
        <v>47353.47</v>
      </c>
      <c r="AG85" s="45">
        <v>47353.47</v>
      </c>
      <c r="AH85" s="45">
        <v>47353.47</v>
      </c>
      <c r="AI85" s="45">
        <v>47353.47</v>
      </c>
      <c r="AJ85" s="45">
        <v>47353.47</v>
      </c>
      <c r="AK85" s="45">
        <v>47353.47</v>
      </c>
      <c r="AL85" s="45">
        <v>47353.47</v>
      </c>
      <c r="AM85" s="45">
        <v>47353.47</v>
      </c>
      <c r="AN85" s="45">
        <v>47353.47</v>
      </c>
      <c r="AO85" s="45">
        <v>47353.47</v>
      </c>
      <c r="AP85" s="45">
        <v>47353.47</v>
      </c>
      <c r="AQ85" s="45">
        <v>0</v>
      </c>
      <c r="AR85" s="45">
        <v>0</v>
      </c>
      <c r="AS85" s="45">
        <v>0</v>
      </c>
      <c r="AT85" s="45">
        <v>0</v>
      </c>
      <c r="AU85" s="45">
        <v>0</v>
      </c>
      <c r="AV85" s="45">
        <v>0</v>
      </c>
      <c r="AW85" s="45">
        <v>0</v>
      </c>
      <c r="AX85" s="45">
        <v>0</v>
      </c>
      <c r="AY85" s="45">
        <v>0</v>
      </c>
      <c r="AZ85" s="45">
        <v>0</v>
      </c>
      <c r="BA85" s="45">
        <v>0</v>
      </c>
      <c r="BB85" s="45">
        <v>0</v>
      </c>
      <c r="BC85" s="45">
        <v>0</v>
      </c>
      <c r="BD85" s="45">
        <v>0</v>
      </c>
      <c r="BE85" s="45">
        <v>0</v>
      </c>
      <c r="BF85" s="45">
        <v>0</v>
      </c>
      <c r="BG85" s="45">
        <v>0</v>
      </c>
      <c r="BH85" s="45">
        <v>0</v>
      </c>
      <c r="BI85" s="45">
        <v>0</v>
      </c>
      <c r="BJ85" s="45">
        <v>0</v>
      </c>
      <c r="BK85" s="45">
        <v>0</v>
      </c>
    </row>
    <row r="86" spans="1:63" s="291" customFormat="1" ht="13">
      <c r="A86" s="291" t="s">
        <v>279</v>
      </c>
      <c r="B86" s="291" t="s">
        <v>144</v>
      </c>
      <c r="C86" s="292" t="s">
        <v>79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295">
        <v>0</v>
      </c>
      <c r="R86" s="295">
        <v>0</v>
      </c>
      <c r="S86" s="295">
        <v>0</v>
      </c>
      <c r="T86" s="295">
        <v>0</v>
      </c>
      <c r="U86" s="295">
        <v>0</v>
      </c>
      <c r="V86" s="295">
        <v>0</v>
      </c>
      <c r="W86" s="45">
        <v>12340</v>
      </c>
      <c r="X86" s="45">
        <v>12340</v>
      </c>
      <c r="Y86" s="45">
        <v>12340</v>
      </c>
      <c r="Z86" s="45">
        <v>12340</v>
      </c>
      <c r="AA86" s="45">
        <v>12340</v>
      </c>
      <c r="AB86" s="45">
        <v>12340</v>
      </c>
      <c r="AC86" s="45">
        <v>12340</v>
      </c>
      <c r="AD86" s="45">
        <v>12340</v>
      </c>
      <c r="AE86" s="45">
        <v>12340</v>
      </c>
      <c r="AF86" s="45">
        <v>0</v>
      </c>
      <c r="AG86" s="45">
        <v>0</v>
      </c>
      <c r="AH86" s="45">
        <v>0</v>
      </c>
      <c r="AI86" s="45">
        <v>0</v>
      </c>
      <c r="AJ86" s="45">
        <v>0</v>
      </c>
      <c r="AK86" s="45">
        <v>0</v>
      </c>
      <c r="AL86" s="45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5">
        <v>0</v>
      </c>
      <c r="AU86" s="45">
        <v>0</v>
      </c>
      <c r="AV86" s="45">
        <v>0</v>
      </c>
      <c r="AW86" s="45">
        <v>0</v>
      </c>
      <c r="AX86" s="45">
        <v>0</v>
      </c>
      <c r="AY86" s="45">
        <v>0</v>
      </c>
      <c r="AZ86" s="45">
        <v>0</v>
      </c>
      <c r="BA86" s="45">
        <v>0</v>
      </c>
      <c r="BB86" s="45">
        <v>0</v>
      </c>
      <c r="BC86" s="45">
        <v>0</v>
      </c>
      <c r="BD86" s="45">
        <v>0</v>
      </c>
      <c r="BE86" s="45">
        <v>0</v>
      </c>
      <c r="BF86" s="45">
        <v>0</v>
      </c>
      <c r="BG86" s="45">
        <v>0</v>
      </c>
      <c r="BH86" s="45">
        <v>0</v>
      </c>
      <c r="BI86" s="45">
        <v>0</v>
      </c>
      <c r="BJ86" s="45">
        <v>0</v>
      </c>
      <c r="BK86" s="45">
        <v>0</v>
      </c>
    </row>
    <row r="87" spans="1:63" ht="13">
      <c r="A87" s="291" t="s">
        <v>280</v>
      </c>
      <c r="B87" s="291" t="s">
        <v>144</v>
      </c>
      <c r="C87" s="292" t="s">
        <v>272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295">
        <v>0</v>
      </c>
      <c r="R87" s="295">
        <v>0</v>
      </c>
      <c r="S87" s="295">
        <v>0</v>
      </c>
      <c r="T87" s="295">
        <v>0</v>
      </c>
      <c r="U87" s="295">
        <v>0</v>
      </c>
      <c r="V87" s="295">
        <v>0</v>
      </c>
      <c r="W87" s="45">
        <v>38947</v>
      </c>
      <c r="X87" s="45">
        <v>38947</v>
      </c>
      <c r="Y87" s="45">
        <v>38947</v>
      </c>
      <c r="Z87" s="45">
        <v>38947</v>
      </c>
      <c r="AA87" s="45">
        <v>38947</v>
      </c>
      <c r="AB87" s="45">
        <v>38947</v>
      </c>
      <c r="AC87" s="45">
        <v>38947</v>
      </c>
      <c r="AD87" s="45">
        <v>38947</v>
      </c>
      <c r="AE87" s="45">
        <v>38947</v>
      </c>
      <c r="AF87" s="45">
        <v>38947</v>
      </c>
      <c r="AG87" s="45">
        <v>38947</v>
      </c>
      <c r="AH87" s="45">
        <v>38947</v>
      </c>
      <c r="AI87" s="45">
        <v>38947</v>
      </c>
      <c r="AJ87" s="45">
        <v>38947</v>
      </c>
      <c r="AK87" s="45">
        <v>38947</v>
      </c>
      <c r="AL87" s="45">
        <v>38947</v>
      </c>
      <c r="AM87" s="45">
        <v>38947</v>
      </c>
      <c r="AN87" s="45">
        <v>38947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5">
        <v>0</v>
      </c>
      <c r="AU87" s="45">
        <v>0</v>
      </c>
      <c r="AV87" s="45">
        <v>0</v>
      </c>
      <c r="AW87" s="45">
        <v>0</v>
      </c>
      <c r="AX87" s="45">
        <v>0</v>
      </c>
      <c r="AY87" s="45">
        <v>0</v>
      </c>
      <c r="AZ87" s="45">
        <v>0</v>
      </c>
      <c r="BA87" s="45">
        <v>0</v>
      </c>
      <c r="BB87" s="45">
        <v>0</v>
      </c>
      <c r="BC87" s="45">
        <v>0</v>
      </c>
      <c r="BD87" s="45">
        <v>0</v>
      </c>
      <c r="BE87" s="45">
        <v>0</v>
      </c>
      <c r="BF87" s="45">
        <v>0</v>
      </c>
      <c r="BG87" s="45">
        <v>0</v>
      </c>
      <c r="BH87" s="45">
        <v>0</v>
      </c>
      <c r="BI87" s="45">
        <v>0</v>
      </c>
      <c r="BJ87" s="45">
        <v>0</v>
      </c>
      <c r="BK87" s="45">
        <v>0</v>
      </c>
    </row>
    <row r="88" spans="1:63" s="291" customFormat="1" ht="13">
      <c r="A88" s="291" t="s">
        <v>281</v>
      </c>
      <c r="B88" s="291" t="s">
        <v>144</v>
      </c>
      <c r="C88" s="292" t="s">
        <v>81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295">
        <v>0</v>
      </c>
      <c r="R88" s="295">
        <v>0</v>
      </c>
      <c r="S88" s="295">
        <v>0</v>
      </c>
      <c r="T88" s="295">
        <v>0</v>
      </c>
      <c r="U88" s="295">
        <v>0</v>
      </c>
      <c r="V88" s="295">
        <v>0</v>
      </c>
      <c r="W88" s="45">
        <v>46423.839999999997</v>
      </c>
      <c r="X88" s="45">
        <v>46423.839999999997</v>
      </c>
      <c r="Y88" s="45">
        <v>46423.839999999997</v>
      </c>
      <c r="Z88" s="45">
        <v>46423.839999999997</v>
      </c>
      <c r="AA88" s="45">
        <v>46423.839999999997</v>
      </c>
      <c r="AB88" s="45">
        <v>46423.839999999997</v>
      </c>
      <c r="AC88" s="45">
        <v>46423.839999999997</v>
      </c>
      <c r="AD88" s="45">
        <v>46423.839999999997</v>
      </c>
      <c r="AE88" s="45">
        <v>46423.839999999997</v>
      </c>
      <c r="AF88" s="45">
        <v>0</v>
      </c>
      <c r="AG88" s="45">
        <v>0</v>
      </c>
      <c r="AH88" s="45">
        <v>0</v>
      </c>
      <c r="AI88" s="45">
        <v>0</v>
      </c>
      <c r="AJ88" s="45">
        <v>0</v>
      </c>
      <c r="AK88" s="45">
        <v>0</v>
      </c>
      <c r="AL88" s="45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5">
        <v>0</v>
      </c>
      <c r="AU88" s="45">
        <v>0</v>
      </c>
      <c r="AV88" s="45">
        <v>0</v>
      </c>
      <c r="AW88" s="45">
        <v>0</v>
      </c>
      <c r="AX88" s="45">
        <v>0</v>
      </c>
      <c r="AY88" s="45">
        <v>0</v>
      </c>
      <c r="AZ88" s="45">
        <v>0</v>
      </c>
      <c r="BA88" s="45">
        <v>0</v>
      </c>
      <c r="BB88" s="45">
        <v>0</v>
      </c>
      <c r="BC88" s="45">
        <v>0</v>
      </c>
      <c r="BD88" s="45">
        <v>0</v>
      </c>
      <c r="BE88" s="45">
        <v>0</v>
      </c>
      <c r="BF88" s="45">
        <v>0</v>
      </c>
      <c r="BG88" s="45">
        <v>0</v>
      </c>
      <c r="BH88" s="45">
        <v>0</v>
      </c>
      <c r="BI88" s="45">
        <v>0</v>
      </c>
      <c r="BJ88" s="45">
        <v>0</v>
      </c>
      <c r="BK88" s="45">
        <v>0</v>
      </c>
    </row>
    <row r="89" spans="1:63" s="291" customFormat="1" ht="13">
      <c r="A89" s="291" t="s">
        <v>282</v>
      </c>
      <c r="B89" s="291" t="s">
        <v>144</v>
      </c>
      <c r="C89" s="292" t="s">
        <v>81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295">
        <v>0</v>
      </c>
      <c r="R89" s="295">
        <v>0</v>
      </c>
      <c r="S89" s="295">
        <v>0</v>
      </c>
      <c r="T89" s="295">
        <v>0</v>
      </c>
      <c r="U89" s="295">
        <v>0</v>
      </c>
      <c r="V89" s="295">
        <v>0</v>
      </c>
      <c r="W89" s="45">
        <v>23867.35</v>
      </c>
      <c r="X89" s="45">
        <v>23867.35</v>
      </c>
      <c r="Y89" s="45">
        <v>23867.35</v>
      </c>
      <c r="Z89" s="45">
        <v>23867.35</v>
      </c>
      <c r="AA89" s="45">
        <v>23867.35</v>
      </c>
      <c r="AB89" s="45">
        <v>23867.35</v>
      </c>
      <c r="AC89" s="45">
        <v>23867.35</v>
      </c>
      <c r="AD89" s="45">
        <v>23867.35</v>
      </c>
      <c r="AE89" s="45">
        <v>23867.35</v>
      </c>
      <c r="AF89" s="45">
        <v>0</v>
      </c>
      <c r="AG89" s="45">
        <v>0</v>
      </c>
      <c r="AH89" s="45">
        <v>0</v>
      </c>
      <c r="AI89" s="45">
        <v>0</v>
      </c>
      <c r="AJ89" s="45">
        <v>0</v>
      </c>
      <c r="AK89" s="45">
        <v>0</v>
      </c>
      <c r="AL89" s="45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5">
        <v>0</v>
      </c>
      <c r="AU89" s="45">
        <v>0</v>
      </c>
      <c r="AV89" s="45">
        <v>0</v>
      </c>
      <c r="AW89" s="45">
        <v>0</v>
      </c>
      <c r="AX89" s="45">
        <v>0</v>
      </c>
      <c r="AY89" s="45">
        <v>0</v>
      </c>
      <c r="AZ89" s="45">
        <v>0</v>
      </c>
      <c r="BA89" s="45">
        <v>0</v>
      </c>
      <c r="BB89" s="45">
        <v>0</v>
      </c>
      <c r="BC89" s="45">
        <v>0</v>
      </c>
      <c r="BD89" s="45">
        <v>0</v>
      </c>
      <c r="BE89" s="45">
        <v>0</v>
      </c>
      <c r="BF89" s="45">
        <v>0</v>
      </c>
      <c r="BG89" s="45">
        <v>0</v>
      </c>
      <c r="BH89" s="45">
        <v>0</v>
      </c>
      <c r="BI89" s="45">
        <v>0</v>
      </c>
      <c r="BJ89" s="45">
        <v>0</v>
      </c>
      <c r="BK89" s="45">
        <v>0</v>
      </c>
    </row>
    <row r="90" spans="1:63" s="291" customFormat="1" ht="13">
      <c r="A90" s="291" t="s">
        <v>283</v>
      </c>
      <c r="B90" s="291" t="s">
        <v>144</v>
      </c>
      <c r="C90" s="292" t="s">
        <v>81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295">
        <v>0</v>
      </c>
      <c r="R90" s="295">
        <v>0</v>
      </c>
      <c r="S90" s="295">
        <v>0</v>
      </c>
      <c r="T90" s="295">
        <v>0</v>
      </c>
      <c r="U90" s="295">
        <v>0</v>
      </c>
      <c r="V90" s="295">
        <v>0</v>
      </c>
      <c r="W90" s="45">
        <v>24112.44</v>
      </c>
      <c r="X90" s="45">
        <v>24112.44</v>
      </c>
      <c r="Y90" s="45">
        <v>24112.44</v>
      </c>
      <c r="Z90" s="45">
        <v>24112.44</v>
      </c>
      <c r="AA90" s="45">
        <v>24112.44</v>
      </c>
      <c r="AB90" s="45">
        <v>24112.44</v>
      </c>
      <c r="AC90" s="45">
        <v>24112.44</v>
      </c>
      <c r="AD90" s="45">
        <v>24112.44</v>
      </c>
      <c r="AE90" s="45">
        <v>24112.44</v>
      </c>
      <c r="AF90" s="45">
        <v>0</v>
      </c>
      <c r="AG90" s="45">
        <v>0</v>
      </c>
      <c r="AH90" s="45">
        <v>0</v>
      </c>
      <c r="AI90" s="45">
        <v>0</v>
      </c>
      <c r="AJ90" s="45">
        <v>0</v>
      </c>
      <c r="AK90" s="45">
        <v>0</v>
      </c>
      <c r="AL90" s="45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5">
        <v>0</v>
      </c>
      <c r="AU90" s="45">
        <v>0</v>
      </c>
      <c r="AV90" s="45">
        <v>0</v>
      </c>
      <c r="AW90" s="45">
        <v>0</v>
      </c>
      <c r="AX90" s="45">
        <v>0</v>
      </c>
      <c r="AY90" s="45">
        <v>0</v>
      </c>
      <c r="AZ90" s="45">
        <v>0</v>
      </c>
      <c r="BA90" s="45">
        <v>0</v>
      </c>
      <c r="BB90" s="45">
        <v>0</v>
      </c>
      <c r="BC90" s="45">
        <v>0</v>
      </c>
      <c r="BD90" s="45">
        <v>0</v>
      </c>
      <c r="BE90" s="45">
        <v>0</v>
      </c>
      <c r="BF90" s="45">
        <v>0</v>
      </c>
      <c r="BG90" s="45">
        <v>0</v>
      </c>
      <c r="BH90" s="45">
        <v>0</v>
      </c>
      <c r="BI90" s="45">
        <v>0</v>
      </c>
      <c r="BJ90" s="45">
        <v>0</v>
      </c>
      <c r="BK90" s="45">
        <v>0</v>
      </c>
    </row>
    <row r="91" spans="1:63" s="291" customFormat="1" ht="13">
      <c r="A91" s="291" t="s">
        <v>285</v>
      </c>
      <c r="B91" s="291" t="s">
        <v>142</v>
      </c>
      <c r="C91" s="292" t="s">
        <v>81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295">
        <v>0</v>
      </c>
      <c r="R91" s="295">
        <v>0</v>
      </c>
      <c r="S91" s="295">
        <v>0</v>
      </c>
      <c r="T91" s="295">
        <v>0</v>
      </c>
      <c r="U91" s="295">
        <v>0</v>
      </c>
      <c r="V91" s="295">
        <v>0</v>
      </c>
      <c r="W91" s="45">
        <v>8245.1</v>
      </c>
      <c r="X91" s="45">
        <v>8245.1</v>
      </c>
      <c r="Y91" s="45">
        <v>8245.1</v>
      </c>
      <c r="Z91" s="45">
        <v>8245.1</v>
      </c>
      <c r="AA91" s="45">
        <v>8245.1</v>
      </c>
      <c r="AB91" s="45">
        <v>8245.1</v>
      </c>
      <c r="AC91" s="45">
        <v>8245.1</v>
      </c>
      <c r="AD91" s="45">
        <v>8245.1</v>
      </c>
      <c r="AE91" s="45">
        <v>8245.1</v>
      </c>
      <c r="AF91" s="45">
        <v>8245.1</v>
      </c>
      <c r="AG91" s="45">
        <v>8245.1</v>
      </c>
      <c r="AH91" s="45">
        <v>8245.1</v>
      </c>
      <c r="AI91" s="45">
        <v>8245.1</v>
      </c>
      <c r="AJ91" s="45">
        <v>8245.1</v>
      </c>
      <c r="AK91" s="45">
        <v>8245.1</v>
      </c>
      <c r="AL91" s="45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5">
        <v>0</v>
      </c>
      <c r="AU91" s="45">
        <v>0</v>
      </c>
      <c r="AV91" s="45">
        <v>0</v>
      </c>
      <c r="AW91" s="45">
        <v>0</v>
      </c>
      <c r="AX91" s="45">
        <v>0</v>
      </c>
      <c r="AY91" s="45">
        <v>0</v>
      </c>
      <c r="AZ91" s="45">
        <v>0</v>
      </c>
      <c r="BA91" s="45">
        <v>0</v>
      </c>
      <c r="BB91" s="45">
        <v>0</v>
      </c>
      <c r="BC91" s="45">
        <v>0</v>
      </c>
      <c r="BD91" s="45">
        <v>0</v>
      </c>
      <c r="BE91" s="45">
        <v>0</v>
      </c>
      <c r="BF91" s="45">
        <v>0</v>
      </c>
      <c r="BG91" s="45">
        <v>0</v>
      </c>
      <c r="BH91" s="45">
        <v>0</v>
      </c>
      <c r="BI91" s="45">
        <v>0</v>
      </c>
      <c r="BJ91" s="45">
        <v>0</v>
      </c>
      <c r="BK91" s="45">
        <v>0</v>
      </c>
    </row>
    <row r="92" spans="1:63" s="291" customFormat="1" ht="13">
      <c r="A92" s="291" t="s">
        <v>286</v>
      </c>
      <c r="B92" s="291" t="s">
        <v>142</v>
      </c>
      <c r="C92" s="292" t="s">
        <v>79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295">
        <v>0</v>
      </c>
      <c r="R92" s="295">
        <v>0</v>
      </c>
      <c r="S92" s="295">
        <v>0</v>
      </c>
      <c r="T92" s="295">
        <v>0</v>
      </c>
      <c r="U92" s="295">
        <v>0</v>
      </c>
      <c r="V92" s="295">
        <v>0</v>
      </c>
      <c r="W92" s="45">
        <v>7094.87</v>
      </c>
      <c r="X92" s="45">
        <v>7094.87</v>
      </c>
      <c r="Y92" s="45">
        <v>7094.87</v>
      </c>
      <c r="Z92" s="45">
        <v>7094.87</v>
      </c>
      <c r="AA92" s="45">
        <v>7094.87</v>
      </c>
      <c r="AB92" s="45">
        <v>7094.87</v>
      </c>
      <c r="AC92" s="45">
        <v>7094.87</v>
      </c>
      <c r="AD92" s="45">
        <v>7094.87</v>
      </c>
      <c r="AE92" s="45">
        <v>7094.87</v>
      </c>
      <c r="AF92" s="45">
        <v>7094.87</v>
      </c>
      <c r="AG92" s="45">
        <v>7094.87</v>
      </c>
      <c r="AH92" s="45">
        <v>7094.87</v>
      </c>
      <c r="AI92" s="45">
        <v>7094.87</v>
      </c>
      <c r="AJ92" s="45">
        <v>7094.87</v>
      </c>
      <c r="AK92" s="45">
        <v>7094.87</v>
      </c>
      <c r="AL92" s="45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5">
        <v>0</v>
      </c>
      <c r="AU92" s="45">
        <v>0</v>
      </c>
      <c r="AV92" s="45">
        <v>0</v>
      </c>
      <c r="AW92" s="45">
        <v>0</v>
      </c>
      <c r="AX92" s="45">
        <v>0</v>
      </c>
      <c r="AY92" s="45">
        <v>0</v>
      </c>
      <c r="AZ92" s="45">
        <v>0</v>
      </c>
      <c r="BA92" s="45">
        <v>0</v>
      </c>
      <c r="BB92" s="45">
        <v>0</v>
      </c>
      <c r="BC92" s="45">
        <v>0</v>
      </c>
      <c r="BD92" s="45">
        <v>0</v>
      </c>
      <c r="BE92" s="45">
        <v>0</v>
      </c>
      <c r="BF92" s="45">
        <v>0</v>
      </c>
      <c r="BG92" s="45">
        <v>0</v>
      </c>
      <c r="BH92" s="45">
        <v>0</v>
      </c>
      <c r="BI92" s="45">
        <v>0</v>
      </c>
      <c r="BJ92" s="45">
        <v>0</v>
      </c>
      <c r="BK92" s="45">
        <v>0</v>
      </c>
    </row>
    <row r="93" spans="1:63" s="291" customFormat="1" ht="13">
      <c r="A93" s="291" t="s">
        <v>320</v>
      </c>
      <c r="B93" s="291" t="s">
        <v>76</v>
      </c>
      <c r="C93" s="292" t="s">
        <v>79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295">
        <v>0</v>
      </c>
      <c r="R93" s="295">
        <v>0</v>
      </c>
      <c r="S93" s="295">
        <v>0</v>
      </c>
      <c r="T93" s="295">
        <v>0</v>
      </c>
      <c r="U93" s="295">
        <v>0</v>
      </c>
      <c r="V93" s="295">
        <v>0</v>
      </c>
      <c r="W93" s="45">
        <v>0</v>
      </c>
      <c r="X93" s="45">
        <v>22854.74</v>
      </c>
      <c r="Y93" s="45">
        <v>22854.74</v>
      </c>
      <c r="Z93" s="45">
        <v>22854.74</v>
      </c>
      <c r="AA93" s="45">
        <v>22854.74</v>
      </c>
      <c r="AB93" s="45">
        <v>22854.74</v>
      </c>
      <c r="AC93" s="45">
        <v>22854.74</v>
      </c>
      <c r="AD93" s="45">
        <v>22854.74</v>
      </c>
      <c r="AE93" s="45">
        <v>22854.74</v>
      </c>
      <c r="AF93" s="45">
        <v>22854.74</v>
      </c>
      <c r="AG93" s="45">
        <v>22854.74</v>
      </c>
      <c r="AH93" s="45">
        <v>22854.74</v>
      </c>
      <c r="AI93" s="45">
        <v>22854.74</v>
      </c>
      <c r="AJ93" s="45">
        <v>22854.74</v>
      </c>
      <c r="AK93" s="45">
        <v>22854.74</v>
      </c>
      <c r="AL93" s="45">
        <v>22854.74</v>
      </c>
      <c r="AM93" s="45">
        <v>22854.74</v>
      </c>
      <c r="AN93" s="45">
        <v>22854.74</v>
      </c>
      <c r="AO93" s="45">
        <v>22854.74</v>
      </c>
      <c r="AP93" s="45">
        <v>22854.74</v>
      </c>
      <c r="AQ93" s="45">
        <v>22854.74</v>
      </c>
      <c r="AR93" s="45">
        <v>22854.74</v>
      </c>
      <c r="AS93" s="45">
        <v>22854.74</v>
      </c>
      <c r="AT93" s="45">
        <v>22854.74</v>
      </c>
      <c r="AU93" s="45">
        <v>22854.74</v>
      </c>
      <c r="AV93" s="45">
        <v>22854.74</v>
      </c>
      <c r="AW93" s="45">
        <v>22854.74</v>
      </c>
      <c r="AX93" s="45">
        <v>22854.74</v>
      </c>
      <c r="AY93" s="45">
        <v>22854.74</v>
      </c>
      <c r="AZ93" s="45">
        <v>0</v>
      </c>
      <c r="BA93" s="45">
        <v>0</v>
      </c>
      <c r="BB93" s="45">
        <v>0</v>
      </c>
      <c r="BC93" s="45">
        <v>0</v>
      </c>
      <c r="BD93" s="45">
        <v>0</v>
      </c>
      <c r="BE93" s="45">
        <v>0</v>
      </c>
      <c r="BF93" s="45">
        <v>0</v>
      </c>
      <c r="BG93" s="45">
        <v>0</v>
      </c>
      <c r="BH93" s="45">
        <v>0</v>
      </c>
      <c r="BI93" s="45">
        <v>0</v>
      </c>
      <c r="BJ93" s="45">
        <v>0</v>
      </c>
      <c r="BK93" s="45">
        <v>0</v>
      </c>
    </row>
    <row r="94" spans="1:63" ht="13">
      <c r="A94" s="291" t="s">
        <v>327</v>
      </c>
      <c r="B94" s="291" t="s">
        <v>76</v>
      </c>
      <c r="C94" s="292" t="s">
        <v>79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>
        <v>0</v>
      </c>
      <c r="W94" s="51">
        <v>0</v>
      </c>
      <c r="X94" s="45">
        <v>17458.324000000001</v>
      </c>
      <c r="Y94" s="45">
        <v>17458.324000000001</v>
      </c>
      <c r="Z94" s="45">
        <v>17458.324000000001</v>
      </c>
      <c r="AA94" s="45">
        <v>17458.324000000001</v>
      </c>
      <c r="AB94" s="45">
        <v>17458.324000000001</v>
      </c>
      <c r="AC94" s="45">
        <v>0</v>
      </c>
      <c r="AD94" s="45">
        <v>0</v>
      </c>
      <c r="AE94" s="45">
        <v>0</v>
      </c>
      <c r="AF94" s="45">
        <v>0</v>
      </c>
      <c r="AG94" s="45">
        <v>0</v>
      </c>
      <c r="AH94" s="45">
        <v>0</v>
      </c>
      <c r="AI94" s="45">
        <v>0</v>
      </c>
      <c r="AJ94" s="45">
        <v>0</v>
      </c>
      <c r="AK94" s="45">
        <v>0</v>
      </c>
      <c r="AL94" s="45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5">
        <v>0</v>
      </c>
      <c r="AU94" s="45">
        <v>0</v>
      </c>
      <c r="AV94" s="45">
        <v>0</v>
      </c>
      <c r="AW94" s="45">
        <v>0</v>
      </c>
      <c r="AX94" s="45">
        <v>0</v>
      </c>
      <c r="AY94" s="45">
        <v>0</v>
      </c>
      <c r="AZ94" s="45">
        <v>0</v>
      </c>
      <c r="BA94" s="45">
        <v>0</v>
      </c>
      <c r="BB94" s="45">
        <v>0</v>
      </c>
      <c r="BC94" s="45">
        <v>0</v>
      </c>
      <c r="BD94" s="45">
        <v>0</v>
      </c>
      <c r="BE94" s="45">
        <v>0</v>
      </c>
      <c r="BF94" s="45">
        <v>0</v>
      </c>
      <c r="BG94" s="45">
        <v>0</v>
      </c>
      <c r="BH94" s="45">
        <v>0</v>
      </c>
      <c r="BI94" s="45">
        <v>0</v>
      </c>
      <c r="BJ94" s="45">
        <v>0</v>
      </c>
      <c r="BK94" s="45">
        <v>0</v>
      </c>
    </row>
    <row r="95" spans="1:63" s="291" customFormat="1" ht="13">
      <c r="A95" s="291" t="s">
        <v>331</v>
      </c>
      <c r="B95" s="291" t="s">
        <v>76</v>
      </c>
      <c r="C95" s="292" t="s">
        <v>79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1">
        <v>0</v>
      </c>
      <c r="U95" s="51">
        <v>0</v>
      </c>
      <c r="V95" s="51">
        <v>0</v>
      </c>
      <c r="W95" s="51">
        <v>0</v>
      </c>
      <c r="X95" s="51">
        <v>0</v>
      </c>
      <c r="Y95" s="51">
        <v>0</v>
      </c>
      <c r="Z95" s="45">
        <v>34583.4</v>
      </c>
      <c r="AA95" s="45">
        <v>34583.4</v>
      </c>
      <c r="AB95" s="45">
        <v>34583.4</v>
      </c>
      <c r="AC95" s="45">
        <v>34583.4</v>
      </c>
      <c r="AD95" s="45">
        <v>34583.4</v>
      </c>
      <c r="AE95" s="45">
        <v>34583.4</v>
      </c>
      <c r="AF95" s="45">
        <v>34583.4</v>
      </c>
      <c r="AG95" s="45">
        <v>34583.4</v>
      </c>
      <c r="AH95" s="45">
        <v>34583.4</v>
      </c>
      <c r="AI95" s="45">
        <v>34583.4</v>
      </c>
      <c r="AJ95" s="45">
        <v>34583.4</v>
      </c>
      <c r="AK95" s="45">
        <v>34583.4</v>
      </c>
      <c r="AL95" s="45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5">
        <v>0</v>
      </c>
      <c r="AU95" s="45">
        <v>0</v>
      </c>
      <c r="AV95" s="45">
        <v>0</v>
      </c>
      <c r="AW95" s="45">
        <v>0</v>
      </c>
      <c r="AX95" s="45">
        <v>0</v>
      </c>
      <c r="AY95" s="45">
        <v>0</v>
      </c>
      <c r="AZ95" s="45">
        <v>0</v>
      </c>
      <c r="BA95" s="45">
        <v>0</v>
      </c>
      <c r="BB95" s="45">
        <v>0</v>
      </c>
      <c r="BC95" s="45">
        <v>0</v>
      </c>
      <c r="BD95" s="45">
        <v>0</v>
      </c>
      <c r="BE95" s="45">
        <v>0</v>
      </c>
      <c r="BF95" s="45">
        <v>0</v>
      </c>
      <c r="BG95" s="45">
        <v>0</v>
      </c>
      <c r="BH95" s="45">
        <v>0</v>
      </c>
      <c r="BI95" s="45">
        <v>0</v>
      </c>
      <c r="BJ95" s="45">
        <v>0</v>
      </c>
      <c r="BK95" s="45">
        <v>0</v>
      </c>
    </row>
    <row r="96" spans="1:63" s="291" customFormat="1" ht="13">
      <c r="A96" s="294" t="s">
        <v>330</v>
      </c>
      <c r="B96" s="291" t="s">
        <v>76</v>
      </c>
      <c r="C96" s="292" t="s">
        <v>81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  <c r="Q96" s="51">
        <v>0</v>
      </c>
      <c r="R96" s="51">
        <v>0</v>
      </c>
      <c r="S96" s="51">
        <v>0</v>
      </c>
      <c r="T96" s="51">
        <v>0</v>
      </c>
      <c r="U96" s="51">
        <v>0</v>
      </c>
      <c r="V96" s="51">
        <v>0</v>
      </c>
      <c r="W96" s="51">
        <v>0</v>
      </c>
      <c r="X96" s="51">
        <v>0</v>
      </c>
      <c r="Y96" s="51">
        <v>0</v>
      </c>
      <c r="Z96" s="45">
        <v>95174</v>
      </c>
      <c r="AA96" s="45">
        <v>95174</v>
      </c>
      <c r="AB96" s="45">
        <v>95174</v>
      </c>
      <c r="AC96" s="45">
        <v>95174</v>
      </c>
      <c r="AD96" s="45">
        <v>95174</v>
      </c>
      <c r="AE96" s="45">
        <v>95174</v>
      </c>
      <c r="AF96" s="45">
        <v>95174</v>
      </c>
      <c r="AG96" s="45">
        <v>95174</v>
      </c>
      <c r="AH96" s="45">
        <v>95174</v>
      </c>
      <c r="AI96" s="45">
        <v>95174</v>
      </c>
      <c r="AJ96" s="45">
        <v>95174</v>
      </c>
      <c r="AK96" s="45">
        <v>95174</v>
      </c>
      <c r="AL96" s="45">
        <v>0</v>
      </c>
      <c r="AM96" s="45">
        <v>0</v>
      </c>
      <c r="AN96" s="45">
        <v>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5">
        <v>0</v>
      </c>
      <c r="AU96" s="45">
        <v>0</v>
      </c>
      <c r="AV96" s="45">
        <v>0</v>
      </c>
      <c r="AW96" s="45">
        <v>0</v>
      </c>
      <c r="AX96" s="45">
        <v>0</v>
      </c>
      <c r="AY96" s="45">
        <v>0</v>
      </c>
      <c r="AZ96" s="45">
        <v>0</v>
      </c>
      <c r="BA96" s="45">
        <v>0</v>
      </c>
      <c r="BB96" s="45">
        <v>0</v>
      </c>
      <c r="BC96" s="45">
        <v>0</v>
      </c>
      <c r="BD96" s="45">
        <v>0</v>
      </c>
      <c r="BE96" s="45">
        <v>0</v>
      </c>
      <c r="BF96" s="45">
        <v>0</v>
      </c>
      <c r="BG96" s="45">
        <v>0</v>
      </c>
      <c r="BH96" s="45">
        <v>0</v>
      </c>
      <c r="BI96" s="45">
        <v>0</v>
      </c>
      <c r="BJ96" s="45">
        <v>0</v>
      </c>
      <c r="BK96" s="45">
        <v>0</v>
      </c>
    </row>
    <row r="97" spans="1:63" s="291" customFormat="1" ht="13">
      <c r="A97" s="293" t="s">
        <v>339</v>
      </c>
      <c r="B97" s="291" t="s">
        <v>144</v>
      </c>
      <c r="C97" s="292" t="s">
        <v>79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51">
        <v>0</v>
      </c>
      <c r="P97" s="51">
        <v>0</v>
      </c>
      <c r="Q97" s="51">
        <v>0</v>
      </c>
      <c r="R97" s="51">
        <v>0</v>
      </c>
      <c r="S97" s="51">
        <v>0</v>
      </c>
      <c r="T97" s="51">
        <v>0</v>
      </c>
      <c r="U97" s="51">
        <v>0</v>
      </c>
      <c r="V97" s="51">
        <v>0</v>
      </c>
      <c r="W97" s="51">
        <v>0</v>
      </c>
      <c r="X97" s="51">
        <v>0</v>
      </c>
      <c r="Y97" s="51">
        <v>0</v>
      </c>
      <c r="Z97" s="45">
        <v>45242</v>
      </c>
      <c r="AA97" s="45">
        <v>45242</v>
      </c>
      <c r="AB97" s="45">
        <v>45242</v>
      </c>
      <c r="AC97" s="45">
        <v>45242</v>
      </c>
      <c r="AD97" s="45">
        <v>45242</v>
      </c>
      <c r="AE97" s="45">
        <v>45242</v>
      </c>
      <c r="AF97" s="45">
        <v>0</v>
      </c>
      <c r="AG97" s="45">
        <v>0</v>
      </c>
      <c r="AH97" s="45">
        <v>0</v>
      </c>
      <c r="AI97" s="45">
        <v>0</v>
      </c>
      <c r="AJ97" s="45">
        <v>0</v>
      </c>
      <c r="AK97" s="45">
        <v>0</v>
      </c>
      <c r="AL97" s="45">
        <v>0</v>
      </c>
      <c r="AM97" s="45">
        <v>0</v>
      </c>
      <c r="AN97" s="45">
        <v>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5">
        <v>0</v>
      </c>
      <c r="AU97" s="45">
        <v>0</v>
      </c>
      <c r="AV97" s="45">
        <v>0</v>
      </c>
      <c r="AW97" s="45">
        <v>0</v>
      </c>
      <c r="AX97" s="45">
        <v>0</v>
      </c>
      <c r="AY97" s="45">
        <v>0</v>
      </c>
      <c r="AZ97" s="45">
        <v>0</v>
      </c>
      <c r="BA97" s="45">
        <v>0</v>
      </c>
      <c r="BB97" s="45">
        <v>0</v>
      </c>
      <c r="BC97" s="45">
        <v>0</v>
      </c>
      <c r="BD97" s="45">
        <v>0</v>
      </c>
      <c r="BE97" s="45">
        <v>0</v>
      </c>
      <c r="BF97" s="45">
        <v>0</v>
      </c>
      <c r="BG97" s="45">
        <v>0</v>
      </c>
      <c r="BH97" s="45">
        <v>0</v>
      </c>
      <c r="BI97" s="45">
        <v>0</v>
      </c>
      <c r="BJ97" s="45">
        <v>0</v>
      </c>
      <c r="BK97" s="45">
        <v>0</v>
      </c>
    </row>
    <row r="98" spans="1:63" s="291" customFormat="1" ht="13">
      <c r="A98" s="293" t="s">
        <v>319</v>
      </c>
      <c r="B98" s="291" t="s">
        <v>76</v>
      </c>
      <c r="C98" s="292" t="s">
        <v>79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51">
        <v>0</v>
      </c>
      <c r="P98" s="51">
        <v>0</v>
      </c>
      <c r="Q98" s="51">
        <v>0</v>
      </c>
      <c r="R98" s="51">
        <v>0</v>
      </c>
      <c r="S98" s="51">
        <v>0</v>
      </c>
      <c r="T98" s="51">
        <v>0</v>
      </c>
      <c r="U98" s="51">
        <v>0</v>
      </c>
      <c r="V98" s="51">
        <v>0</v>
      </c>
      <c r="W98" s="51">
        <v>0</v>
      </c>
      <c r="X98" s="51">
        <v>0</v>
      </c>
      <c r="Y98" s="51">
        <v>0</v>
      </c>
      <c r="Z98" s="45">
        <v>0</v>
      </c>
      <c r="AA98" s="45">
        <v>14868.45</v>
      </c>
      <c r="AB98" s="45">
        <v>14868.45</v>
      </c>
      <c r="AC98" s="45">
        <v>14868.45</v>
      </c>
      <c r="AD98" s="45">
        <v>14868.45</v>
      </c>
      <c r="AE98" s="45">
        <v>14868.45</v>
      </c>
      <c r="AF98" s="45">
        <v>14868.45</v>
      </c>
      <c r="AG98" s="45">
        <v>14868.45</v>
      </c>
      <c r="AH98" s="45">
        <v>14868.45</v>
      </c>
      <c r="AI98" s="45">
        <v>14868.45</v>
      </c>
      <c r="AJ98" s="45">
        <v>14868.45</v>
      </c>
      <c r="AK98" s="45">
        <v>14868.45</v>
      </c>
      <c r="AL98" s="45">
        <v>0</v>
      </c>
      <c r="AM98" s="45">
        <v>0</v>
      </c>
      <c r="AN98" s="45">
        <v>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5">
        <v>0</v>
      </c>
      <c r="AU98" s="45">
        <v>0</v>
      </c>
      <c r="AV98" s="45">
        <v>0</v>
      </c>
      <c r="AW98" s="45">
        <v>0</v>
      </c>
      <c r="AX98" s="45">
        <v>0</v>
      </c>
      <c r="AY98" s="45">
        <v>0</v>
      </c>
      <c r="AZ98" s="45">
        <v>0</v>
      </c>
      <c r="BA98" s="45">
        <v>0</v>
      </c>
      <c r="BB98" s="45">
        <v>0</v>
      </c>
      <c r="BC98" s="45">
        <v>0</v>
      </c>
      <c r="BD98" s="45">
        <v>0</v>
      </c>
      <c r="BE98" s="45">
        <v>0</v>
      </c>
      <c r="BF98" s="45">
        <v>0</v>
      </c>
      <c r="BG98" s="45">
        <v>0</v>
      </c>
      <c r="BH98" s="45">
        <v>0</v>
      </c>
      <c r="BI98" s="45">
        <v>0</v>
      </c>
      <c r="BJ98" s="45">
        <v>0</v>
      </c>
      <c r="BK98" s="45">
        <v>0</v>
      </c>
    </row>
    <row r="99" spans="1:63" s="291" customFormat="1" ht="13">
      <c r="A99" s="293" t="s">
        <v>316</v>
      </c>
      <c r="B99" s="291" t="s">
        <v>76</v>
      </c>
      <c r="C99" s="292" t="s">
        <v>79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v>0</v>
      </c>
      <c r="Q99" s="51">
        <v>0</v>
      </c>
      <c r="R99" s="51">
        <v>0</v>
      </c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45">
        <v>0</v>
      </c>
      <c r="AA99" s="45">
        <v>6792</v>
      </c>
      <c r="AB99" s="45">
        <v>6792</v>
      </c>
      <c r="AC99" s="45">
        <v>6792</v>
      </c>
      <c r="AD99" s="45">
        <v>6792</v>
      </c>
      <c r="AE99" s="45">
        <v>6792</v>
      </c>
      <c r="AF99" s="45">
        <v>6792</v>
      </c>
      <c r="AG99" s="45">
        <v>6792</v>
      </c>
      <c r="AH99" s="45">
        <v>6792</v>
      </c>
      <c r="AI99" s="45">
        <v>6792</v>
      </c>
      <c r="AJ99" s="45">
        <v>6792</v>
      </c>
      <c r="AK99" s="45">
        <v>6792</v>
      </c>
      <c r="AL99" s="45">
        <v>0</v>
      </c>
      <c r="AM99" s="45">
        <v>0</v>
      </c>
      <c r="AN99" s="45">
        <v>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5">
        <v>0</v>
      </c>
      <c r="AU99" s="45">
        <v>0</v>
      </c>
      <c r="AV99" s="45">
        <v>0</v>
      </c>
      <c r="AW99" s="45">
        <v>0</v>
      </c>
      <c r="AX99" s="45">
        <v>0</v>
      </c>
      <c r="AY99" s="45">
        <v>0</v>
      </c>
      <c r="AZ99" s="45">
        <v>0</v>
      </c>
      <c r="BA99" s="45">
        <v>0</v>
      </c>
      <c r="BB99" s="45">
        <v>0</v>
      </c>
      <c r="BC99" s="45">
        <v>0</v>
      </c>
      <c r="BD99" s="45">
        <v>0</v>
      </c>
      <c r="BE99" s="45">
        <v>0</v>
      </c>
      <c r="BF99" s="45">
        <v>0</v>
      </c>
      <c r="BG99" s="45">
        <v>0</v>
      </c>
      <c r="BH99" s="45">
        <v>0</v>
      </c>
      <c r="BI99" s="45">
        <v>0</v>
      </c>
      <c r="BJ99" s="45">
        <v>0</v>
      </c>
      <c r="BK99" s="45">
        <v>0</v>
      </c>
    </row>
    <row r="100" spans="1:63" s="291" customFormat="1" ht="13">
      <c r="A100" s="294" t="s">
        <v>345</v>
      </c>
      <c r="B100" s="291" t="s">
        <v>144</v>
      </c>
      <c r="C100" s="292" t="s">
        <v>79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51">
        <v>0</v>
      </c>
      <c r="V100" s="51">
        <v>0</v>
      </c>
      <c r="W100" s="51">
        <v>0</v>
      </c>
      <c r="X100" s="51">
        <v>0</v>
      </c>
      <c r="Y100" s="51">
        <v>0</v>
      </c>
      <c r="Z100" s="45">
        <v>0</v>
      </c>
      <c r="AA100" s="45">
        <v>0</v>
      </c>
      <c r="AB100" s="56">
        <v>23015</v>
      </c>
      <c r="AC100" s="56">
        <v>23015</v>
      </c>
      <c r="AD100" s="56">
        <v>23015</v>
      </c>
      <c r="AE100" s="56">
        <v>23015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6">
        <v>0</v>
      </c>
      <c r="AV100" s="56">
        <v>0</v>
      </c>
      <c r="AW100" s="56">
        <v>0</v>
      </c>
      <c r="AX100" s="56">
        <v>0</v>
      </c>
      <c r="AY100" s="56">
        <v>0</v>
      </c>
      <c r="AZ100" s="56">
        <v>0</v>
      </c>
      <c r="BA100" s="56">
        <v>0</v>
      </c>
      <c r="BB100" s="56">
        <v>0</v>
      </c>
      <c r="BC100" s="56">
        <v>0</v>
      </c>
      <c r="BD100" s="56">
        <v>0</v>
      </c>
      <c r="BE100" s="56">
        <v>0</v>
      </c>
      <c r="BF100" s="56">
        <v>0</v>
      </c>
      <c r="BG100" s="56">
        <v>0</v>
      </c>
      <c r="BH100" s="56">
        <v>0</v>
      </c>
      <c r="BI100" s="56">
        <v>0</v>
      </c>
      <c r="BJ100" s="56">
        <v>0</v>
      </c>
      <c r="BK100" s="56">
        <v>0</v>
      </c>
    </row>
    <row r="101" spans="1:63" s="291" customFormat="1" ht="13">
      <c r="A101" s="293" t="s">
        <v>317</v>
      </c>
      <c r="B101" s="291" t="s">
        <v>144</v>
      </c>
      <c r="C101" s="292" t="s">
        <v>79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1">
        <v>0</v>
      </c>
      <c r="W101" s="51">
        <v>0</v>
      </c>
      <c r="X101" s="51">
        <v>0</v>
      </c>
      <c r="Y101" s="51">
        <v>0</v>
      </c>
      <c r="Z101" s="51">
        <v>0</v>
      </c>
      <c r="AA101" s="51">
        <v>0</v>
      </c>
      <c r="AB101" s="51">
        <v>0</v>
      </c>
      <c r="AC101" s="57">
        <v>30122</v>
      </c>
      <c r="AD101" s="57">
        <v>30122</v>
      </c>
      <c r="AE101" s="57">
        <v>30122</v>
      </c>
      <c r="AF101" s="57">
        <v>0</v>
      </c>
      <c r="AG101" s="57">
        <v>0</v>
      </c>
      <c r="AH101" s="57">
        <v>0</v>
      </c>
      <c r="AI101" s="57">
        <v>0</v>
      </c>
      <c r="AJ101" s="57">
        <v>0</v>
      </c>
      <c r="AK101" s="57">
        <v>0</v>
      </c>
      <c r="AL101" s="57">
        <v>0</v>
      </c>
      <c r="AM101" s="57">
        <v>0</v>
      </c>
      <c r="AN101" s="57">
        <v>0</v>
      </c>
      <c r="AO101" s="57">
        <v>0</v>
      </c>
      <c r="AP101" s="57">
        <v>0</v>
      </c>
      <c r="AQ101" s="57">
        <v>0</v>
      </c>
      <c r="AR101" s="57">
        <v>0</v>
      </c>
      <c r="AS101" s="57">
        <v>0</v>
      </c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0</v>
      </c>
      <c r="AZ101" s="57">
        <v>0</v>
      </c>
      <c r="BA101" s="57">
        <v>0</v>
      </c>
      <c r="BB101" s="57">
        <v>0</v>
      </c>
      <c r="BC101" s="57">
        <v>0</v>
      </c>
      <c r="BD101" s="57">
        <v>0</v>
      </c>
      <c r="BE101" s="57">
        <v>0</v>
      </c>
      <c r="BF101" s="57">
        <v>0</v>
      </c>
      <c r="BG101" s="57">
        <v>0</v>
      </c>
      <c r="BH101" s="57">
        <v>0</v>
      </c>
      <c r="BI101" s="57">
        <v>0</v>
      </c>
      <c r="BJ101" s="57">
        <v>0</v>
      </c>
      <c r="BK101" s="57">
        <v>0</v>
      </c>
    </row>
    <row r="102" spans="1:63" ht="13">
      <c r="A102" s="20" t="s">
        <v>355</v>
      </c>
      <c r="B102" s="287" t="s">
        <v>76</v>
      </c>
      <c r="C102" s="290" t="s">
        <v>79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9">
        <v>4582.76</v>
      </c>
      <c r="AF102" s="59">
        <v>4582.76</v>
      </c>
      <c r="AG102" s="59">
        <v>4582.76</v>
      </c>
      <c r="AH102" s="59">
        <v>4582.76</v>
      </c>
      <c r="AI102" s="59">
        <v>4582.76</v>
      </c>
      <c r="AJ102" s="59">
        <v>4582.76</v>
      </c>
      <c r="AK102" s="59">
        <v>4582.76</v>
      </c>
      <c r="AL102" s="59">
        <v>4582.76</v>
      </c>
      <c r="AM102" s="59">
        <v>4582.76</v>
      </c>
      <c r="AN102" s="59">
        <v>4582.76</v>
      </c>
      <c r="AO102" s="59">
        <v>4582.76</v>
      </c>
      <c r="AP102" s="59">
        <v>4582.76</v>
      </c>
      <c r="AQ102" s="59">
        <v>4582.76</v>
      </c>
      <c r="AR102" s="59">
        <v>4582.76</v>
      </c>
      <c r="AS102" s="59">
        <v>4582.76</v>
      </c>
      <c r="AT102" s="59">
        <v>4582.76</v>
      </c>
      <c r="AU102" s="59">
        <v>4582.76</v>
      </c>
      <c r="AV102" s="59">
        <v>4582.76</v>
      </c>
      <c r="AW102" s="59">
        <v>4582.76</v>
      </c>
      <c r="AX102" s="59">
        <v>4582.76</v>
      </c>
      <c r="AY102" s="59">
        <v>4582.76</v>
      </c>
      <c r="AZ102" s="59">
        <v>4582.76</v>
      </c>
      <c r="BA102" s="59">
        <v>4582.76</v>
      </c>
      <c r="BB102" s="59">
        <v>4696.32</v>
      </c>
      <c r="BC102" s="59">
        <v>4696.32</v>
      </c>
      <c r="BD102" s="59">
        <v>4696.32</v>
      </c>
      <c r="BE102" s="59">
        <v>4696.32</v>
      </c>
      <c r="BF102" s="59">
        <v>4696.32</v>
      </c>
      <c r="BG102" s="59">
        <v>4696.32</v>
      </c>
      <c r="BH102" s="59">
        <v>4696.32</v>
      </c>
      <c r="BI102" s="59">
        <v>4696.32</v>
      </c>
      <c r="BJ102" s="59">
        <v>4696.32</v>
      </c>
      <c r="BK102" s="59">
        <v>4696.32</v>
      </c>
    </row>
    <row r="103" spans="1:63" s="291" customFormat="1" ht="13">
      <c r="A103" s="293" t="s">
        <v>606</v>
      </c>
      <c r="B103" s="291" t="s">
        <v>144</v>
      </c>
      <c r="C103" s="292" t="s">
        <v>79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>
        <v>0</v>
      </c>
      <c r="Y103" s="51">
        <v>0</v>
      </c>
      <c r="Z103" s="51">
        <v>0</v>
      </c>
      <c r="AA103" s="51">
        <v>0</v>
      </c>
      <c r="AB103" s="51">
        <v>0</v>
      </c>
      <c r="AC103" s="51">
        <v>0</v>
      </c>
      <c r="AD103" s="51">
        <v>0</v>
      </c>
      <c r="AE103" s="51">
        <v>0</v>
      </c>
      <c r="AF103" s="51">
        <v>0</v>
      </c>
      <c r="AG103" s="57">
        <v>31719.439999999999</v>
      </c>
      <c r="AH103" s="57">
        <v>31719.439999999999</v>
      </c>
      <c r="AI103" s="57">
        <v>31719.439999999999</v>
      </c>
      <c r="AJ103" s="57">
        <v>31719.439999999999</v>
      </c>
      <c r="AK103" s="57">
        <v>31719.439999999999</v>
      </c>
      <c r="AL103" s="57">
        <v>0</v>
      </c>
      <c r="AM103" s="57">
        <v>0</v>
      </c>
      <c r="AN103" s="57">
        <v>0</v>
      </c>
      <c r="AO103" s="57">
        <v>0</v>
      </c>
      <c r="AP103" s="57">
        <v>0</v>
      </c>
      <c r="AQ103" s="57">
        <v>0</v>
      </c>
      <c r="AR103" s="57">
        <v>0</v>
      </c>
      <c r="AS103" s="57">
        <v>0</v>
      </c>
      <c r="AT103" s="57">
        <v>0</v>
      </c>
      <c r="AU103" s="57">
        <v>31719.439999999999</v>
      </c>
      <c r="AV103" s="57">
        <v>31719.439999999999</v>
      </c>
      <c r="AW103" s="57">
        <v>31719.439999999999</v>
      </c>
      <c r="AX103" s="57">
        <v>31719.439999999999</v>
      </c>
      <c r="AY103" s="57">
        <v>31719.439999999999</v>
      </c>
      <c r="AZ103" s="57">
        <v>31719.439999999999</v>
      </c>
      <c r="BA103" s="57">
        <v>31719.439999999999</v>
      </c>
      <c r="BB103" s="57">
        <v>31717.748400000004</v>
      </c>
      <c r="BC103" s="57">
        <v>31717.748400000004</v>
      </c>
      <c r="BD103" s="57">
        <v>31717.748400000004</v>
      </c>
      <c r="BE103" s="57">
        <v>31717.748400000004</v>
      </c>
      <c r="BF103" s="57">
        <v>31717.748400000004</v>
      </c>
      <c r="BG103" s="57">
        <v>31717.748400000004</v>
      </c>
      <c r="BH103" s="57">
        <v>31717.748400000004</v>
      </c>
      <c r="BI103" s="57">
        <v>0</v>
      </c>
      <c r="BJ103" s="57">
        <v>0</v>
      </c>
      <c r="BK103" s="57">
        <v>0</v>
      </c>
    </row>
    <row r="104" spans="1:63" ht="13">
      <c r="A104" s="20" t="s">
        <v>318</v>
      </c>
      <c r="B104" s="287" t="s">
        <v>76</v>
      </c>
      <c r="C104" s="290" t="s">
        <v>79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9">
        <v>29539</v>
      </c>
      <c r="AK104" s="59">
        <v>29539</v>
      </c>
      <c r="AL104" s="59">
        <v>29539</v>
      </c>
      <c r="AM104" s="59">
        <v>29539</v>
      </c>
      <c r="AN104" s="59">
        <v>29539</v>
      </c>
      <c r="AO104" s="59">
        <v>29539</v>
      </c>
      <c r="AP104" s="59">
        <v>29539</v>
      </c>
      <c r="AQ104" s="59">
        <v>29539</v>
      </c>
      <c r="AR104" s="59">
        <v>29539</v>
      </c>
      <c r="AS104" s="59">
        <v>29539</v>
      </c>
      <c r="AT104" s="59">
        <v>29539</v>
      </c>
      <c r="AU104" s="59">
        <v>29539</v>
      </c>
      <c r="AV104" s="59">
        <v>29539</v>
      </c>
      <c r="AW104" s="59">
        <v>29539</v>
      </c>
      <c r="AX104" s="59">
        <v>29539</v>
      </c>
      <c r="AY104" s="59">
        <v>29539</v>
      </c>
      <c r="AZ104" s="59">
        <v>29539</v>
      </c>
      <c r="BA104" s="59">
        <v>29539</v>
      </c>
      <c r="BB104" s="59">
        <v>30568.310000000005</v>
      </c>
      <c r="BC104" s="59">
        <v>30568.310000000005</v>
      </c>
      <c r="BD104" s="59">
        <v>30568.310000000005</v>
      </c>
      <c r="BE104" s="59">
        <v>30568.310000000005</v>
      </c>
      <c r="BF104" s="59">
        <v>30568.310000000005</v>
      </c>
      <c r="BG104" s="59">
        <v>30568.310000000005</v>
      </c>
      <c r="BH104" s="59">
        <v>24454.648000000001</v>
      </c>
      <c r="BI104" s="59">
        <v>24454.648000000001</v>
      </c>
      <c r="BJ104" s="59">
        <v>24454.648000000001</v>
      </c>
      <c r="BK104" s="59">
        <v>24454.648000000001</v>
      </c>
    </row>
    <row r="105" spans="1:63" s="291" customFormat="1" ht="13">
      <c r="A105" s="293" t="s">
        <v>397</v>
      </c>
      <c r="B105" s="291" t="s">
        <v>76</v>
      </c>
      <c r="C105" s="292" t="s">
        <v>79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  <c r="U105" s="51">
        <v>0</v>
      </c>
      <c r="V105" s="51">
        <v>0</v>
      </c>
      <c r="W105" s="51">
        <v>0</v>
      </c>
      <c r="X105" s="51">
        <v>0</v>
      </c>
      <c r="Y105" s="51">
        <v>0</v>
      </c>
      <c r="Z105" s="51">
        <v>0</v>
      </c>
      <c r="AA105" s="51">
        <v>0</v>
      </c>
      <c r="AB105" s="51">
        <v>0</v>
      </c>
      <c r="AC105" s="57">
        <v>0</v>
      </c>
      <c r="AD105" s="57">
        <v>0</v>
      </c>
      <c r="AE105" s="57">
        <v>0</v>
      </c>
      <c r="AF105" s="57">
        <v>0</v>
      </c>
      <c r="AG105" s="57">
        <v>0</v>
      </c>
      <c r="AH105" s="57">
        <v>0</v>
      </c>
      <c r="AI105" s="57">
        <v>0</v>
      </c>
      <c r="AJ105" s="57">
        <v>0</v>
      </c>
      <c r="AK105" s="57">
        <v>0</v>
      </c>
      <c r="AL105" s="57">
        <v>0</v>
      </c>
      <c r="AM105" s="57">
        <v>0</v>
      </c>
      <c r="AN105" s="57">
        <v>2018.5</v>
      </c>
      <c r="AO105" s="57">
        <v>2018.5</v>
      </c>
      <c r="AP105" s="57">
        <v>2018.5</v>
      </c>
      <c r="AQ105" s="57">
        <v>2018.5</v>
      </c>
      <c r="AR105" s="57">
        <v>2018.5</v>
      </c>
      <c r="AS105" s="57">
        <v>2018.5</v>
      </c>
      <c r="AT105" s="57">
        <v>2018.5</v>
      </c>
      <c r="AU105" s="57">
        <v>2018.5</v>
      </c>
      <c r="AV105" s="57">
        <v>2018.5</v>
      </c>
      <c r="AW105" s="57">
        <v>2018.5</v>
      </c>
      <c r="AX105" s="57">
        <v>2018.5</v>
      </c>
      <c r="AY105" s="57">
        <v>2018.5</v>
      </c>
      <c r="AZ105" s="57">
        <v>2018.5</v>
      </c>
      <c r="BA105" s="57">
        <v>2018.5</v>
      </c>
      <c r="BB105" s="57">
        <v>2039.31</v>
      </c>
      <c r="BC105" s="57">
        <v>2039.31</v>
      </c>
      <c r="BD105" s="57">
        <v>2039.31</v>
      </c>
      <c r="BE105" s="57">
        <v>2039.31</v>
      </c>
      <c r="BF105" s="57">
        <v>2039.31</v>
      </c>
      <c r="BG105" s="57">
        <v>0</v>
      </c>
      <c r="BH105" s="57">
        <v>0</v>
      </c>
      <c r="BI105" s="57">
        <v>0</v>
      </c>
      <c r="BJ105" s="57">
        <v>0</v>
      </c>
      <c r="BK105" s="57">
        <v>0</v>
      </c>
    </row>
    <row r="106" spans="1:63" ht="13">
      <c r="A106" s="20" t="s">
        <v>409</v>
      </c>
      <c r="B106" s="287" t="s">
        <v>76</v>
      </c>
      <c r="C106" s="290" t="s">
        <v>79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9">
        <v>0</v>
      </c>
      <c r="AO106" s="59">
        <v>0</v>
      </c>
      <c r="AP106" s="59">
        <v>81423</v>
      </c>
      <c r="AQ106" s="59">
        <v>81423</v>
      </c>
      <c r="AR106" s="59">
        <v>81423</v>
      </c>
      <c r="AS106" s="59">
        <v>81423</v>
      </c>
      <c r="AT106" s="59">
        <v>81423</v>
      </c>
      <c r="AU106" s="59">
        <v>81423</v>
      </c>
      <c r="AV106" s="59">
        <v>81423</v>
      </c>
      <c r="AW106" s="59">
        <v>81423</v>
      </c>
      <c r="AX106" s="59">
        <v>81423</v>
      </c>
      <c r="AY106" s="59">
        <v>81423</v>
      </c>
      <c r="AZ106" s="59">
        <v>81423</v>
      </c>
      <c r="BA106" s="59">
        <v>81423</v>
      </c>
      <c r="BB106" s="59">
        <v>82859.346165360286</v>
      </c>
      <c r="BC106" s="59">
        <v>82859.346165360286</v>
      </c>
      <c r="BD106" s="59">
        <v>82859.346165360286</v>
      </c>
      <c r="BE106" s="59">
        <v>82859.346165360286</v>
      </c>
      <c r="BF106" s="59">
        <v>82859.346165360286</v>
      </c>
      <c r="BG106" s="59">
        <v>82859.346165360286</v>
      </c>
      <c r="BH106" s="59">
        <v>82859.346165360286</v>
      </c>
      <c r="BI106" s="59">
        <v>82859.346165360286</v>
      </c>
      <c r="BJ106" s="59">
        <v>82859.346165360286</v>
      </c>
      <c r="BK106" s="59">
        <v>82859.346165360286</v>
      </c>
    </row>
    <row r="107" spans="1:63" ht="13">
      <c r="A107" s="287" t="s">
        <v>419</v>
      </c>
      <c r="B107" s="287" t="s">
        <v>76</v>
      </c>
      <c r="C107" s="290" t="s">
        <v>79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/>
      <c r="J107" s="50">
        <v>0</v>
      </c>
      <c r="K107" s="50">
        <v>0</v>
      </c>
      <c r="L107" s="50">
        <v>0</v>
      </c>
      <c r="M107" s="50"/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>
        <v>0</v>
      </c>
      <c r="W107" s="50">
        <v>0</v>
      </c>
      <c r="X107" s="50">
        <v>0</v>
      </c>
      <c r="Y107" s="50">
        <v>0</v>
      </c>
      <c r="Z107" s="50">
        <v>0</v>
      </c>
      <c r="AA107" s="50">
        <v>0</v>
      </c>
      <c r="AB107" s="50">
        <v>0</v>
      </c>
      <c r="AC107" s="50">
        <v>0</v>
      </c>
      <c r="AD107" s="50">
        <v>0</v>
      </c>
      <c r="AE107" s="50">
        <v>0</v>
      </c>
      <c r="AF107" s="50">
        <v>0</v>
      </c>
      <c r="AG107" s="50">
        <v>0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0</v>
      </c>
      <c r="AN107" s="59">
        <v>0</v>
      </c>
      <c r="AO107" s="59">
        <v>0</v>
      </c>
      <c r="AP107" s="59">
        <v>0</v>
      </c>
      <c r="AQ107" s="59">
        <v>0</v>
      </c>
      <c r="AR107" s="59">
        <v>53892</v>
      </c>
      <c r="AS107" s="59">
        <v>53892</v>
      </c>
      <c r="AT107" s="59">
        <v>53892</v>
      </c>
      <c r="AU107" s="59">
        <v>53892</v>
      </c>
      <c r="AV107" s="59">
        <v>53892</v>
      </c>
      <c r="AW107" s="59">
        <v>53892</v>
      </c>
      <c r="AX107" s="59">
        <v>53892</v>
      </c>
      <c r="AY107" s="59">
        <v>53892</v>
      </c>
      <c r="AZ107" s="59">
        <v>53892</v>
      </c>
      <c r="BA107" s="59">
        <v>53892</v>
      </c>
      <c r="BB107" s="59">
        <v>61393.390855366932</v>
      </c>
      <c r="BC107" s="59">
        <v>61393.390855366932</v>
      </c>
      <c r="BD107" s="59">
        <v>61393.390855366932</v>
      </c>
      <c r="BE107" s="59">
        <v>61393.390855366932</v>
      </c>
      <c r="BF107" s="59">
        <v>61393.390855366932</v>
      </c>
      <c r="BG107" s="59">
        <v>61393.390855366932</v>
      </c>
      <c r="BH107" s="59">
        <v>61393.390855366932</v>
      </c>
      <c r="BI107" s="59">
        <v>61393.390855366932</v>
      </c>
      <c r="BJ107" s="59">
        <v>61393.390855366932</v>
      </c>
      <c r="BK107" s="59">
        <v>61393.390855366932</v>
      </c>
    </row>
    <row r="108" spans="1:63" ht="13">
      <c r="A108" s="287" t="s">
        <v>420</v>
      </c>
      <c r="B108" s="287" t="s">
        <v>144</v>
      </c>
      <c r="C108" s="290" t="s">
        <v>79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/>
      <c r="J108" s="50">
        <v>0</v>
      </c>
      <c r="K108" s="50">
        <v>0</v>
      </c>
      <c r="L108" s="50">
        <v>0</v>
      </c>
      <c r="M108" s="50"/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9">
        <v>0</v>
      </c>
      <c r="AO108" s="59">
        <v>0</v>
      </c>
      <c r="AP108" s="59">
        <v>0</v>
      </c>
      <c r="AQ108" s="59">
        <v>0</v>
      </c>
      <c r="AR108" s="59">
        <v>22986</v>
      </c>
      <c r="AS108" s="59">
        <v>22986</v>
      </c>
      <c r="AT108" s="59">
        <v>22986</v>
      </c>
      <c r="AU108" s="59">
        <v>22986</v>
      </c>
      <c r="AV108" s="59">
        <v>22986</v>
      </c>
      <c r="AW108" s="59">
        <v>22986</v>
      </c>
      <c r="AX108" s="59">
        <v>22986</v>
      </c>
      <c r="AY108" s="59">
        <v>22986</v>
      </c>
      <c r="AZ108" s="59">
        <v>22986</v>
      </c>
      <c r="BA108" s="59">
        <v>22986</v>
      </c>
      <c r="BB108" s="59">
        <v>22992.973899999997</v>
      </c>
      <c r="BC108" s="59">
        <v>22992.973899999997</v>
      </c>
      <c r="BD108" s="59">
        <v>22992.973899999997</v>
      </c>
      <c r="BE108" s="59">
        <v>22992.973899999997</v>
      </c>
      <c r="BF108" s="59">
        <v>22992.973899999997</v>
      </c>
      <c r="BG108" s="59">
        <v>22992.973899999997</v>
      </c>
      <c r="BH108" s="59">
        <v>22992.973899999997</v>
      </c>
      <c r="BI108" s="59">
        <v>22992.973899999997</v>
      </c>
      <c r="BJ108" s="59">
        <v>22992.973899999997</v>
      </c>
      <c r="BK108" s="59">
        <v>22992.973899999997</v>
      </c>
    </row>
    <row r="109" spans="1:63" ht="13">
      <c r="A109" s="20" t="s">
        <v>587</v>
      </c>
      <c r="B109" s="287" t="s">
        <v>144</v>
      </c>
      <c r="C109" s="290" t="s">
        <v>79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9">
        <v>14388</v>
      </c>
      <c r="AT109" s="59">
        <v>14388</v>
      </c>
      <c r="AU109" s="59">
        <v>14388</v>
      </c>
      <c r="AV109" s="59">
        <v>14388</v>
      </c>
      <c r="AW109" s="59">
        <v>14388</v>
      </c>
      <c r="AX109" s="59">
        <v>14388</v>
      </c>
      <c r="AY109" s="59">
        <v>14388</v>
      </c>
      <c r="AZ109" s="59">
        <v>14388</v>
      </c>
      <c r="BA109" s="59">
        <v>14388</v>
      </c>
      <c r="BB109" s="59">
        <v>14404.254699999998</v>
      </c>
      <c r="BC109" s="59">
        <v>14404.254699999998</v>
      </c>
      <c r="BD109" s="59">
        <v>14404.254699999998</v>
      </c>
      <c r="BE109" s="59">
        <v>14404.254699999998</v>
      </c>
      <c r="BF109" s="59">
        <v>14404.254699999998</v>
      </c>
      <c r="BG109" s="59">
        <v>14404.254699999998</v>
      </c>
      <c r="BH109" s="59">
        <v>14404.254699999998</v>
      </c>
      <c r="BI109" s="59">
        <v>14404.254699999998</v>
      </c>
      <c r="BJ109" s="59">
        <v>14404.254699999998</v>
      </c>
      <c r="BK109" s="59">
        <v>14404.254699999998</v>
      </c>
    </row>
    <row r="110" spans="1:63" ht="13">
      <c r="A110" s="20" t="s">
        <v>666</v>
      </c>
      <c r="B110" s="287" t="s">
        <v>76</v>
      </c>
      <c r="C110" s="290" t="s">
        <v>79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0</v>
      </c>
      <c r="AQ110" s="50">
        <v>0</v>
      </c>
      <c r="AR110" s="50">
        <v>0</v>
      </c>
      <c r="AS110" s="50">
        <v>0</v>
      </c>
      <c r="AT110" s="50">
        <v>0</v>
      </c>
      <c r="AU110" s="50">
        <v>0</v>
      </c>
      <c r="AV110" s="50">
        <v>0</v>
      </c>
      <c r="AW110" s="50">
        <v>0</v>
      </c>
      <c r="AX110" s="50">
        <v>0</v>
      </c>
      <c r="AY110" s="50">
        <v>0</v>
      </c>
      <c r="AZ110" s="50">
        <v>0</v>
      </c>
      <c r="BA110" s="50">
        <v>0</v>
      </c>
      <c r="BB110" s="50">
        <v>0</v>
      </c>
      <c r="BC110" s="50">
        <v>0</v>
      </c>
      <c r="BD110" s="50">
        <v>0</v>
      </c>
      <c r="BE110" s="50">
        <v>0</v>
      </c>
      <c r="BF110" s="59">
        <v>45677.89</v>
      </c>
      <c r="BG110" s="59">
        <v>101925.89</v>
      </c>
      <c r="BH110" s="59">
        <v>101925.89</v>
      </c>
      <c r="BI110" s="59">
        <v>101925.89</v>
      </c>
      <c r="BJ110" s="59">
        <v>101925.89</v>
      </c>
      <c r="BK110" s="59">
        <v>101925.89</v>
      </c>
    </row>
    <row r="111" spans="1:63" ht="13">
      <c r="A111" s="20" t="s">
        <v>662</v>
      </c>
      <c r="B111" s="287" t="s">
        <v>144</v>
      </c>
      <c r="C111" s="290" t="s">
        <v>79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0">
        <v>0</v>
      </c>
      <c r="AQ111" s="50">
        <v>0</v>
      </c>
      <c r="AR111" s="50">
        <v>0</v>
      </c>
      <c r="AS111" s="50">
        <v>0</v>
      </c>
      <c r="AT111" s="50">
        <v>0</v>
      </c>
      <c r="AU111" s="50">
        <v>0</v>
      </c>
      <c r="AV111" s="50">
        <v>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0</v>
      </c>
      <c r="BC111" s="50">
        <v>0</v>
      </c>
      <c r="BD111" s="50">
        <v>0</v>
      </c>
      <c r="BE111" s="50">
        <v>0</v>
      </c>
      <c r="BF111" s="59">
        <v>9962.42</v>
      </c>
      <c r="BG111" s="59">
        <v>9962.42</v>
      </c>
      <c r="BH111" s="59">
        <v>9962.42</v>
      </c>
      <c r="BI111" s="59">
        <v>9962.42</v>
      </c>
      <c r="BJ111" s="59">
        <v>9962.42</v>
      </c>
      <c r="BK111" s="59">
        <v>9962.42</v>
      </c>
    </row>
    <row r="112" spans="1:63" ht="13">
      <c r="A112" s="20" t="s">
        <v>672</v>
      </c>
      <c r="B112" s="287" t="s">
        <v>144</v>
      </c>
      <c r="C112" s="290" t="s">
        <v>79</v>
      </c>
      <c r="D112" s="59">
        <v>0</v>
      </c>
      <c r="E112" s="59">
        <v>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  <c r="AB112" s="59">
        <v>0</v>
      </c>
      <c r="AC112" s="59">
        <v>0</v>
      </c>
      <c r="AD112" s="59">
        <v>0</v>
      </c>
      <c r="AE112" s="59">
        <v>0</v>
      </c>
      <c r="AF112" s="59">
        <v>0</v>
      </c>
      <c r="AG112" s="59">
        <v>0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0</v>
      </c>
      <c r="AO112" s="59">
        <v>0</v>
      </c>
      <c r="AP112" s="59">
        <v>0</v>
      </c>
      <c r="AQ112" s="59">
        <v>0</v>
      </c>
      <c r="AR112" s="59">
        <v>0</v>
      </c>
      <c r="AS112" s="59">
        <v>0</v>
      </c>
      <c r="AT112" s="59">
        <v>0</v>
      </c>
      <c r="AU112" s="59">
        <v>0</v>
      </c>
      <c r="AV112" s="59">
        <v>0</v>
      </c>
      <c r="AW112" s="59">
        <v>0</v>
      </c>
      <c r="AX112" s="59">
        <v>0</v>
      </c>
      <c r="AY112" s="59">
        <v>0</v>
      </c>
      <c r="AZ112" s="59">
        <v>0</v>
      </c>
      <c r="BA112" s="59">
        <v>0</v>
      </c>
      <c r="BB112" s="59">
        <v>0</v>
      </c>
      <c r="BC112" s="59">
        <v>0</v>
      </c>
      <c r="BD112" s="59">
        <v>0</v>
      </c>
      <c r="BE112" s="59">
        <v>0</v>
      </c>
      <c r="BF112" s="59">
        <v>0</v>
      </c>
      <c r="BG112" s="59">
        <v>0</v>
      </c>
      <c r="BH112" s="59">
        <v>0</v>
      </c>
      <c r="BI112" s="59">
        <v>0</v>
      </c>
      <c r="BJ112" s="11">
        <v>62765</v>
      </c>
      <c r="BK112" s="11">
        <v>62765</v>
      </c>
    </row>
    <row r="113" spans="1:63" ht="13">
      <c r="A113" s="20"/>
      <c r="B113" s="287"/>
      <c r="C113" s="29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49"/>
      <c r="AA113" s="49"/>
      <c r="AB113" s="59"/>
      <c r="AC113" s="59"/>
      <c r="AD113" s="59"/>
    </row>
    <row r="114" spans="1:63" s="288" customFormat="1" ht="13.5" thickBot="1">
      <c r="A114" s="289" t="s">
        <v>132</v>
      </c>
      <c r="B114" s="289"/>
      <c r="C114" s="289"/>
      <c r="D114" s="62">
        <f>SUM(D6:D112)</f>
        <v>26762.53</v>
      </c>
      <c r="E114" s="62">
        <f t="shared" ref="E114:BJ114" si="0">SUM(E6:E112)</f>
        <v>236896.20000000004</v>
      </c>
      <c r="F114" s="62">
        <f t="shared" si="0"/>
        <v>294363.70000000007</v>
      </c>
      <c r="G114" s="62">
        <f t="shared" si="0"/>
        <v>388962.84000000008</v>
      </c>
      <c r="H114" s="62">
        <f t="shared" si="0"/>
        <v>422731.35000000009</v>
      </c>
      <c r="I114" s="62">
        <f t="shared" si="0"/>
        <v>437528.35000000009</v>
      </c>
      <c r="J114" s="62">
        <f t="shared" si="0"/>
        <v>437528.35000000009</v>
      </c>
      <c r="K114" s="62">
        <f t="shared" si="0"/>
        <v>437528.35000000009</v>
      </c>
      <c r="L114" s="62">
        <f t="shared" si="0"/>
        <v>432799.35000000009</v>
      </c>
      <c r="M114" s="62">
        <f t="shared" si="0"/>
        <v>432799.35000000009</v>
      </c>
      <c r="N114" s="62">
        <f t="shared" si="0"/>
        <v>640139.9600000002</v>
      </c>
      <c r="O114" s="62">
        <f t="shared" si="0"/>
        <v>741148.80000000016</v>
      </c>
      <c r="P114" s="62">
        <f t="shared" si="0"/>
        <v>1004896.4300000002</v>
      </c>
      <c r="Q114" s="62">
        <f t="shared" si="0"/>
        <v>1037002.4300000002</v>
      </c>
      <c r="R114" s="62">
        <f t="shared" si="0"/>
        <v>1171510.9000000001</v>
      </c>
      <c r="S114" s="62">
        <f t="shared" si="0"/>
        <v>1162553.3</v>
      </c>
      <c r="T114" s="62">
        <f t="shared" si="0"/>
        <v>1162287.3</v>
      </c>
      <c r="U114" s="62">
        <f t="shared" si="0"/>
        <v>1167987.4550000001</v>
      </c>
      <c r="V114" s="62">
        <f t="shared" si="0"/>
        <v>1164217.655</v>
      </c>
      <c r="W114" s="62">
        <f t="shared" si="0"/>
        <v>1696684.7620000003</v>
      </c>
      <c r="X114" s="62">
        <f t="shared" si="0"/>
        <v>1730594.0260000003</v>
      </c>
      <c r="Y114" s="62">
        <f t="shared" si="0"/>
        <v>1730594.0260000003</v>
      </c>
      <c r="Z114" s="62">
        <f t="shared" si="0"/>
        <v>1901134.4260000002</v>
      </c>
      <c r="AA114" s="62">
        <f t="shared" si="0"/>
        <v>1922402.8760000002</v>
      </c>
      <c r="AB114" s="62">
        <f t="shared" si="0"/>
        <v>1944883.8760000002</v>
      </c>
      <c r="AC114" s="62">
        <f t="shared" si="0"/>
        <v>1939384.412</v>
      </c>
      <c r="AD114" s="62">
        <f t="shared" si="0"/>
        <v>1939384.412</v>
      </c>
      <c r="AE114" s="62">
        <f t="shared" si="0"/>
        <v>1943967.172</v>
      </c>
      <c r="AF114" s="62">
        <f t="shared" si="0"/>
        <v>1077163.4919999999</v>
      </c>
      <c r="AG114" s="62">
        <f t="shared" si="0"/>
        <v>965224.09199999995</v>
      </c>
      <c r="AH114" s="62">
        <f t="shared" si="0"/>
        <v>965224.09199999995</v>
      </c>
      <c r="AI114" s="62">
        <f t="shared" si="0"/>
        <v>965224.09199999995</v>
      </c>
      <c r="AJ114" s="62">
        <f t="shared" si="0"/>
        <v>987229.09199999995</v>
      </c>
      <c r="AK114" s="62">
        <f t="shared" si="0"/>
        <v>987229.09199999995</v>
      </c>
      <c r="AL114" s="62">
        <f t="shared" si="0"/>
        <v>528253</v>
      </c>
      <c r="AM114" s="62">
        <f t="shared" si="0"/>
        <v>528253</v>
      </c>
      <c r="AN114" s="62">
        <f t="shared" si="0"/>
        <v>538021.94000000006</v>
      </c>
      <c r="AO114" s="62">
        <f t="shared" si="0"/>
        <v>499074.94000000006</v>
      </c>
      <c r="AP114" s="62">
        <f t="shared" si="0"/>
        <v>580497.94000000006</v>
      </c>
      <c r="AQ114" s="62">
        <f t="shared" si="0"/>
        <v>533144.47</v>
      </c>
      <c r="AR114" s="62">
        <f t="shared" si="0"/>
        <v>610022.47</v>
      </c>
      <c r="AS114" s="62">
        <f t="shared" si="0"/>
        <v>610285.24</v>
      </c>
      <c r="AT114" s="62">
        <f t="shared" si="0"/>
        <v>610285.24</v>
      </c>
      <c r="AU114" s="62">
        <f t="shared" si="0"/>
        <v>642004.68000000005</v>
      </c>
      <c r="AV114" s="62">
        <f t="shared" si="0"/>
        <v>636414.68000000005</v>
      </c>
      <c r="AW114" s="62">
        <f t="shared" si="0"/>
        <v>636414.68000000005</v>
      </c>
      <c r="AX114" s="62">
        <f t="shared" si="0"/>
        <v>636414.68000000005</v>
      </c>
      <c r="AY114" s="62">
        <f t="shared" si="0"/>
        <v>636414.68000000005</v>
      </c>
      <c r="AZ114" s="62">
        <f t="shared" si="0"/>
        <v>597313.15</v>
      </c>
      <c r="BA114" s="62">
        <f t="shared" si="0"/>
        <v>597313.15</v>
      </c>
      <c r="BB114" s="62">
        <f t="shared" si="0"/>
        <v>458082.1293969524</v>
      </c>
      <c r="BC114" s="62">
        <f t="shared" si="0"/>
        <v>458082.1293969524</v>
      </c>
      <c r="BD114" s="62">
        <f t="shared" si="0"/>
        <v>458082.1293969524</v>
      </c>
      <c r="BE114" s="62">
        <f t="shared" si="0"/>
        <v>458082.1293969524</v>
      </c>
      <c r="BF114" s="62">
        <f t="shared" si="0"/>
        <v>513722.4393969524</v>
      </c>
      <c r="BG114" s="62">
        <f t="shared" si="0"/>
        <v>562394.28549695248</v>
      </c>
      <c r="BH114" s="62">
        <f t="shared" si="0"/>
        <v>556280.62349695247</v>
      </c>
      <c r="BI114" s="62">
        <f t="shared" si="0"/>
        <v>524562.87509695243</v>
      </c>
      <c r="BJ114" s="62">
        <f t="shared" si="0"/>
        <v>587327.87509695243</v>
      </c>
      <c r="BK114" s="62">
        <f t="shared" ref="BK114" si="1">SUM(BK6:BK112)</f>
        <v>587327.87509695243</v>
      </c>
    </row>
    <row r="115" spans="1:63" ht="13"/>
    <row r="116" spans="1:63" ht="13">
      <c r="B116" s="282" t="s">
        <v>76</v>
      </c>
      <c r="D116" s="63">
        <f t="shared" ref="D116:BI116" si="2">SUMIF($B$6:$B$112,$B116,D$6:D$112)</f>
        <v>26762.53</v>
      </c>
      <c r="E116" s="63">
        <f t="shared" si="2"/>
        <v>108539.20000000001</v>
      </c>
      <c r="F116" s="63">
        <f t="shared" si="2"/>
        <v>158258.43</v>
      </c>
      <c r="G116" s="63">
        <f t="shared" si="2"/>
        <v>173013.43</v>
      </c>
      <c r="H116" s="63">
        <f t="shared" si="2"/>
        <v>191281.94</v>
      </c>
      <c r="I116" s="63">
        <f t="shared" si="2"/>
        <v>191281.94</v>
      </c>
      <c r="J116" s="63">
        <f t="shared" si="2"/>
        <v>191281.94</v>
      </c>
      <c r="K116" s="63">
        <f t="shared" si="2"/>
        <v>191281.94</v>
      </c>
      <c r="L116" s="63">
        <f t="shared" si="2"/>
        <v>186552.94</v>
      </c>
      <c r="M116" s="63">
        <f t="shared" si="2"/>
        <v>186552.94</v>
      </c>
      <c r="N116" s="63">
        <f t="shared" si="2"/>
        <v>199635.86</v>
      </c>
      <c r="O116" s="63">
        <f t="shared" si="2"/>
        <v>198765.86</v>
      </c>
      <c r="P116" s="63">
        <f t="shared" si="2"/>
        <v>267564.49</v>
      </c>
      <c r="Q116" s="63">
        <f t="shared" si="2"/>
        <v>289057.49</v>
      </c>
      <c r="R116" s="63">
        <f t="shared" si="2"/>
        <v>309757.55</v>
      </c>
      <c r="S116" s="63">
        <f t="shared" si="2"/>
        <v>300799.95</v>
      </c>
      <c r="T116" s="63">
        <f t="shared" si="2"/>
        <v>300533.95</v>
      </c>
      <c r="U116" s="63">
        <f t="shared" si="2"/>
        <v>300007.77499999997</v>
      </c>
      <c r="V116" s="63">
        <f t="shared" si="2"/>
        <v>298409.17499999999</v>
      </c>
      <c r="W116" s="63">
        <f t="shared" si="2"/>
        <v>438179.41</v>
      </c>
      <c r="X116" s="63">
        <f t="shared" si="2"/>
        <v>472088.674</v>
      </c>
      <c r="Y116" s="63">
        <f t="shared" si="2"/>
        <v>472088.674</v>
      </c>
      <c r="Z116" s="63">
        <f t="shared" si="2"/>
        <v>597387.07400000002</v>
      </c>
      <c r="AA116" s="63">
        <f t="shared" si="2"/>
        <v>618655.52399999998</v>
      </c>
      <c r="AB116" s="63">
        <f t="shared" si="2"/>
        <v>618121.52399999998</v>
      </c>
      <c r="AC116" s="63">
        <f t="shared" si="2"/>
        <v>597297.06000000006</v>
      </c>
      <c r="AD116" s="63">
        <f t="shared" si="2"/>
        <v>597297.06000000006</v>
      </c>
      <c r="AE116" s="63">
        <f t="shared" si="2"/>
        <v>601879.82000000007</v>
      </c>
      <c r="AF116" s="63">
        <f t="shared" si="2"/>
        <v>601879.82000000007</v>
      </c>
      <c r="AG116" s="63">
        <f t="shared" si="2"/>
        <v>588090.78</v>
      </c>
      <c r="AH116" s="63">
        <f t="shared" si="2"/>
        <v>588090.78</v>
      </c>
      <c r="AI116" s="63">
        <f t="shared" si="2"/>
        <v>588090.78</v>
      </c>
      <c r="AJ116" s="63">
        <f t="shared" si="2"/>
        <v>610095.78</v>
      </c>
      <c r="AK116" s="63">
        <f t="shared" si="2"/>
        <v>610095.78</v>
      </c>
      <c r="AL116" s="63">
        <f t="shared" si="2"/>
        <v>441952.53</v>
      </c>
      <c r="AM116" s="63">
        <f t="shared" si="2"/>
        <v>441952.53</v>
      </c>
      <c r="AN116" s="63">
        <f t="shared" si="2"/>
        <v>451721.47000000003</v>
      </c>
      <c r="AO116" s="63">
        <f t="shared" si="2"/>
        <v>451721.47000000003</v>
      </c>
      <c r="AP116" s="63">
        <f t="shared" si="2"/>
        <v>533144.47</v>
      </c>
      <c r="AQ116" s="63">
        <f t="shared" si="2"/>
        <v>533144.47</v>
      </c>
      <c r="AR116" s="63">
        <f t="shared" si="2"/>
        <v>587036.47</v>
      </c>
      <c r="AS116" s="63">
        <f t="shared" si="2"/>
        <v>572911.24</v>
      </c>
      <c r="AT116" s="63">
        <f t="shared" si="2"/>
        <v>572911.24</v>
      </c>
      <c r="AU116" s="63">
        <f t="shared" si="2"/>
        <v>572911.24</v>
      </c>
      <c r="AV116" s="63">
        <f t="shared" si="2"/>
        <v>567321.24</v>
      </c>
      <c r="AW116" s="63">
        <f t="shared" si="2"/>
        <v>567321.24</v>
      </c>
      <c r="AX116" s="63">
        <f t="shared" si="2"/>
        <v>567321.24</v>
      </c>
      <c r="AY116" s="63">
        <f t="shared" si="2"/>
        <v>567321.24</v>
      </c>
      <c r="AZ116" s="63">
        <f t="shared" si="2"/>
        <v>528219.71</v>
      </c>
      <c r="BA116" s="63">
        <f t="shared" si="2"/>
        <v>528219.71</v>
      </c>
      <c r="BB116" s="63">
        <f t="shared" si="2"/>
        <v>388967.15239695238</v>
      </c>
      <c r="BC116" s="63">
        <f t="shared" si="2"/>
        <v>388967.15239695238</v>
      </c>
      <c r="BD116" s="63">
        <f t="shared" si="2"/>
        <v>388967.15239695238</v>
      </c>
      <c r="BE116" s="63">
        <f t="shared" si="2"/>
        <v>388967.15239695238</v>
      </c>
      <c r="BF116" s="63">
        <f t="shared" si="2"/>
        <v>434645.0423969524</v>
      </c>
      <c r="BG116" s="63">
        <f t="shared" si="2"/>
        <v>483316.88849695242</v>
      </c>
      <c r="BH116" s="63">
        <f t="shared" si="2"/>
        <v>477203.22649695241</v>
      </c>
      <c r="BI116" s="63">
        <f t="shared" si="2"/>
        <v>477203.22649695241</v>
      </c>
      <c r="BJ116" s="63">
        <f>SUMIF($B$6:$B$112,$B116,BJ$6:BJ$112)</f>
        <v>477203.22649695241</v>
      </c>
      <c r="BK116" s="63">
        <f>SUMIF($B$6:$B$112,$B116,BK$6:BK$112)</f>
        <v>477203.22649695241</v>
      </c>
    </row>
    <row r="117" spans="1:63" ht="13">
      <c r="B117" s="282" t="s">
        <v>144</v>
      </c>
      <c r="D117" s="64">
        <f>SUMIF($B$6:$B$112,$B117,D$6:D$112)</f>
        <v>0</v>
      </c>
      <c r="E117" s="64">
        <f t="shared" ref="E117:BI117" si="3">SUMIF($B$6:$B$112,$B117,E$6:E$112)</f>
        <v>128357</v>
      </c>
      <c r="F117" s="64">
        <f t="shared" si="3"/>
        <v>136105.26999999999</v>
      </c>
      <c r="G117" s="64">
        <f t="shared" si="3"/>
        <v>215949.40999999997</v>
      </c>
      <c r="H117" s="64">
        <f t="shared" si="3"/>
        <v>231449.40999999997</v>
      </c>
      <c r="I117" s="64">
        <f t="shared" si="3"/>
        <v>246246.40999999997</v>
      </c>
      <c r="J117" s="64">
        <f t="shared" si="3"/>
        <v>246246.40999999997</v>
      </c>
      <c r="K117" s="64">
        <f t="shared" si="3"/>
        <v>246246.40999999997</v>
      </c>
      <c r="L117" s="64">
        <f t="shared" si="3"/>
        <v>246246.40999999997</v>
      </c>
      <c r="M117" s="64">
        <f t="shared" si="3"/>
        <v>246246.40999999997</v>
      </c>
      <c r="N117" s="64">
        <f t="shared" si="3"/>
        <v>440504.1</v>
      </c>
      <c r="O117" s="64">
        <f t="shared" si="3"/>
        <v>542382.93999999994</v>
      </c>
      <c r="P117" s="64">
        <f t="shared" si="3"/>
        <v>737331.94</v>
      </c>
      <c r="Q117" s="64">
        <f t="shared" si="3"/>
        <v>747944.94</v>
      </c>
      <c r="R117" s="64">
        <f t="shared" si="3"/>
        <v>760867.94</v>
      </c>
      <c r="S117" s="64">
        <f t="shared" si="3"/>
        <v>760867.94</v>
      </c>
      <c r="T117" s="64">
        <f t="shared" si="3"/>
        <v>760867.94</v>
      </c>
      <c r="U117" s="64">
        <f t="shared" si="3"/>
        <v>767093.4800000001</v>
      </c>
      <c r="V117" s="64">
        <f t="shared" si="3"/>
        <v>767093.4800000001</v>
      </c>
      <c r="W117" s="64">
        <f t="shared" si="3"/>
        <v>1144451.3820000002</v>
      </c>
      <c r="X117" s="64">
        <f t="shared" si="3"/>
        <v>1144451.3820000002</v>
      </c>
      <c r="Y117" s="64">
        <f t="shared" si="3"/>
        <v>1144451.3820000002</v>
      </c>
      <c r="Z117" s="64">
        <f t="shared" si="3"/>
        <v>1189693.3820000002</v>
      </c>
      <c r="AA117" s="64">
        <f t="shared" si="3"/>
        <v>1189693.3820000002</v>
      </c>
      <c r="AB117" s="64">
        <f t="shared" si="3"/>
        <v>1212708.3820000002</v>
      </c>
      <c r="AC117" s="64">
        <f t="shared" si="3"/>
        <v>1228033.3820000002</v>
      </c>
      <c r="AD117" s="64">
        <f t="shared" si="3"/>
        <v>1228033.3820000002</v>
      </c>
      <c r="AE117" s="64">
        <f t="shared" si="3"/>
        <v>1228033.3820000002</v>
      </c>
      <c r="AF117" s="64">
        <f t="shared" si="3"/>
        <v>361229.70200000005</v>
      </c>
      <c r="AG117" s="64">
        <f t="shared" si="3"/>
        <v>361793.342</v>
      </c>
      <c r="AH117" s="64">
        <f t="shared" si="3"/>
        <v>361793.342</v>
      </c>
      <c r="AI117" s="64">
        <f t="shared" si="3"/>
        <v>361793.342</v>
      </c>
      <c r="AJ117" s="64">
        <f t="shared" si="3"/>
        <v>361793.342</v>
      </c>
      <c r="AK117" s="64">
        <f t="shared" si="3"/>
        <v>361793.342</v>
      </c>
      <c r="AL117" s="64">
        <f t="shared" si="3"/>
        <v>86300.47</v>
      </c>
      <c r="AM117" s="64">
        <f t="shared" si="3"/>
        <v>86300.47</v>
      </c>
      <c r="AN117" s="64">
        <f t="shared" si="3"/>
        <v>86300.47</v>
      </c>
      <c r="AO117" s="64">
        <f t="shared" si="3"/>
        <v>47353.47</v>
      </c>
      <c r="AP117" s="64">
        <f t="shared" si="3"/>
        <v>47353.47</v>
      </c>
      <c r="AQ117" s="64">
        <f t="shared" si="3"/>
        <v>0</v>
      </c>
      <c r="AR117" s="64">
        <f t="shared" si="3"/>
        <v>22986</v>
      </c>
      <c r="AS117" s="64">
        <f t="shared" si="3"/>
        <v>37374</v>
      </c>
      <c r="AT117" s="64">
        <f t="shared" si="3"/>
        <v>37374</v>
      </c>
      <c r="AU117" s="64">
        <f t="shared" si="3"/>
        <v>69093.440000000002</v>
      </c>
      <c r="AV117" s="64">
        <f t="shared" si="3"/>
        <v>69093.440000000002</v>
      </c>
      <c r="AW117" s="64">
        <f t="shared" si="3"/>
        <v>69093.440000000002</v>
      </c>
      <c r="AX117" s="64">
        <f t="shared" si="3"/>
        <v>69093.440000000002</v>
      </c>
      <c r="AY117" s="64">
        <f t="shared" si="3"/>
        <v>69093.440000000002</v>
      </c>
      <c r="AZ117" s="64">
        <f t="shared" si="3"/>
        <v>69093.440000000002</v>
      </c>
      <c r="BA117" s="64">
        <f t="shared" si="3"/>
        <v>69093.440000000002</v>
      </c>
      <c r="BB117" s="64">
        <f t="shared" si="3"/>
        <v>69114.976999999999</v>
      </c>
      <c r="BC117" s="64">
        <f t="shared" si="3"/>
        <v>69114.976999999999</v>
      </c>
      <c r="BD117" s="64">
        <f t="shared" si="3"/>
        <v>69114.976999999999</v>
      </c>
      <c r="BE117" s="64">
        <f t="shared" si="3"/>
        <v>69114.976999999999</v>
      </c>
      <c r="BF117" s="64">
        <f t="shared" si="3"/>
        <v>79077.396999999997</v>
      </c>
      <c r="BG117" s="64">
        <f t="shared" si="3"/>
        <v>79077.396999999997</v>
      </c>
      <c r="BH117" s="64">
        <f t="shared" si="3"/>
        <v>79077.396999999997</v>
      </c>
      <c r="BI117" s="64">
        <f t="shared" si="3"/>
        <v>47359.648599999993</v>
      </c>
      <c r="BJ117" s="64">
        <f>SUMIF($B$6:$B$112,$B117,BJ$6:BJ$112)</f>
        <v>110124.64859999999</v>
      </c>
      <c r="BK117" s="64">
        <f>SUMIF($B$6:$B$112,$B117,BK$6:BK$112)</f>
        <v>110124.64859999999</v>
      </c>
    </row>
    <row r="118" spans="1:63" ht="13">
      <c r="B118" s="287" t="s">
        <v>142</v>
      </c>
      <c r="D118" s="65">
        <f t="shared" ref="D118:M118" si="4">SUMIF($B$6:$B$109,$B118,D$6:D$109)</f>
        <v>0</v>
      </c>
      <c r="E118" s="65">
        <f t="shared" si="4"/>
        <v>0</v>
      </c>
      <c r="F118" s="65">
        <f t="shared" si="4"/>
        <v>0</v>
      </c>
      <c r="G118" s="65">
        <f t="shared" si="4"/>
        <v>0</v>
      </c>
      <c r="H118" s="65">
        <f t="shared" si="4"/>
        <v>0</v>
      </c>
      <c r="I118" s="65">
        <f t="shared" si="4"/>
        <v>0</v>
      </c>
      <c r="J118" s="65">
        <f t="shared" si="4"/>
        <v>0</v>
      </c>
      <c r="K118" s="65">
        <f t="shared" si="4"/>
        <v>0</v>
      </c>
      <c r="L118" s="65">
        <f t="shared" si="4"/>
        <v>0</v>
      </c>
      <c r="M118" s="65">
        <f t="shared" si="4"/>
        <v>0</v>
      </c>
      <c r="N118" s="65">
        <f t="shared" ref="N118:W118" si="5">SUMIF($B$6:$B$109,$B118,N$6:N$109)</f>
        <v>0</v>
      </c>
      <c r="O118" s="65">
        <f t="shared" si="5"/>
        <v>0</v>
      </c>
      <c r="P118" s="65">
        <f t="shared" si="5"/>
        <v>0</v>
      </c>
      <c r="Q118" s="65">
        <f t="shared" si="5"/>
        <v>0</v>
      </c>
      <c r="R118" s="65">
        <f t="shared" si="5"/>
        <v>100885.40999999999</v>
      </c>
      <c r="S118" s="65">
        <f t="shared" si="5"/>
        <v>100885.40999999999</v>
      </c>
      <c r="T118" s="65">
        <f t="shared" si="5"/>
        <v>100885.40999999999</v>
      </c>
      <c r="U118" s="65">
        <f t="shared" si="5"/>
        <v>100886.2</v>
      </c>
      <c r="V118" s="65">
        <f t="shared" si="5"/>
        <v>98715</v>
      </c>
      <c r="W118" s="65">
        <f t="shared" si="5"/>
        <v>114053.97</v>
      </c>
      <c r="X118" s="65">
        <f t="shared" ref="X118:AG118" si="6">SUMIF($B$6:$B$109,$B118,X$6:X$109)</f>
        <v>114053.97</v>
      </c>
      <c r="Y118" s="65">
        <f t="shared" si="6"/>
        <v>114053.97</v>
      </c>
      <c r="Z118" s="65">
        <f t="shared" si="6"/>
        <v>114053.97</v>
      </c>
      <c r="AA118" s="65">
        <f t="shared" si="6"/>
        <v>114053.97</v>
      </c>
      <c r="AB118" s="65">
        <f t="shared" si="6"/>
        <v>114053.97</v>
      </c>
      <c r="AC118" s="65">
        <f t="shared" si="6"/>
        <v>114053.97</v>
      </c>
      <c r="AD118" s="65">
        <f t="shared" si="6"/>
        <v>114053.97</v>
      </c>
      <c r="AE118" s="65">
        <f t="shared" si="6"/>
        <v>114053.97</v>
      </c>
      <c r="AF118" s="65">
        <f t="shared" si="6"/>
        <v>114053.97</v>
      </c>
      <c r="AG118" s="65">
        <f t="shared" si="6"/>
        <v>15339.970000000001</v>
      </c>
      <c r="AH118" s="65">
        <f t="shared" ref="AH118:AQ118" si="7">SUMIF($B$6:$B$109,$B118,AH$6:AH$109)</f>
        <v>15339.970000000001</v>
      </c>
      <c r="AI118" s="65">
        <f t="shared" si="7"/>
        <v>15339.970000000001</v>
      </c>
      <c r="AJ118" s="65">
        <f t="shared" si="7"/>
        <v>15339.970000000001</v>
      </c>
      <c r="AK118" s="65">
        <f t="shared" si="7"/>
        <v>15339.970000000001</v>
      </c>
      <c r="AL118" s="65">
        <f t="shared" si="7"/>
        <v>0</v>
      </c>
      <c r="AM118" s="65">
        <f t="shared" si="7"/>
        <v>0</v>
      </c>
      <c r="AN118" s="65">
        <f t="shared" si="7"/>
        <v>0</v>
      </c>
      <c r="AO118" s="65">
        <f t="shared" si="7"/>
        <v>0</v>
      </c>
      <c r="AP118" s="65">
        <f t="shared" si="7"/>
        <v>0</v>
      </c>
      <c r="AQ118" s="65">
        <f t="shared" si="7"/>
        <v>0</v>
      </c>
      <c r="AR118" s="65">
        <f t="shared" ref="AR118:BE118" si="8">SUMIF($B$6:$B$109,$B118,AR$6:AR$109)</f>
        <v>0</v>
      </c>
      <c r="AS118" s="65">
        <f t="shared" si="8"/>
        <v>0</v>
      </c>
      <c r="AT118" s="65">
        <f t="shared" si="8"/>
        <v>0</v>
      </c>
      <c r="AU118" s="65">
        <f t="shared" si="8"/>
        <v>0</v>
      </c>
      <c r="AV118" s="65">
        <f t="shared" si="8"/>
        <v>0</v>
      </c>
      <c r="AW118" s="65">
        <f t="shared" si="8"/>
        <v>0</v>
      </c>
      <c r="AX118" s="65">
        <f t="shared" si="8"/>
        <v>0</v>
      </c>
      <c r="AY118" s="65">
        <f t="shared" si="8"/>
        <v>0</v>
      </c>
      <c r="AZ118" s="65">
        <f t="shared" si="8"/>
        <v>0</v>
      </c>
      <c r="BA118" s="65">
        <f t="shared" si="8"/>
        <v>0</v>
      </c>
      <c r="BB118" s="65">
        <f t="shared" si="8"/>
        <v>0</v>
      </c>
      <c r="BC118" s="65">
        <f t="shared" si="8"/>
        <v>0</v>
      </c>
      <c r="BD118" s="65">
        <f t="shared" si="8"/>
        <v>0</v>
      </c>
      <c r="BE118" s="65">
        <f t="shared" si="8"/>
        <v>0</v>
      </c>
      <c r="BF118" s="65">
        <f t="shared" ref="BF118:BK118" si="9">SUMIF($B$6:$B$111,$B118,BF$6:BF$111)</f>
        <v>0</v>
      </c>
      <c r="BG118" s="65">
        <f t="shared" si="9"/>
        <v>0</v>
      </c>
      <c r="BH118" s="65">
        <f t="shared" si="9"/>
        <v>0</v>
      </c>
      <c r="BI118" s="65">
        <f t="shared" si="9"/>
        <v>0</v>
      </c>
      <c r="BJ118" s="65">
        <f t="shared" si="9"/>
        <v>0</v>
      </c>
      <c r="BK118" s="65">
        <f t="shared" si="9"/>
        <v>0</v>
      </c>
    </row>
    <row r="119" spans="1:63" ht="13">
      <c r="A119" s="282"/>
      <c r="B119" s="282"/>
      <c r="C119" s="282"/>
      <c r="D119" s="282"/>
      <c r="E119" s="282"/>
      <c r="F119" s="282"/>
      <c r="G119" s="282"/>
    </row>
    <row r="120" spans="1:63" ht="13">
      <c r="A120" s="286" t="s">
        <v>141</v>
      </c>
      <c r="B120" s="282"/>
      <c r="C120" s="282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63" ht="13">
      <c r="A121" s="282" t="s">
        <v>605</v>
      </c>
      <c r="B121" s="282"/>
      <c r="C121" s="282"/>
      <c r="D121" s="282"/>
      <c r="E121" s="282"/>
      <c r="F121" s="282"/>
      <c r="G121" s="282"/>
    </row>
    <row r="122" spans="1:63" ht="13">
      <c r="B122" s="282"/>
      <c r="C122" s="282"/>
      <c r="D122" s="282"/>
      <c r="E122" s="282"/>
      <c r="F122" s="282"/>
      <c r="G122" s="282"/>
    </row>
    <row r="123" spans="1:63" ht="13">
      <c r="A123" s="282"/>
      <c r="B123" s="282"/>
      <c r="C123" s="282"/>
      <c r="D123" s="282"/>
      <c r="E123" s="282"/>
      <c r="F123" s="282"/>
      <c r="G123" s="282"/>
      <c r="L123" s="284"/>
    </row>
    <row r="124" spans="1:63" ht="13">
      <c r="A124" s="282"/>
      <c r="B124" s="282"/>
      <c r="C124" s="282"/>
      <c r="D124" s="282"/>
      <c r="E124" s="282"/>
      <c r="F124" s="282"/>
      <c r="G124" s="282"/>
      <c r="L124" s="284"/>
    </row>
    <row r="125" spans="1:63" ht="13">
      <c r="A125" s="282"/>
      <c r="B125" s="282"/>
      <c r="C125" s="282"/>
      <c r="D125" s="282"/>
      <c r="E125" s="282"/>
      <c r="F125" s="282"/>
      <c r="G125" s="282"/>
      <c r="L125" s="66"/>
    </row>
    <row r="126" spans="1:63" ht="13">
      <c r="A126" s="282"/>
      <c r="B126" s="282"/>
      <c r="C126" s="282"/>
      <c r="D126" s="282"/>
      <c r="E126" s="282"/>
      <c r="F126" s="282"/>
      <c r="G126" s="282"/>
    </row>
    <row r="127" spans="1:63" ht="13">
      <c r="A127" s="282"/>
      <c r="B127" s="282"/>
      <c r="C127" s="282"/>
      <c r="D127" s="282"/>
      <c r="E127" s="282"/>
      <c r="F127" s="282"/>
      <c r="G127" s="282"/>
    </row>
    <row r="128" spans="1:63" ht="13">
      <c r="A128" s="282"/>
      <c r="B128" s="282"/>
      <c r="C128" s="282"/>
      <c r="D128" s="282"/>
      <c r="E128" s="282"/>
      <c r="F128" s="282"/>
      <c r="G128" s="282"/>
    </row>
    <row r="129" spans="1:7" ht="12.75" customHeight="1">
      <c r="A129" s="282"/>
      <c r="B129" s="282"/>
      <c r="C129" s="282"/>
      <c r="D129" s="282"/>
      <c r="E129" s="282"/>
      <c r="F129" s="282"/>
      <c r="G129" s="282"/>
    </row>
    <row r="130" spans="1:7" ht="12.75" hidden="1" customHeight="1"/>
    <row r="131" spans="1:7" ht="12.75" hidden="1" customHeight="1"/>
    <row r="132" spans="1:7" ht="12.75" hidden="1" customHeight="1"/>
    <row r="133" spans="1:7" ht="12.75" customHeight="1"/>
    <row r="134" spans="1:7" ht="12.75" customHeight="1"/>
    <row r="135" spans="1:7" ht="12.75" customHeight="1"/>
  </sheetData>
  <mergeCells count="2">
    <mergeCell ref="A1:A2"/>
    <mergeCell ref="A4:C4"/>
  </mergeCells>
  <pageMargins left="0.51181102362204722" right="0.51181102362204722" top="0.78740157480314965" bottom="0.78740157480314965" header="0.31496062992125984" footer="0.31496062992125984"/>
  <pageSetup paperSize="9" scale="32" orientation="landscape" r:id="rId1"/>
  <ignoredErrors>
    <ignoredError sqref="D117:H117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CK53"/>
  <sheetViews>
    <sheetView showGridLines="0" zoomScale="80" zoomScaleNormal="80" workbookViewId="0">
      <pane xSplit="1" ySplit="4" topLeftCell="CB32" activePane="bottomRight" state="frozen"/>
      <selection pane="topRight" activeCell="B1" sqref="B1"/>
      <selection pane="bottomLeft" activeCell="A5" sqref="A5"/>
      <selection pane="bottomRight" activeCell="CK38" sqref="CK38:CK45"/>
    </sheetView>
  </sheetViews>
  <sheetFormatPr defaultColWidth="8.7265625" defaultRowHeight="13" outlineLevelCol="2"/>
  <cols>
    <col min="1" max="1" width="51" style="20" customWidth="1"/>
    <col min="2" max="2" width="1.81640625" style="58" customWidth="1"/>
    <col min="3" max="3" width="12.7265625" style="20" customWidth="1"/>
    <col min="4" max="4" width="1.81640625" style="58" customWidth="1"/>
    <col min="5" max="5" width="11.453125" style="20" hidden="1" customWidth="1" outlineLevel="1"/>
    <col min="6" max="6" width="11" style="20" hidden="1" customWidth="1" outlineLevel="1"/>
    <col min="7" max="8" width="11.453125" style="20" hidden="1" customWidth="1" outlineLevel="1"/>
    <col min="9" max="9" width="12.7265625" style="20" customWidth="1" collapsed="1"/>
    <col min="10" max="10" width="1.81640625" style="58" customWidth="1"/>
    <col min="11" max="13" width="11.453125" style="20" hidden="1" customWidth="1" outlineLevel="1"/>
    <col min="14" max="14" width="11" style="20" hidden="1" customWidth="1" outlineLevel="1"/>
    <col min="15" max="15" width="12.7265625" style="20" customWidth="1" collapsed="1"/>
    <col min="16" max="16" width="1.81640625" style="58" customWidth="1"/>
    <col min="17" max="20" width="12.26953125" style="20" hidden="1" customWidth="1" outlineLevel="1"/>
    <col min="21" max="21" width="12.7265625" style="20" customWidth="1" collapsed="1"/>
    <col min="22" max="22" width="1.81640625" style="58" customWidth="1"/>
    <col min="23" max="26" width="12.26953125" style="20" hidden="1" customWidth="1" outlineLevel="1"/>
    <col min="27" max="27" width="12.7265625" style="20" customWidth="1" collapsed="1"/>
    <col min="28" max="28" width="1.81640625" style="58" customWidth="1"/>
    <col min="29" max="29" width="12.26953125" style="20" hidden="1" customWidth="1" outlineLevel="1"/>
    <col min="30" max="32" width="12.81640625" style="20" hidden="1" customWidth="1" outlineLevel="1"/>
    <col min="33" max="33" width="12.54296875" style="20" customWidth="1" collapsed="1"/>
    <col min="34" max="34" width="1.7265625" style="20" customWidth="1"/>
    <col min="35" max="38" width="12.81640625" style="20" hidden="1" customWidth="1" outlineLevel="1"/>
    <col min="39" max="39" width="12.54296875" style="20" customWidth="1" collapsed="1"/>
    <col min="40" max="40" width="1.7265625" style="20" customWidth="1"/>
    <col min="41" max="44" width="13" style="20" hidden="1" customWidth="1" outlineLevel="1"/>
    <col min="45" max="45" width="12.54296875" style="20" customWidth="1" collapsed="1"/>
    <col min="46" max="46" width="1.7265625" style="20" customWidth="1"/>
    <col min="47" max="50" width="12.54296875" style="20" hidden="1" customWidth="1" outlineLevel="1"/>
    <col min="51" max="51" width="12.54296875" style="20" customWidth="1" collapsed="1"/>
    <col min="52" max="52" width="1.7265625" style="20" customWidth="1"/>
    <col min="53" max="56" width="12.1796875" style="20" customWidth="1" outlineLevel="1"/>
    <col min="57" max="57" width="12.1796875" style="20" customWidth="1"/>
    <col min="58" max="58" width="1.7265625" style="20" customWidth="1"/>
    <col min="59" max="62" width="13.453125" style="20" bestFit="1" customWidth="1" outlineLevel="1"/>
    <col min="63" max="63" width="13.453125" style="20" bestFit="1" customWidth="1"/>
    <col min="64" max="64" width="2.54296875" style="20" customWidth="1"/>
    <col min="65" max="65" width="13.453125" style="20" bestFit="1" customWidth="1"/>
    <col min="66" max="69" width="13.453125" style="20" customWidth="1" outlineLevel="1"/>
    <col min="70" max="70" width="2.54296875" style="20" customWidth="1"/>
    <col min="71" max="74" width="13.453125" style="20" customWidth="1" outlineLevel="2"/>
    <col min="75" max="75" width="13.453125" style="20" customWidth="1"/>
    <col min="76" max="76" width="2.54296875" style="20" customWidth="1"/>
    <col min="77" max="81" width="13.453125" style="20" customWidth="1" outlineLevel="2"/>
    <col min="82" max="82" width="2.54296875" style="20" customWidth="1"/>
    <col min="83" max="87" width="13.453125" style="20" customWidth="1" outlineLevel="2"/>
    <col min="88" max="88" width="2.54296875" style="20" customWidth="1"/>
    <col min="89" max="89" width="13.453125" style="20" customWidth="1" outlineLevel="2"/>
    <col min="90" max="16384" width="8.7265625" style="20"/>
  </cols>
  <sheetData>
    <row r="1" spans="1:89">
      <c r="A1" s="317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89">
      <c r="A2" s="317"/>
      <c r="B2" s="67"/>
      <c r="C2" s="41"/>
      <c r="D2" s="67"/>
      <c r="E2" s="41"/>
      <c r="F2" s="42"/>
      <c r="G2" s="42"/>
      <c r="H2" s="42"/>
      <c r="I2" s="42"/>
      <c r="J2" s="68"/>
      <c r="K2" s="42"/>
      <c r="L2" s="42"/>
      <c r="M2" s="42"/>
      <c r="N2" s="42"/>
      <c r="O2" s="42"/>
      <c r="P2" s="68"/>
      <c r="Q2" s="42"/>
      <c r="R2" s="42"/>
      <c r="S2" s="42"/>
      <c r="T2" s="42"/>
      <c r="U2" s="42"/>
      <c r="V2" s="68"/>
      <c r="W2" s="42"/>
      <c r="X2" s="42"/>
      <c r="Y2" s="42"/>
      <c r="Z2" s="42"/>
      <c r="AA2" s="42"/>
      <c r="AB2" s="68"/>
      <c r="AC2" s="42"/>
    </row>
    <row r="3" spans="1:89">
      <c r="A3" s="41"/>
      <c r="B3" s="67"/>
      <c r="C3" s="41" t="s">
        <v>159</v>
      </c>
      <c r="D3" s="67"/>
      <c r="E3" s="324" t="s">
        <v>159</v>
      </c>
      <c r="F3" s="324"/>
      <c r="G3" s="324"/>
      <c r="H3" s="324"/>
      <c r="I3" s="324"/>
      <c r="J3" s="67"/>
      <c r="K3" s="325" t="s">
        <v>160</v>
      </c>
      <c r="L3" s="325"/>
      <c r="M3" s="325"/>
      <c r="N3" s="325"/>
      <c r="O3" s="325"/>
      <c r="P3" s="67"/>
      <c r="Q3" s="325" t="s">
        <v>160</v>
      </c>
      <c r="R3" s="325"/>
      <c r="S3" s="325"/>
      <c r="T3" s="325"/>
      <c r="U3" s="325"/>
      <c r="V3" s="67"/>
      <c r="W3" s="325" t="s">
        <v>160</v>
      </c>
      <c r="X3" s="325"/>
      <c r="Y3" s="325"/>
      <c r="Z3" s="325"/>
      <c r="AA3" s="325"/>
      <c r="AB3" s="67"/>
      <c r="AC3" s="325" t="s">
        <v>160</v>
      </c>
      <c r="AD3" s="325"/>
      <c r="AE3" s="325"/>
      <c r="AF3" s="325"/>
      <c r="AG3" s="325"/>
      <c r="AI3" s="316" t="s">
        <v>160</v>
      </c>
      <c r="AJ3" s="316"/>
      <c r="AK3" s="316"/>
      <c r="AL3" s="316"/>
      <c r="AM3" s="316"/>
      <c r="AO3" s="316" t="s">
        <v>160</v>
      </c>
      <c r="AP3" s="316"/>
      <c r="AQ3" s="316"/>
      <c r="AR3" s="316"/>
      <c r="AS3" s="316"/>
      <c r="AU3" s="316" t="s">
        <v>160</v>
      </c>
      <c r="AV3" s="316"/>
      <c r="AW3" s="316"/>
      <c r="AX3" s="316"/>
      <c r="AY3" s="316"/>
      <c r="BA3" s="316" t="s">
        <v>160</v>
      </c>
      <c r="BB3" s="316"/>
      <c r="BC3" s="316"/>
      <c r="BD3" s="316"/>
      <c r="BE3" s="316"/>
      <c r="BG3" s="316" t="s">
        <v>160</v>
      </c>
      <c r="BH3" s="316"/>
      <c r="BI3" s="316"/>
      <c r="BJ3" s="316"/>
      <c r="BK3" s="316"/>
    </row>
    <row r="4" spans="1:89">
      <c r="A4" s="70" t="s">
        <v>194</v>
      </c>
      <c r="B4" s="71"/>
      <c r="C4" s="23">
        <v>2007</v>
      </c>
      <c r="D4" s="72"/>
      <c r="E4" s="73" t="s">
        <v>133</v>
      </c>
      <c r="F4" s="74" t="s">
        <v>122</v>
      </c>
      <c r="G4" s="74" t="s">
        <v>123</v>
      </c>
      <c r="H4" s="74" t="s">
        <v>124</v>
      </c>
      <c r="I4" s="75">
        <v>2008</v>
      </c>
      <c r="J4" s="72"/>
      <c r="K4" s="73" t="s">
        <v>125</v>
      </c>
      <c r="L4" s="74" t="s">
        <v>126</v>
      </c>
      <c r="M4" s="74" t="s">
        <v>127</v>
      </c>
      <c r="N4" s="74" t="s">
        <v>128</v>
      </c>
      <c r="O4" s="75">
        <v>2009</v>
      </c>
      <c r="P4" s="72"/>
      <c r="Q4" s="73" t="s">
        <v>129</v>
      </c>
      <c r="R4" s="74" t="s">
        <v>130</v>
      </c>
      <c r="S4" s="74" t="s">
        <v>131</v>
      </c>
      <c r="T4" s="74" t="s">
        <v>157</v>
      </c>
      <c r="U4" s="75">
        <v>2010</v>
      </c>
      <c r="V4" s="72"/>
      <c r="W4" s="73" t="s">
        <v>158</v>
      </c>
      <c r="X4" s="74" t="s">
        <v>218</v>
      </c>
      <c r="Y4" s="74" t="s">
        <v>248</v>
      </c>
      <c r="Z4" s="74" t="s">
        <v>262</v>
      </c>
      <c r="AA4" s="75">
        <v>2011</v>
      </c>
      <c r="AB4" s="72"/>
      <c r="AC4" s="73" t="s">
        <v>263</v>
      </c>
      <c r="AD4" s="73" t="s">
        <v>328</v>
      </c>
      <c r="AE4" s="73" t="s">
        <v>332</v>
      </c>
      <c r="AF4" s="73" t="s">
        <v>338</v>
      </c>
      <c r="AG4" s="73">
        <v>2012</v>
      </c>
      <c r="AI4" s="73" t="s">
        <v>340</v>
      </c>
      <c r="AJ4" s="73" t="s">
        <v>347</v>
      </c>
      <c r="AK4" s="73" t="s">
        <v>349</v>
      </c>
      <c r="AL4" s="73" t="s">
        <v>352</v>
      </c>
      <c r="AM4" s="73">
        <v>2013</v>
      </c>
      <c r="AO4" s="73" t="s">
        <v>354</v>
      </c>
      <c r="AP4" s="73" t="s">
        <v>362</v>
      </c>
      <c r="AQ4" s="73" t="s">
        <v>365</v>
      </c>
      <c r="AR4" s="73" t="s">
        <v>366</v>
      </c>
      <c r="AS4" s="73">
        <v>2014</v>
      </c>
      <c r="AU4" s="73" t="s">
        <v>370</v>
      </c>
      <c r="AV4" s="73" t="s">
        <v>372</v>
      </c>
      <c r="AW4" s="73" t="s">
        <v>388</v>
      </c>
      <c r="AX4" s="73" t="s">
        <v>389</v>
      </c>
      <c r="AY4" s="73">
        <v>2015</v>
      </c>
      <c r="BA4" s="73" t="s">
        <v>392</v>
      </c>
      <c r="BB4" s="73" t="s">
        <v>395</v>
      </c>
      <c r="BC4" s="73" t="s">
        <v>400</v>
      </c>
      <c r="BD4" s="73" t="s">
        <v>410</v>
      </c>
      <c r="BE4" s="73">
        <v>2016</v>
      </c>
      <c r="BG4" s="73" t="s">
        <v>413</v>
      </c>
      <c r="BH4" s="73" t="s">
        <v>416</v>
      </c>
      <c r="BI4" s="73" t="s">
        <v>586</v>
      </c>
      <c r="BJ4" s="73" t="s">
        <v>596</v>
      </c>
      <c r="BK4" s="73">
        <v>2017</v>
      </c>
      <c r="BM4" s="73" t="s">
        <v>599</v>
      </c>
      <c r="BN4" s="73" t="s">
        <v>602</v>
      </c>
      <c r="BO4" s="73" t="s">
        <v>610</v>
      </c>
      <c r="BP4" s="73" t="s">
        <v>616</v>
      </c>
      <c r="BQ4" s="73">
        <v>2018</v>
      </c>
      <c r="BS4" s="73" t="s">
        <v>631</v>
      </c>
      <c r="BT4" s="73" t="s">
        <v>633</v>
      </c>
      <c r="BU4" s="73" t="s">
        <v>635</v>
      </c>
      <c r="BV4" s="73" t="s">
        <v>639</v>
      </c>
      <c r="BW4" s="73">
        <v>2019</v>
      </c>
      <c r="BY4" s="73" t="s">
        <v>644</v>
      </c>
      <c r="BZ4" s="73" t="s">
        <v>650</v>
      </c>
      <c r="CA4" s="73" t="s">
        <v>656</v>
      </c>
      <c r="CB4" s="73" t="s">
        <v>658</v>
      </c>
      <c r="CC4" s="73">
        <v>2020</v>
      </c>
      <c r="CE4" s="73" t="s">
        <v>665</v>
      </c>
      <c r="CF4" s="73" t="s">
        <v>670</v>
      </c>
      <c r="CG4" s="73" t="s">
        <v>674</v>
      </c>
      <c r="CH4" s="74" t="s">
        <v>681</v>
      </c>
      <c r="CI4" s="73">
        <v>2021</v>
      </c>
      <c r="CK4" s="74" t="s">
        <v>683</v>
      </c>
    </row>
    <row r="5" spans="1:89">
      <c r="A5" s="43" t="s">
        <v>191</v>
      </c>
      <c r="B5" s="76"/>
      <c r="C5" s="44"/>
      <c r="D5" s="76"/>
      <c r="E5" s="44"/>
      <c r="F5" s="44"/>
      <c r="G5" s="44"/>
      <c r="H5" s="44"/>
      <c r="I5" s="44"/>
      <c r="J5" s="76"/>
      <c r="K5" s="44"/>
      <c r="L5" s="44"/>
      <c r="M5" s="44"/>
      <c r="N5" s="44"/>
      <c r="O5" s="44"/>
      <c r="P5" s="76"/>
      <c r="Q5" s="44"/>
      <c r="R5" s="44"/>
      <c r="S5" s="44"/>
      <c r="T5" s="44"/>
      <c r="U5" s="44"/>
      <c r="V5" s="76"/>
      <c r="W5" s="44"/>
      <c r="X5" s="44"/>
      <c r="Y5" s="44"/>
      <c r="Z5" s="44"/>
      <c r="AA5" s="44"/>
      <c r="AB5" s="76"/>
      <c r="AC5" s="44"/>
      <c r="AD5" s="44"/>
      <c r="AE5" s="44"/>
      <c r="AF5" s="44"/>
      <c r="AG5" s="44"/>
      <c r="AI5" s="44"/>
      <c r="AJ5" s="44"/>
      <c r="AK5" s="44"/>
      <c r="AL5" s="44"/>
      <c r="AM5" s="44"/>
      <c r="AO5" s="44"/>
      <c r="AP5" s="44"/>
      <c r="AQ5" s="44"/>
      <c r="AR5" s="44"/>
      <c r="AS5" s="44"/>
      <c r="AU5" s="44"/>
      <c r="AV5" s="44"/>
      <c r="AW5" s="44"/>
      <c r="AX5" s="44"/>
      <c r="AY5" s="44"/>
      <c r="BA5" s="44"/>
      <c r="BB5" s="44"/>
      <c r="BC5" s="44"/>
      <c r="BD5" s="44"/>
      <c r="BE5" s="44"/>
      <c r="BG5" s="44"/>
      <c r="BH5" s="44"/>
      <c r="BI5" s="44"/>
      <c r="BJ5" s="44"/>
      <c r="BK5" s="44"/>
      <c r="BM5" s="44"/>
      <c r="BN5" s="44"/>
      <c r="BO5" s="44"/>
      <c r="BP5" s="44"/>
      <c r="BQ5" s="44"/>
      <c r="BS5" s="44"/>
      <c r="BT5" s="44"/>
      <c r="BU5" s="44"/>
      <c r="BV5" s="44"/>
      <c r="BW5" s="44"/>
      <c r="BY5" s="44"/>
      <c r="BZ5" s="44"/>
      <c r="CA5" s="44"/>
      <c r="CB5" s="44"/>
      <c r="CC5" s="44"/>
      <c r="CE5" s="44"/>
      <c r="CF5" s="44"/>
      <c r="CG5" s="44"/>
      <c r="CH5" s="44"/>
      <c r="CI5" s="44"/>
      <c r="CK5" s="44"/>
    </row>
    <row r="6" spans="1:89">
      <c r="A6" s="77"/>
      <c r="B6" s="76"/>
      <c r="C6" s="61"/>
      <c r="D6" s="76"/>
      <c r="E6" s="61"/>
      <c r="F6" s="78"/>
      <c r="G6" s="78"/>
      <c r="H6" s="78"/>
      <c r="I6" s="78"/>
      <c r="J6" s="79"/>
      <c r="K6" s="78"/>
      <c r="L6" s="78"/>
      <c r="M6" s="78"/>
      <c r="N6" s="78"/>
      <c r="O6" s="78"/>
      <c r="P6" s="79"/>
      <c r="Q6" s="78"/>
      <c r="R6" s="78"/>
      <c r="S6" s="78"/>
      <c r="T6" s="78"/>
      <c r="U6" s="78"/>
      <c r="V6" s="79"/>
      <c r="W6" s="78"/>
      <c r="X6" s="78"/>
      <c r="Y6" s="78"/>
      <c r="Z6" s="78"/>
      <c r="AA6" s="78"/>
      <c r="AB6" s="79"/>
      <c r="AC6" s="78"/>
    </row>
    <row r="7" spans="1:89" s="83" customFormat="1">
      <c r="A7" s="80" t="s">
        <v>178</v>
      </c>
      <c r="B7" s="81"/>
      <c r="C7" s="82">
        <f>'DRE ITR'!C5</f>
        <v>24869</v>
      </c>
      <c r="D7" s="82"/>
      <c r="E7" s="82">
        <f>'DRE ITR'!E5</f>
        <v>21842</v>
      </c>
      <c r="F7" s="82">
        <f>'DRE ITR'!F5</f>
        <v>23451</v>
      </c>
      <c r="G7" s="82">
        <f>'DRE ITR'!G5</f>
        <v>25347</v>
      </c>
      <c r="H7" s="82">
        <f>'DRE ITR'!H5</f>
        <v>26398</v>
      </c>
      <c r="I7" s="82">
        <f>'DRE ITR'!I5</f>
        <v>97038</v>
      </c>
      <c r="J7" s="82"/>
      <c r="K7" s="82">
        <f>'DRE ITR'!K5</f>
        <v>30438</v>
      </c>
      <c r="L7" s="82">
        <f>'DRE ITR'!L5</f>
        <v>30776</v>
      </c>
      <c r="M7" s="82">
        <f>'DRE ITR'!M5</f>
        <v>30579</v>
      </c>
      <c r="N7" s="82">
        <f>'DRE ITR'!N5</f>
        <v>33910</v>
      </c>
      <c r="O7" s="82">
        <f>'DRE ITR'!O5</f>
        <v>125703</v>
      </c>
      <c r="P7" s="82"/>
      <c r="Q7" s="82">
        <f>'DRE ITR'!Q5</f>
        <v>39865</v>
      </c>
      <c r="R7" s="82">
        <f>'DRE ITR'!R5</f>
        <v>47778</v>
      </c>
      <c r="S7" s="82">
        <f>'DRE ITR'!S5</f>
        <v>58462</v>
      </c>
      <c r="T7" s="82">
        <f>'DRE ITR'!T5</f>
        <v>77332</v>
      </c>
      <c r="U7" s="82">
        <f>'DRE ITR'!U5</f>
        <v>223437</v>
      </c>
      <c r="V7" s="82"/>
      <c r="W7" s="82">
        <f>'DRE ITR'!W5</f>
        <v>84859.799999999988</v>
      </c>
      <c r="X7" s="82">
        <f>'DRE ITR'!X5</f>
        <v>90203</v>
      </c>
      <c r="Y7" s="82">
        <f>'DRE ITR'!Y5</f>
        <v>98950.6</v>
      </c>
      <c r="Z7" s="82">
        <f>'DRE ITR'!Z5</f>
        <v>98562.3</v>
      </c>
      <c r="AA7" s="82">
        <f>'DRE ITR'!AA5</f>
        <v>372575</v>
      </c>
      <c r="AB7" s="82"/>
      <c r="AC7" s="82">
        <f>'DRE ITR'!AC5</f>
        <v>108587</v>
      </c>
      <c r="AD7" s="82">
        <f>'DRE ITR'!AD5</f>
        <v>172572</v>
      </c>
      <c r="AE7" s="82">
        <f>'DRE ITR'!AE5</f>
        <v>181077.10852306124</v>
      </c>
      <c r="AF7" s="82">
        <f>'DRE ITR'!AF5</f>
        <v>215709.47182181932</v>
      </c>
      <c r="AG7" s="82">
        <f>'DRE ITR'!AG5</f>
        <v>677945.43840113515</v>
      </c>
      <c r="AH7" s="82"/>
      <c r="AI7" s="82">
        <f>'DRE ITR'!AI5</f>
        <v>241256.3506121948</v>
      </c>
      <c r="AJ7" s="82">
        <f>'DRE ITR'!AJ5</f>
        <v>257130.74482806394</v>
      </c>
      <c r="AK7" s="82">
        <f>'DRE ITR'!AK5</f>
        <v>254631.4524864321</v>
      </c>
      <c r="AL7" s="82">
        <f>'DRE ITR'!AL5</f>
        <v>240480.48407346767</v>
      </c>
      <c r="AM7" s="82">
        <f>'DRE ITR'!AM5</f>
        <v>993499.03200015833</v>
      </c>
      <c r="AN7" s="82"/>
      <c r="AO7" s="82">
        <f>'DRE ITR'!AO5</f>
        <v>250622.23041183976</v>
      </c>
      <c r="AP7" s="82">
        <f>'DRE ITR'!AP5</f>
        <v>240464.68143649295</v>
      </c>
      <c r="AQ7" s="82">
        <f>'DRE ITR'!AQ5</f>
        <v>205655.16650500736</v>
      </c>
      <c r="AR7" s="82">
        <f>'DRE ITR'!AR5</f>
        <v>205494.12705903503</v>
      </c>
      <c r="AS7" s="82">
        <f>'DRE ITR'!AS5</f>
        <v>902236.20541237504</v>
      </c>
      <c r="AU7" s="82">
        <f>'DRE ITR'!AU5</f>
        <v>197978.4128965759</v>
      </c>
      <c r="AV7" s="82">
        <f>'DRE ITR'!AV5</f>
        <v>193782.72319741928</v>
      </c>
      <c r="AW7" s="82">
        <f>'DRE ITR'!AW5</f>
        <v>201602.24223337552</v>
      </c>
      <c r="AX7" s="82">
        <f>'DRE ITR'!AX5</f>
        <v>181398.32653134744</v>
      </c>
      <c r="AY7" s="82">
        <f>'DRE ITR'!AY5</f>
        <v>774761.70485871821</v>
      </c>
      <c r="BA7" s="82">
        <f>'DRE ITR'!BA5</f>
        <v>136361.13052218559</v>
      </c>
      <c r="BB7" s="82">
        <f>'DRE ITR'!BB5</f>
        <v>130481.85305346064</v>
      </c>
      <c r="BC7" s="82">
        <f>'DRE ITR'!BC5</f>
        <v>121450.91075601378</v>
      </c>
      <c r="BD7" s="82">
        <f>'DRE ITR'!BD5</f>
        <v>116960.63145105251</v>
      </c>
      <c r="BE7" s="82">
        <f>'DRE ITR'!BE5</f>
        <v>505254.5257827125</v>
      </c>
      <c r="BG7" s="82">
        <v>125663.41201000004</v>
      </c>
      <c r="BH7" s="82">
        <f>'DRE ITR'!BH5</f>
        <v>116553.30530499996</v>
      </c>
      <c r="BI7" s="82">
        <f>'DRE ITR'!BI5</f>
        <v>124509.62410499994</v>
      </c>
      <c r="BJ7" s="82">
        <f>'DRE ITR'!BJ5</f>
        <v>125088.63351500021</v>
      </c>
      <c r="BK7" s="82">
        <f>'DRE ITR'!BK5</f>
        <v>491814.97493500012</v>
      </c>
      <c r="BM7" s="82">
        <f>'DRE ITR'!BM5</f>
        <v>130202.41490999999</v>
      </c>
      <c r="BN7" s="82">
        <f>'DRE ITR'!BN5</f>
        <v>123330.12925999999</v>
      </c>
      <c r="BO7" s="82">
        <f>'DRE ITR'!BO5</f>
        <v>134631.47180000006</v>
      </c>
      <c r="BP7" s="82">
        <f>'DRE ITR'!BP5</f>
        <v>118437.92490499993</v>
      </c>
      <c r="BQ7" s="82">
        <f>'DRE ITR'!BQ5</f>
        <v>506601.94087500003</v>
      </c>
      <c r="BS7" s="82">
        <f>'DRE ITR'!BS5</f>
        <v>121870.79642500002</v>
      </c>
      <c r="BT7" s="82">
        <f>'DRE ITR'!BT5</f>
        <v>123389.50363999998</v>
      </c>
      <c r="BU7" s="82">
        <f>'DRE ITR'!BU5</f>
        <v>120629.19534500009</v>
      </c>
      <c r="BV7" s="82">
        <f>'DRE ITR'!BV5</f>
        <v>108819.62020499998</v>
      </c>
      <c r="BW7" s="82">
        <f>'DRE ITR'!BW5</f>
        <v>474709.11561500013</v>
      </c>
      <c r="BY7" s="82">
        <f>'DRE ITR'!BY5</f>
        <v>93798.800125000009</v>
      </c>
      <c r="BZ7" s="82">
        <f>'DRE ITR'!BZ5</f>
        <v>93205.329729999998</v>
      </c>
      <c r="CA7" s="82">
        <f>'DRE ITR'!CA5</f>
        <v>97315.375690000044</v>
      </c>
      <c r="CB7" s="82">
        <f>'DRE ITR'!CB5</f>
        <v>103403.15332999996</v>
      </c>
      <c r="CC7" s="82">
        <f>'DRE ITR'!CC5</f>
        <v>387722.65887499996</v>
      </c>
      <c r="CE7" s="82">
        <f>'DRE ITR'!CE5</f>
        <v>106879.40371</v>
      </c>
      <c r="CF7" s="82">
        <f>'DRE ITR'!CF5</f>
        <v>98068.039209999988</v>
      </c>
      <c r="CG7" s="82">
        <f>'DRE ITR'!CG5</f>
        <v>105543.83349999999</v>
      </c>
      <c r="CH7" s="82">
        <f>'DRE ITR'!CH5</f>
        <v>104650.72358000001</v>
      </c>
      <c r="CI7" s="82">
        <f>'DRE ITR'!CI5</f>
        <v>415142</v>
      </c>
      <c r="CK7" s="82">
        <f>'DRE ITR'!CK5</f>
        <v>108499</v>
      </c>
    </row>
    <row r="8" spans="1:89">
      <c r="A8" s="46" t="s">
        <v>179</v>
      </c>
      <c r="B8" s="47"/>
      <c r="C8" s="84">
        <f>'DRE ITR'!C6</f>
        <v>24808</v>
      </c>
      <c r="D8" s="84"/>
      <c r="E8" s="84">
        <f>'DRE ITR'!E6</f>
        <v>21777</v>
      </c>
      <c r="F8" s="84">
        <f>'DRE ITR'!F6</f>
        <v>23203</v>
      </c>
      <c r="G8" s="84">
        <f>'DRE ITR'!G6</f>
        <v>25025</v>
      </c>
      <c r="H8" s="84">
        <f>'DRE ITR'!H6</f>
        <v>26075</v>
      </c>
      <c r="I8" s="84">
        <f>'DRE ITR'!I6</f>
        <v>96080</v>
      </c>
      <c r="J8" s="84"/>
      <c r="K8" s="84">
        <f>'DRE ITR'!K6</f>
        <v>30010</v>
      </c>
      <c r="L8" s="84">
        <f>'DRE ITR'!L6</f>
        <v>30460</v>
      </c>
      <c r="M8" s="84">
        <f>'DRE ITR'!M6</f>
        <v>30060</v>
      </c>
      <c r="N8" s="84">
        <f>'DRE ITR'!N6</f>
        <v>33095</v>
      </c>
      <c r="O8" s="84">
        <f>'DRE ITR'!O6</f>
        <v>123625</v>
      </c>
      <c r="P8" s="84"/>
      <c r="Q8" s="84">
        <f>'DRE ITR'!Q6</f>
        <v>39016</v>
      </c>
      <c r="R8" s="84">
        <f>'DRE ITR'!R6</f>
        <v>46915</v>
      </c>
      <c r="S8" s="84">
        <f>'DRE ITR'!S6</f>
        <v>57568</v>
      </c>
      <c r="T8" s="84">
        <f>'DRE ITR'!T6</f>
        <v>66751</v>
      </c>
      <c r="U8" s="84">
        <f>'DRE ITR'!U6</f>
        <v>210250</v>
      </c>
      <c r="V8" s="84"/>
      <c r="W8" s="84">
        <f>'DRE ITR'!W6</f>
        <v>81958.899999999994</v>
      </c>
      <c r="X8" s="84">
        <f>'DRE ITR'!X6</f>
        <v>85543</v>
      </c>
      <c r="Y8" s="84">
        <f>'DRE ITR'!Y6</f>
        <v>96844</v>
      </c>
      <c r="Z8" s="84">
        <f>'DRE ITR'!Z6</f>
        <v>98519.3</v>
      </c>
      <c r="AA8" s="84">
        <f>'DRE ITR'!AA6</f>
        <v>362864</v>
      </c>
      <c r="AB8" s="84"/>
      <c r="AC8" s="84">
        <f>'DRE ITR'!AC6</f>
        <v>102447</v>
      </c>
      <c r="AD8" s="84">
        <f>'DRE ITR'!AD6</f>
        <v>172602</v>
      </c>
      <c r="AE8" s="84">
        <f>'DRE ITR'!AE6</f>
        <v>179818.97885749914</v>
      </c>
      <c r="AF8" s="84">
        <f>'DRE ITR'!AF6</f>
        <v>212980.48300701822</v>
      </c>
      <c r="AG8" s="84">
        <f>'DRE ITR'!AG6</f>
        <v>667847.97335464775</v>
      </c>
      <c r="AH8" s="84"/>
      <c r="AI8" s="84">
        <f>'DRE ITR'!AI6</f>
        <v>217820.39776163269</v>
      </c>
      <c r="AJ8" s="84">
        <f>'DRE ITR'!AJ6</f>
        <v>253379.22442109612</v>
      </c>
      <c r="AK8" s="84">
        <f>'DRE ITR'!AK6</f>
        <v>241201.83617987094</v>
      </c>
      <c r="AL8" s="84">
        <f>'DRE ITR'!AL6</f>
        <v>240611.9747483629</v>
      </c>
      <c r="AM8" s="84">
        <f>'DRE ITR'!AM6</f>
        <v>953013.43311096262</v>
      </c>
      <c r="AN8" s="84"/>
      <c r="AO8" s="84">
        <f>'DRE ITR'!AO6</f>
        <v>243396.71624096885</v>
      </c>
      <c r="AP8" s="84">
        <f>'DRE ITR'!AP6</f>
        <v>233937.77945562199</v>
      </c>
      <c r="AQ8" s="84">
        <f>'DRE ITR'!AQ6</f>
        <v>198775.80346913644</v>
      </c>
      <c r="AR8" s="84">
        <f>'DRE ITR'!AR6</f>
        <v>201551.46831816412</v>
      </c>
      <c r="AS8" s="84">
        <f>'DRE ITR'!AS6</f>
        <v>877661.76748389145</v>
      </c>
      <c r="AU8" s="84">
        <f>'DRE ITR'!AU6</f>
        <v>191558.73611</v>
      </c>
      <c r="AV8" s="84">
        <f>'DRE ITR'!AV6</f>
        <v>186878.52799000009</v>
      </c>
      <c r="AW8" s="84">
        <f>'DRE ITR'!AW6</f>
        <v>192332.91956499981</v>
      </c>
      <c r="AX8" s="84">
        <f>'DRE ITR'!AX6</f>
        <v>174119.16634</v>
      </c>
      <c r="AY8" s="84">
        <f>'DRE ITR'!AY6</f>
        <v>744889.3500049999</v>
      </c>
      <c r="BA8" s="84">
        <f>'DRE ITR'!BA6</f>
        <v>131218.2188</v>
      </c>
      <c r="BB8" s="84">
        <f>'DRE ITR'!BB6</f>
        <v>126067.31993999999</v>
      </c>
      <c r="BC8" s="84">
        <f>'DRE ITR'!BC6</f>
        <v>116972.58493000004</v>
      </c>
      <c r="BD8" s="84">
        <f>'DRE ITR'!BD6</f>
        <v>112468.61863499982</v>
      </c>
      <c r="BE8" s="84">
        <f>'DRE ITR'!BE6</f>
        <v>486726.74230499985</v>
      </c>
      <c r="BG8" s="84">
        <v>121268.95109000005</v>
      </c>
      <c r="BH8" s="84">
        <f>'DRE ITR'!BH6</f>
        <v>111746.14710499995</v>
      </c>
      <c r="BI8" s="84">
        <f>'DRE ITR'!BI6</f>
        <v>119799.06054499994</v>
      </c>
      <c r="BJ8" s="84">
        <f>'DRE ITR'!BJ6</f>
        <v>120374.22078500022</v>
      </c>
      <c r="BK8" s="84">
        <f>'DRE ITR'!BK6</f>
        <v>473188.37952500011</v>
      </c>
      <c r="BM8" s="84">
        <f>'DRE ITR'!BM6</f>
        <v>125720.56206</v>
      </c>
      <c r="BN8" s="84">
        <f>'DRE ITR'!BN6</f>
        <v>118750.18524999999</v>
      </c>
      <c r="BO8" s="84">
        <f>'DRE ITR'!BO6</f>
        <v>129932.89642000006</v>
      </c>
      <c r="BP8" s="84">
        <f>'DRE ITR'!BP6</f>
        <v>113754.52890499994</v>
      </c>
      <c r="BQ8" s="84">
        <f>'DRE ITR'!BQ6</f>
        <v>488158.17263500002</v>
      </c>
      <c r="BS8" s="84">
        <f>'DRE ITR'!BS6</f>
        <v>117305.81184500002</v>
      </c>
      <c r="BT8" s="84">
        <f>'DRE ITR'!BT6</f>
        <v>118704.64093999998</v>
      </c>
      <c r="BU8" s="84">
        <f>'DRE ITR'!BU6</f>
        <v>115974.52212500009</v>
      </c>
      <c r="BV8" s="84">
        <f>'DRE ITR'!BV6</f>
        <v>103881.65078499999</v>
      </c>
      <c r="BW8" s="84">
        <f>'DRE ITR'!BW6</f>
        <v>455866.62569500011</v>
      </c>
      <c r="BY8" s="84">
        <f>'DRE ITR'!BY6</f>
        <v>88554.658555000002</v>
      </c>
      <c r="BZ8" s="84">
        <f>'DRE ITR'!BZ6</f>
        <v>89156.128169999996</v>
      </c>
      <c r="CA8" s="84">
        <f>'DRE ITR'!CA6</f>
        <v>93568.342300000048</v>
      </c>
      <c r="CB8" s="84">
        <f>'DRE ITR'!CB6</f>
        <v>99451.505219999963</v>
      </c>
      <c r="CC8" s="84">
        <f>'DRE ITR'!CC6</f>
        <v>370730.63424499996</v>
      </c>
      <c r="CE8" s="84">
        <f>'DRE ITR'!CE6</f>
        <v>103016.04449</v>
      </c>
      <c r="CF8" s="84">
        <f>'DRE ITR'!CF6</f>
        <v>94172.986059999996</v>
      </c>
      <c r="CG8" s="84">
        <f>'DRE ITR'!CG6</f>
        <v>101487.30777999999</v>
      </c>
      <c r="CH8" s="84">
        <f>'DRE ITR'!CH6</f>
        <v>100471.66167</v>
      </c>
      <c r="CI8" s="84">
        <f>'DRE ITR'!CI6</f>
        <v>399148</v>
      </c>
      <c r="CK8" s="84">
        <f>'DRE ITR'!CK6</f>
        <v>104375</v>
      </c>
    </row>
    <row r="9" spans="1:89">
      <c r="A9" s="46" t="s">
        <v>180</v>
      </c>
      <c r="B9" s="47"/>
      <c r="C9" s="84">
        <f>'DRE ITR'!C8</f>
        <v>61</v>
      </c>
      <c r="D9" s="84"/>
      <c r="E9" s="84">
        <f>'DRE ITR'!E8</f>
        <v>0</v>
      </c>
      <c r="F9" s="84">
        <f>'DRE ITR'!F8</f>
        <v>248</v>
      </c>
      <c r="G9" s="84">
        <f>'DRE ITR'!G8</f>
        <v>322</v>
      </c>
      <c r="H9" s="84">
        <f>'DRE ITR'!H8</f>
        <v>388</v>
      </c>
      <c r="I9" s="84">
        <f>'DRE ITR'!I8</f>
        <v>958</v>
      </c>
      <c r="J9" s="84"/>
      <c r="K9" s="84">
        <f>'DRE ITR'!K8</f>
        <v>428</v>
      </c>
      <c r="L9" s="84">
        <f>'DRE ITR'!L8</f>
        <v>316</v>
      </c>
      <c r="M9" s="84">
        <f>'DRE ITR'!M8</f>
        <v>519</v>
      </c>
      <c r="N9" s="84">
        <f>'DRE ITR'!N8</f>
        <v>815</v>
      </c>
      <c r="O9" s="84">
        <f>'DRE ITR'!O8</f>
        <v>2078</v>
      </c>
      <c r="P9" s="84"/>
      <c r="Q9" s="84">
        <f>'DRE ITR'!Q8</f>
        <v>849</v>
      </c>
      <c r="R9" s="84">
        <f>'DRE ITR'!R8</f>
        <v>863</v>
      </c>
      <c r="S9" s="84">
        <f>'DRE ITR'!S8</f>
        <v>894</v>
      </c>
      <c r="T9" s="84">
        <f>'DRE ITR'!T8</f>
        <v>1002</v>
      </c>
      <c r="U9" s="84">
        <f>'DRE ITR'!U8</f>
        <v>3608</v>
      </c>
      <c r="V9" s="84"/>
      <c r="W9" s="84">
        <f>'DRE ITR'!W8</f>
        <v>1059.4000000000001</v>
      </c>
      <c r="X9" s="84">
        <f>'DRE ITR'!X8</f>
        <v>1768</v>
      </c>
      <c r="Y9" s="84">
        <f>'DRE ITR'!Y8</f>
        <v>1903.6</v>
      </c>
      <c r="Z9" s="84">
        <f>'DRE ITR'!Z8</f>
        <v>1736.1</v>
      </c>
      <c r="AA9" s="84">
        <f>'DRE ITR'!AA8</f>
        <v>6467</v>
      </c>
      <c r="AB9" s="84"/>
      <c r="AC9" s="84">
        <f>'DRE ITR'!AC8</f>
        <v>1831</v>
      </c>
      <c r="AD9" s="84">
        <f>'DRE ITR'!AD8</f>
        <v>1754</v>
      </c>
      <c r="AE9" s="84">
        <f>'DRE ITR'!AE8</f>
        <v>1887.7124399999998</v>
      </c>
      <c r="AF9" s="84">
        <f>'DRE ITR'!AF8</f>
        <v>2371.3268392397486</v>
      </c>
      <c r="AG9" s="84">
        <f>'DRE ITR'!AG8</f>
        <v>7844.7426692397485</v>
      </c>
      <c r="AH9" s="84"/>
      <c r="AI9" s="84">
        <f>'DRE ITR'!AI8</f>
        <v>1968.20803</v>
      </c>
      <c r="AJ9" s="84">
        <f>'DRE ITR'!AJ8</f>
        <v>2184.5919200000008</v>
      </c>
      <c r="AK9" s="84">
        <f>'DRE ITR'!AK8</f>
        <v>2241.433219999999</v>
      </c>
      <c r="AL9" s="84">
        <f>'DRE ITR'!AL8</f>
        <v>3080.9986900000004</v>
      </c>
      <c r="AM9" s="84">
        <f>'DRE ITR'!AM8</f>
        <v>9475.2318599999999</v>
      </c>
      <c r="AN9" s="84"/>
      <c r="AO9" s="84">
        <f>'DRE ITR'!AO8</f>
        <v>2242.46065</v>
      </c>
      <c r="AP9" s="84">
        <f>'DRE ITR'!AP8</f>
        <v>3595.5395000000008</v>
      </c>
      <c r="AQ9" s="84">
        <f>'DRE ITR'!AQ8</f>
        <v>4550.8638999999994</v>
      </c>
      <c r="AR9" s="84">
        <f>'DRE ITR'!AR8</f>
        <v>4662.1345499999989</v>
      </c>
      <c r="AS9" s="84">
        <f>'DRE ITR'!AS8</f>
        <v>15050.998599999999</v>
      </c>
      <c r="AU9" s="84">
        <f>'DRE ITR'!AU8</f>
        <v>4574.3622515758962</v>
      </c>
      <c r="AV9" s="84">
        <f>'DRE ITR'!AV8</f>
        <v>4496.6615424191878</v>
      </c>
      <c r="AW9" s="84">
        <f>'DRE ITR'!AW8</f>
        <v>4599.1833833757082</v>
      </c>
      <c r="AX9" s="84">
        <f>'DRE ITR'!AX8</f>
        <v>5314.0312813474502</v>
      </c>
      <c r="AY9" s="84">
        <f>'DRE ITR'!AY8</f>
        <v>18984.238458718242</v>
      </c>
      <c r="BA9" s="84">
        <f>'DRE ITR'!BA8</f>
        <v>5142.9117221855777</v>
      </c>
      <c r="BB9" s="84">
        <f>'DRE ITR'!BB8</f>
        <v>4414.5331134606495</v>
      </c>
      <c r="BC9" s="84">
        <f>'DRE ITR'!BC8</f>
        <v>4478.3258260137354</v>
      </c>
      <c r="BD9" s="84">
        <f>'DRE ITR'!BD8</f>
        <v>4492.0128160527001</v>
      </c>
      <c r="BE9" s="84">
        <f>'DRE ITR'!BE8</f>
        <v>18527.783477712663</v>
      </c>
      <c r="BG9" s="84">
        <v>4394.4609199999995</v>
      </c>
      <c r="BH9" s="84">
        <f>'DRE ITR'!BH8</f>
        <v>4807.1582000000017</v>
      </c>
      <c r="BI9" s="84">
        <f>'DRE ITR'!BI8</f>
        <v>4710.5635599999987</v>
      </c>
      <c r="BJ9" s="84">
        <f>'DRE ITR'!BJ8</f>
        <v>4714.4127300000018</v>
      </c>
      <c r="BK9" s="84">
        <f>'DRE ITR'!BK8</f>
        <v>18626.595410000002</v>
      </c>
      <c r="BM9" s="84">
        <f>'DRE ITR'!BM8</f>
        <v>4481.8528500000002</v>
      </c>
      <c r="BN9" s="84">
        <f>'DRE ITR'!BN8</f>
        <v>4579.9440099999965</v>
      </c>
      <c r="BO9" s="84">
        <f>'DRE ITR'!BO8</f>
        <v>4698.575380000002</v>
      </c>
      <c r="BP9" s="84">
        <f>'DRE ITR'!BP8</f>
        <v>4683.3959999999988</v>
      </c>
      <c r="BQ9" s="84">
        <f>'DRE ITR'!BQ8</f>
        <v>18443.768239999998</v>
      </c>
      <c r="BS9" s="84">
        <f>'DRE ITR'!BS8</f>
        <v>4564.9845800000003</v>
      </c>
      <c r="BT9" s="84">
        <f>'DRE ITR'!BT8</f>
        <v>4684.8627000000015</v>
      </c>
      <c r="BU9" s="84">
        <f>'DRE ITR'!BU8</f>
        <v>4654.6732200000006</v>
      </c>
      <c r="BV9" s="84">
        <f>'DRE ITR'!BV8</f>
        <v>4937.969419999994</v>
      </c>
      <c r="BW9" s="84">
        <f>'DRE ITR'!BW8</f>
        <v>18842.489919999996</v>
      </c>
      <c r="BY9" s="84">
        <f>'DRE ITR'!BY8</f>
        <v>5244.1415700000007</v>
      </c>
      <c r="BZ9" s="84">
        <f>'DRE ITR'!BZ8</f>
        <v>4049.2015599999986</v>
      </c>
      <c r="CA9" s="84">
        <f>'DRE ITR'!CA8</f>
        <v>3747.0333900000005</v>
      </c>
      <c r="CB9" s="84">
        <f>'DRE ITR'!CB8</f>
        <v>3951.6481100000001</v>
      </c>
      <c r="CC9" s="84">
        <f>'DRE ITR'!CC8</f>
        <v>16992.02463</v>
      </c>
      <c r="CE9" s="84">
        <f>'DRE ITR'!CE8</f>
        <v>3863.3592199999998</v>
      </c>
      <c r="CF9" s="84">
        <f>'DRE ITR'!CF8</f>
        <v>3895.0531499999993</v>
      </c>
      <c r="CG9" s="84">
        <f>'DRE ITR'!CG8</f>
        <v>4056.5257200000005</v>
      </c>
      <c r="CH9" s="84">
        <f>'DRE ITR'!CH8</f>
        <v>4179.0619100000004</v>
      </c>
      <c r="CI9" s="84">
        <f>'DRE ITR'!CI8</f>
        <v>15994</v>
      </c>
      <c r="CK9" s="84">
        <f>'DRE ITR'!CK8</f>
        <v>4124</v>
      </c>
    </row>
    <row r="10" spans="1:89">
      <c r="A10" s="46" t="s">
        <v>181</v>
      </c>
      <c r="B10" s="47"/>
      <c r="C10" s="85">
        <v>0</v>
      </c>
      <c r="D10" s="84"/>
      <c r="E10" s="85">
        <v>0</v>
      </c>
      <c r="F10" s="85">
        <v>0</v>
      </c>
      <c r="G10" s="85">
        <v>0</v>
      </c>
      <c r="H10" s="85">
        <f t="shared" ref="H10:R10" si="0">G10</f>
        <v>0</v>
      </c>
      <c r="I10" s="85">
        <f t="shared" si="0"/>
        <v>0</v>
      </c>
      <c r="J10" s="84"/>
      <c r="K10" s="85">
        <f>I10</f>
        <v>0</v>
      </c>
      <c r="L10" s="85">
        <f t="shared" si="0"/>
        <v>0</v>
      </c>
      <c r="M10" s="85">
        <f t="shared" si="0"/>
        <v>0</v>
      </c>
      <c r="N10" s="85">
        <f t="shared" si="0"/>
        <v>0</v>
      </c>
      <c r="O10" s="85">
        <f t="shared" si="0"/>
        <v>0</v>
      </c>
      <c r="P10" s="84"/>
      <c r="Q10" s="85">
        <f>O10</f>
        <v>0</v>
      </c>
      <c r="R10" s="85">
        <f t="shared" si="0"/>
        <v>0</v>
      </c>
      <c r="S10" s="85">
        <f>R10</f>
        <v>0</v>
      </c>
      <c r="T10" s="85">
        <f>'DRE ITR'!T9</f>
        <v>9579</v>
      </c>
      <c r="U10" s="85">
        <f>'DRE ITR'!U9</f>
        <v>9579</v>
      </c>
      <c r="V10" s="84"/>
      <c r="W10" s="85">
        <f>'DRE ITR'!W9</f>
        <v>1841.5</v>
      </c>
      <c r="X10" s="85">
        <f>'DRE ITR'!X9</f>
        <v>2892</v>
      </c>
      <c r="Y10" s="85">
        <f>'DRE ITR'!Y9</f>
        <v>203</v>
      </c>
      <c r="Z10" s="86">
        <f>'DRE ITR'!Z9</f>
        <v>-1693.1</v>
      </c>
      <c r="AA10" s="86">
        <f>'DRE ITR'!AA9</f>
        <v>3244</v>
      </c>
      <c r="AB10" s="59"/>
      <c r="AC10" s="86">
        <f>'DRE ITR'!AC9</f>
        <v>4309</v>
      </c>
      <c r="AD10" s="86">
        <f>'DRE ITR'!AD9</f>
        <v>-1784</v>
      </c>
      <c r="AE10" s="86">
        <f>'DRE ITR'!AE9</f>
        <v>-629.58277443790166</v>
      </c>
      <c r="AF10" s="86">
        <f>'DRE ITR'!AF9</f>
        <v>357.66197556135057</v>
      </c>
      <c r="AG10" s="86">
        <f>'DRE ITR'!AG9</f>
        <v>2252.7223772476427</v>
      </c>
      <c r="AH10" s="86"/>
      <c r="AI10" s="86">
        <f>'DRE ITR'!AI9</f>
        <v>21467.744820562097</v>
      </c>
      <c r="AJ10" s="86">
        <f>'DRE ITR'!AJ9</f>
        <v>1566.9284869678195</v>
      </c>
      <c r="AK10" s="86">
        <f>'DRE ITR'!AK9</f>
        <v>11188.183086561145</v>
      </c>
      <c r="AL10" s="86">
        <f>'DRE ITR'!AL9</f>
        <v>-3212.489364895242</v>
      </c>
      <c r="AM10" s="86">
        <f>'DRE ITR'!AM9</f>
        <v>31010.367029195819</v>
      </c>
      <c r="AN10" s="86"/>
      <c r="AO10" s="86">
        <f>'DRE ITR'!AO9</f>
        <v>4983.0535208709298</v>
      </c>
      <c r="AP10" s="86">
        <f>'DRE ITR'!AP9</f>
        <v>2931.3624808709292</v>
      </c>
      <c r="AQ10" s="86">
        <f>'DRE ITR'!AQ9</f>
        <v>2328.4991358709294</v>
      </c>
      <c r="AR10" s="86">
        <f>'DRE ITR'!AR9</f>
        <v>-719.47580912907324</v>
      </c>
      <c r="AS10" s="86">
        <f>'DRE ITR'!AS9</f>
        <v>9523.4393284837151</v>
      </c>
      <c r="AU10" s="86">
        <f>'DRE ITR'!AU9</f>
        <v>1845.3145349999984</v>
      </c>
      <c r="AV10" s="86">
        <f>'DRE ITR'!AV9</f>
        <v>2407.5336650000036</v>
      </c>
      <c r="AW10" s="86">
        <f>'DRE ITR'!AW9</f>
        <v>4670.1392849999993</v>
      </c>
      <c r="AX10" s="86">
        <f>'DRE ITR'!AX9</f>
        <v>1965.1289099999995</v>
      </c>
      <c r="AY10" s="86">
        <f>'DRE ITR'!AY9</f>
        <v>10888.116395000001</v>
      </c>
      <c r="BA10" s="86">
        <f>'DRE ITR'!BA9</f>
        <v>0</v>
      </c>
      <c r="BB10" s="86">
        <f>'DRE ITR'!BB9</f>
        <v>0</v>
      </c>
      <c r="BC10" s="86">
        <f>'DRE ITR'!BC9</f>
        <v>0</v>
      </c>
      <c r="BD10" s="84">
        <v>0</v>
      </c>
      <c r="BE10" s="84">
        <v>0</v>
      </c>
      <c r="BG10" s="84">
        <v>0</v>
      </c>
      <c r="BH10" s="84">
        <v>0</v>
      </c>
      <c r="BI10" s="84">
        <v>0</v>
      </c>
      <c r="BJ10" s="84">
        <v>0</v>
      </c>
      <c r="BK10" s="84">
        <v>0</v>
      </c>
      <c r="BM10" s="84">
        <v>0</v>
      </c>
      <c r="BN10" s="84">
        <v>0</v>
      </c>
      <c r="BO10" s="84">
        <v>0</v>
      </c>
      <c r="BP10" s="84">
        <v>0</v>
      </c>
      <c r="BQ10" s="84">
        <v>0</v>
      </c>
      <c r="BS10" s="84">
        <v>0</v>
      </c>
      <c r="BT10" s="84">
        <v>0</v>
      </c>
      <c r="BU10" s="84">
        <v>0</v>
      </c>
      <c r="BV10" s="84">
        <v>0</v>
      </c>
      <c r="BW10" s="84">
        <v>0</v>
      </c>
      <c r="BY10" s="84">
        <v>0</v>
      </c>
      <c r="BZ10" s="84">
        <v>0</v>
      </c>
      <c r="CA10" s="84">
        <v>0</v>
      </c>
      <c r="CB10" s="84">
        <v>0</v>
      </c>
      <c r="CC10" s="84">
        <v>0</v>
      </c>
      <c r="CE10" s="84">
        <v>0</v>
      </c>
      <c r="CF10" s="84">
        <v>0</v>
      </c>
      <c r="CG10" s="84">
        <v>0</v>
      </c>
      <c r="CH10" s="84">
        <v>0</v>
      </c>
      <c r="CI10" s="84">
        <v>0</v>
      </c>
      <c r="CK10" s="84">
        <v>0</v>
      </c>
    </row>
    <row r="11" spans="1:89">
      <c r="A11" s="46" t="s">
        <v>193</v>
      </c>
      <c r="B11" s="47"/>
      <c r="C11" s="85">
        <v>0</v>
      </c>
      <c r="D11" s="84"/>
      <c r="E11" s="85">
        <v>65</v>
      </c>
      <c r="F11" s="85">
        <v>0</v>
      </c>
      <c r="G11" s="85">
        <v>0</v>
      </c>
      <c r="H11" s="85">
        <v>-65</v>
      </c>
      <c r="I11" s="85">
        <v>0</v>
      </c>
      <c r="J11" s="84"/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4"/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4"/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4"/>
      <c r="AC11" s="85">
        <v>0</v>
      </c>
      <c r="AD11" s="85">
        <v>0</v>
      </c>
      <c r="AE11" s="85">
        <v>0</v>
      </c>
      <c r="AF11" s="85">
        <v>0</v>
      </c>
      <c r="BA11" s="84">
        <v>0</v>
      </c>
      <c r="BB11" s="84">
        <v>0</v>
      </c>
      <c r="BC11" s="84">
        <v>0</v>
      </c>
      <c r="BD11" s="84">
        <v>0</v>
      </c>
      <c r="BE11" s="84">
        <v>0</v>
      </c>
      <c r="BG11" s="84">
        <v>0</v>
      </c>
      <c r="BH11" s="84">
        <v>0</v>
      </c>
      <c r="BI11" s="84">
        <v>0</v>
      </c>
      <c r="BJ11" s="84">
        <v>0</v>
      </c>
      <c r="BK11" s="84">
        <v>0</v>
      </c>
      <c r="BM11" s="84">
        <v>0</v>
      </c>
      <c r="BN11" s="84">
        <v>0</v>
      </c>
      <c r="BO11" s="84">
        <v>0</v>
      </c>
      <c r="BP11" s="84">
        <v>0</v>
      </c>
      <c r="BQ11" s="84">
        <v>0</v>
      </c>
      <c r="BS11" s="84">
        <v>0</v>
      </c>
      <c r="BT11" s="84">
        <v>0</v>
      </c>
      <c r="BU11" s="84">
        <v>0</v>
      </c>
      <c r="BV11" s="84">
        <v>0</v>
      </c>
      <c r="BW11" s="84">
        <v>0</v>
      </c>
      <c r="BY11" s="84">
        <v>0</v>
      </c>
      <c r="BZ11" s="84">
        <v>0</v>
      </c>
      <c r="CA11" s="84">
        <v>0</v>
      </c>
      <c r="CB11" s="84">
        <v>0</v>
      </c>
      <c r="CC11" s="84">
        <v>0</v>
      </c>
      <c r="CE11" s="84">
        <v>0</v>
      </c>
      <c r="CF11" s="84">
        <v>0</v>
      </c>
      <c r="CG11" s="84">
        <v>0</v>
      </c>
      <c r="CH11" s="84">
        <v>0</v>
      </c>
      <c r="CI11" s="84">
        <v>0</v>
      </c>
      <c r="CK11" s="84">
        <v>0</v>
      </c>
    </row>
    <row r="12" spans="1:89" s="83" customFormat="1">
      <c r="A12" s="80" t="s">
        <v>182</v>
      </c>
      <c r="B12" s="81"/>
      <c r="C12" s="82">
        <f>'DRE ITR'!C15</f>
        <v>21872</v>
      </c>
      <c r="D12" s="82"/>
      <c r="E12" s="82">
        <f>'DRE ITR'!E15</f>
        <v>19185</v>
      </c>
      <c r="F12" s="82">
        <f>'DRE ITR'!F15</f>
        <v>20515</v>
      </c>
      <c r="G12" s="82">
        <f>'DRE ITR'!G15</f>
        <v>22469</v>
      </c>
      <c r="H12" s="82">
        <f>'DRE ITR'!H15</f>
        <v>24538</v>
      </c>
      <c r="I12" s="82">
        <f>'DRE ITR'!I15</f>
        <v>86707</v>
      </c>
      <c r="J12" s="82"/>
      <c r="K12" s="82">
        <f>'DRE ITR'!K15</f>
        <v>27281</v>
      </c>
      <c r="L12" s="82">
        <f>'DRE ITR'!L15</f>
        <v>27487</v>
      </c>
      <c r="M12" s="82">
        <f>'DRE ITR'!M15</f>
        <v>27616</v>
      </c>
      <c r="N12" s="82">
        <f>'DRE ITR'!N15</f>
        <v>30364</v>
      </c>
      <c r="O12" s="82">
        <f>'DRE ITR'!O15</f>
        <v>112748</v>
      </c>
      <c r="P12" s="82"/>
      <c r="Q12" s="82">
        <f>'DRE ITR'!Q15</f>
        <v>35267</v>
      </c>
      <c r="R12" s="82">
        <f>'DRE ITR'!R15</f>
        <v>43430</v>
      </c>
      <c r="S12" s="82">
        <f>'DRE ITR'!S15</f>
        <v>53689</v>
      </c>
      <c r="T12" s="82">
        <f>'DRE ITR'!T15</f>
        <v>72078</v>
      </c>
      <c r="U12" s="82">
        <f>'DRE ITR'!U15</f>
        <v>204464</v>
      </c>
      <c r="V12" s="82"/>
      <c r="W12" s="82">
        <f>'DRE ITR'!W15</f>
        <v>77776.799999999988</v>
      </c>
      <c r="X12" s="82">
        <f>'DRE ITR'!X15</f>
        <v>83576</v>
      </c>
      <c r="Y12" s="82">
        <f>'DRE ITR'!Y15</f>
        <v>91802.6</v>
      </c>
      <c r="Z12" s="82">
        <f>'DRE ITR'!Z15</f>
        <v>90308.800000000003</v>
      </c>
      <c r="AA12" s="82">
        <f>'DRE ITR'!AA15</f>
        <v>343464.2</v>
      </c>
      <c r="AB12" s="82"/>
      <c r="AC12" s="82">
        <f>'DRE ITR'!AC15</f>
        <v>101192</v>
      </c>
      <c r="AD12" s="82">
        <f>'DRE ITR'!AD15</f>
        <v>160936</v>
      </c>
      <c r="AE12" s="82">
        <f>'DRE ITR'!AE15</f>
        <v>168031.12614306124</v>
      </c>
      <c r="AF12" s="82">
        <f>'DRE ITR'!AF15</f>
        <v>200665.97389181933</v>
      </c>
      <c r="AG12" s="82">
        <f>'DRE ITR'!AG15</f>
        <v>630824.76316113514</v>
      </c>
      <c r="AH12" s="82"/>
      <c r="AI12" s="82">
        <f>'DRE ITR'!AI15</f>
        <v>225927.39721719481</v>
      </c>
      <c r="AJ12" s="82">
        <f>'DRE ITR'!AJ15</f>
        <v>238213.98799002744</v>
      </c>
      <c r="AK12" s="82">
        <f>'DRE ITR'!AK15</f>
        <v>236574.92778127748</v>
      </c>
      <c r="AL12" s="82">
        <f>'DRE ITR'!AL15</f>
        <v>222953.42610880098</v>
      </c>
      <c r="AM12" s="82">
        <f>'DRE ITR'!AM15</f>
        <v>923669.73909730057</v>
      </c>
      <c r="AN12" s="82">
        <f>'DRE ITR'!AN15</f>
        <v>0</v>
      </c>
      <c r="AO12" s="82">
        <f>'DRE ITR'!AO15</f>
        <v>232858.39454461265</v>
      </c>
      <c r="AP12" s="82">
        <f>'DRE ITR'!AP15</f>
        <v>223361.30064929792</v>
      </c>
      <c r="AQ12" s="82">
        <f>'DRE ITR'!AQ15</f>
        <v>191193.29671794974</v>
      </c>
      <c r="AR12" s="82">
        <f>'DRE ITR'!AR15</f>
        <v>189374.56427711743</v>
      </c>
      <c r="AS12" s="82">
        <f>'DRE ITR'!AS15</f>
        <v>836787.55618897779</v>
      </c>
      <c r="AU12" s="82">
        <f>'DRE ITR'!AU15</f>
        <v>182332.31376654591</v>
      </c>
      <c r="AV12" s="82">
        <f>'DRE ITR'!AV15</f>
        <v>177430.66752131714</v>
      </c>
      <c r="AW12" s="82">
        <f>'DRE ITR'!AW15</f>
        <v>187045.38581348976</v>
      </c>
      <c r="AX12" s="82">
        <f>'DRE ITR'!AX15</f>
        <v>168071.93594657266</v>
      </c>
      <c r="AY12" s="82">
        <f>'DRE ITR'!AY15</f>
        <v>714880.30304792547</v>
      </c>
      <c r="BA12" s="82">
        <f>'DRE ITR'!BA15</f>
        <v>126962.08949504183</v>
      </c>
      <c r="BB12" s="82">
        <f>'DRE ITR'!BB15</f>
        <v>120900.47380726426</v>
      </c>
      <c r="BC12" s="82">
        <f>'DRE ITR'!BC15</f>
        <v>111169.17205638823</v>
      </c>
      <c r="BD12" s="82">
        <f>'DRE ITR'!BD15</f>
        <v>106646.79523474851</v>
      </c>
      <c r="BE12" s="82">
        <f>'DRE ITR'!BE15</f>
        <v>465678.53059344285</v>
      </c>
      <c r="BG12" s="82">
        <v>114030.504245</v>
      </c>
      <c r="BH12" s="82">
        <f>'DRE ITR'!BH15</f>
        <v>104677.51471999996</v>
      </c>
      <c r="BI12" s="82">
        <f>'DRE ITR'!BI15</f>
        <v>106236.20297499995</v>
      </c>
      <c r="BJ12" s="82">
        <f>'DRE ITR'!BJ15</f>
        <v>105505.31944500022</v>
      </c>
      <c r="BK12" s="82">
        <f>'DRE ITR'!BK15</f>
        <v>430449.54138500011</v>
      </c>
      <c r="BM12" s="82">
        <f>'DRE ITR'!BM15</f>
        <v>107447.78180499999</v>
      </c>
      <c r="BN12" s="82">
        <f>'DRE ITR'!BN15</f>
        <v>104595.25925999998</v>
      </c>
      <c r="BO12" s="82">
        <f>'DRE ITR'!BO15</f>
        <v>113456.03243500006</v>
      </c>
      <c r="BP12" s="82">
        <f>'DRE ITR'!BP15</f>
        <v>95818.380989999947</v>
      </c>
      <c r="BQ12" s="82">
        <f>'DRE ITR'!BQ15</f>
        <v>421317.45449000003</v>
      </c>
      <c r="BS12" s="82">
        <f>'DRE ITR'!BS15</f>
        <v>98309.822400000019</v>
      </c>
      <c r="BT12" s="82">
        <f>'DRE ITR'!BT15</f>
        <v>98141.120744999993</v>
      </c>
      <c r="BU12" s="82">
        <f>'DRE ITR'!BU15</f>
        <v>95303.483885000082</v>
      </c>
      <c r="BV12" s="82">
        <f>'DRE ITR'!BV15</f>
        <v>87497.436384999979</v>
      </c>
      <c r="BW12" s="82">
        <f>'DRE ITR'!BW15</f>
        <v>379251.86341500015</v>
      </c>
      <c r="BY12" s="82">
        <f>'DRE ITR'!BY15</f>
        <v>76010.366220000011</v>
      </c>
      <c r="BZ12" s="82">
        <f>'DRE ITR'!BZ15</f>
        <v>75473.629239999995</v>
      </c>
      <c r="CA12" s="82">
        <f>'DRE ITR'!CA15</f>
        <v>78618.153585000051</v>
      </c>
      <c r="CB12" s="82">
        <f>'DRE ITR'!CB15</f>
        <v>83486.063059999928</v>
      </c>
      <c r="CC12" s="82">
        <f>'DRE ITR'!CC15</f>
        <v>313588.21210499993</v>
      </c>
      <c r="CE12" s="82">
        <f>'DRE ITR'!CE15</f>
        <v>82348.350310000009</v>
      </c>
      <c r="CF12" s="82">
        <f>'DRE ITR'!CF15</f>
        <v>78616.920589999994</v>
      </c>
      <c r="CG12" s="82">
        <f>'DRE ITR'!CG15</f>
        <v>83496.485979999998</v>
      </c>
      <c r="CH12" s="82">
        <f>'DRE ITR'!CH15</f>
        <v>81868.243120000014</v>
      </c>
      <c r="CI12" s="82">
        <f>'DRE ITR'!CI15</f>
        <v>326330</v>
      </c>
      <c r="CK12" s="82">
        <f>'DRE ITR'!CK15</f>
        <v>83090</v>
      </c>
    </row>
    <row r="13" spans="1:89">
      <c r="A13" s="46" t="s">
        <v>183</v>
      </c>
      <c r="B13" s="47"/>
      <c r="C13" s="86">
        <f>SUM('DRE ITR'!C22:C24)</f>
        <v>-11329</v>
      </c>
      <c r="D13" s="59"/>
      <c r="E13" s="86">
        <f>SUM('DRE ITR'!E22:E24)</f>
        <v>-3954</v>
      </c>
      <c r="F13" s="86">
        <f>SUM('DRE ITR'!F22:F24)</f>
        <v>-4165</v>
      </c>
      <c r="G13" s="86">
        <f>SUM('DRE ITR'!G22:G24)</f>
        <v>-4284</v>
      </c>
      <c r="H13" s="86">
        <f>SUM('DRE ITR'!H22:H24)</f>
        <v>-9658</v>
      </c>
      <c r="I13" s="86">
        <f>SUM('DRE ITR'!I22:I24)</f>
        <v>-22061</v>
      </c>
      <c r="J13" s="59"/>
      <c r="K13" s="86">
        <f>SUM('DRE ITR'!K22:K24)</f>
        <v>-4046</v>
      </c>
      <c r="L13" s="86">
        <f>SUM('DRE ITR'!L22:L24)</f>
        <v>-6330</v>
      </c>
      <c r="M13" s="86">
        <f>SUM('DRE ITR'!M22:M24)</f>
        <v>-6020</v>
      </c>
      <c r="N13" s="86">
        <f>SUM('DRE ITR'!N22:N24)</f>
        <v>-8607</v>
      </c>
      <c r="O13" s="86">
        <f>SUM('DRE ITR'!O22:O24)</f>
        <v>-25003</v>
      </c>
      <c r="P13" s="59"/>
      <c r="Q13" s="86">
        <f>SUM('DRE ITR'!Q22:Q24)</f>
        <v>-7510</v>
      </c>
      <c r="R13" s="86">
        <f>SUM('DRE ITR'!R22:R24)</f>
        <v>-8036</v>
      </c>
      <c r="S13" s="86">
        <f>SUM('DRE ITR'!S22:S24)</f>
        <v>-9680</v>
      </c>
      <c r="T13" s="86">
        <f>SUM('DRE ITR'!T22:T24)</f>
        <v>-11151</v>
      </c>
      <c r="U13" s="86">
        <f>SUM('DRE ITR'!U22:U24)</f>
        <v>-36377</v>
      </c>
      <c r="V13" s="59"/>
      <c r="W13" s="86">
        <f>SUM('DRE ITR'!W22:W24)</f>
        <v>-10578</v>
      </c>
      <c r="X13" s="86">
        <f>SUM('DRE ITR'!X22:X24)</f>
        <v>-11403</v>
      </c>
      <c r="Y13" s="86">
        <f>SUM('DRE ITR'!Y22:Y24)</f>
        <v>-11731</v>
      </c>
      <c r="Z13" s="86">
        <f>SUM('DRE ITR'!Z22:Z24)</f>
        <v>-15347.300000000003</v>
      </c>
      <c r="AA13" s="86">
        <f>SUM('DRE ITR'!AA22:AA24)</f>
        <v>-49058.6</v>
      </c>
      <c r="AB13" s="59"/>
      <c r="AC13" s="86">
        <f>SUM('DRE ITR'!AC22:AC24)</f>
        <v>-13883</v>
      </c>
      <c r="AD13" s="86">
        <f>SUM('DRE ITR'!AD22:AD24)</f>
        <v>-25184</v>
      </c>
      <c r="AE13" s="86">
        <f>SUM('DRE ITR'!AE22:AE24)</f>
        <v>-20997.552008432169</v>
      </c>
      <c r="AF13" s="86">
        <f>SUM('DRE ITR'!AF22:AF24)</f>
        <v>-33909.120997166559</v>
      </c>
      <c r="AG13" s="86">
        <f>SUM('DRE ITR'!AG22:AG24)</f>
        <v>-93973.830101164</v>
      </c>
      <c r="AH13" s="86"/>
      <c r="AI13" s="86">
        <f>SUM('DRE ITR'!AI22:AI24)</f>
        <v>-15646.59268886344</v>
      </c>
      <c r="AJ13" s="86">
        <f>SUM('DRE ITR'!AJ22:AJ24)</f>
        <v>-18727.329455282936</v>
      </c>
      <c r="AK13" s="86">
        <f>SUM('DRE ITR'!AK22:AK24)</f>
        <v>-20009.75079442226</v>
      </c>
      <c r="AL13" s="86">
        <f>SUM('DRE ITR'!AL22:AL24)</f>
        <v>-35309.334227543113</v>
      </c>
      <c r="AM13" s="86">
        <f>SUM('DRE ITR'!AM22:AM24)</f>
        <v>-89693.007166111754</v>
      </c>
      <c r="AN13" s="86"/>
      <c r="AO13" s="86">
        <f>SUM('DRE ITR'!AO22:AO24)</f>
        <v>-25891.700246819215</v>
      </c>
      <c r="AP13" s="86">
        <f>SUM('DRE ITR'!AP22:AP24)</f>
        <v>-18597.365913051566</v>
      </c>
      <c r="AQ13" s="86">
        <f>SUM('DRE ITR'!AQ22:AQ24)</f>
        <v>-21354.807660380389</v>
      </c>
      <c r="AR13" s="86">
        <f>SUM('DRE ITR'!AR22:AR24)</f>
        <v>-32689.93412963079</v>
      </c>
      <c r="AS13" s="86">
        <f>SUM('DRE ITR'!AS22:AS24)</f>
        <v>-98533.807949881972</v>
      </c>
      <c r="AU13" s="86">
        <f>SUM('DRE ITR'!AU22:AU24)</f>
        <v>-27448.023715403127</v>
      </c>
      <c r="AV13" s="86">
        <f>SUM('DRE ITR'!AV22:AV24)</f>
        <v>-21142.355059700047</v>
      </c>
      <c r="AW13" s="86">
        <f>SUM('DRE ITR'!AW22:AW24)</f>
        <v>-23236.909356296172</v>
      </c>
      <c r="AX13" s="86">
        <f>SUM('DRE ITR'!AX22:AX24)</f>
        <v>-50687.503000577781</v>
      </c>
      <c r="AY13" s="86">
        <f>SUM('DRE ITR'!AY22:AY24)</f>
        <v>-122514.79113197712</v>
      </c>
      <c r="BA13" s="86">
        <f>SUM('DRE ITR'!BA22:BA24)</f>
        <v>-28175.624340608054</v>
      </c>
      <c r="BB13" s="86">
        <v>-24562.971190789325</v>
      </c>
      <c r="BC13" s="86">
        <v>-26328.391857725775</v>
      </c>
      <c r="BD13" s="86">
        <f>SUM('DRE ITR'!BD22:BD24)</f>
        <v>-91574.642925133652</v>
      </c>
      <c r="BE13" s="86">
        <f>SUM('DRE ITR'!BE22:BE24)</f>
        <v>-170641.63031425679</v>
      </c>
      <c r="BG13" s="86">
        <v>-59086.472070000003</v>
      </c>
      <c r="BH13" s="86">
        <f>'DRE ITR'!BH22+'DRE ITR'!BH23+'DRE ITR'!BH24</f>
        <v>-29524.043850000009</v>
      </c>
      <c r="BI13" s="86">
        <f>'DRE ITR'!BI22+'DRE ITR'!BI23+'DRE ITR'!BI24</f>
        <v>-29826.473404999982</v>
      </c>
      <c r="BJ13" s="86">
        <f>'DRE ITR'!BJ22+'DRE ITR'!BJ23+'DRE ITR'!BJ24</f>
        <v>-22226.79619500001</v>
      </c>
      <c r="BK13" s="86">
        <f>'DRE ITR'!BK22+'DRE ITR'!BK23+'DRE ITR'!BK24</f>
        <v>-140663.78552</v>
      </c>
      <c r="BM13" s="86">
        <f>'DRE ITR'!BM22+'DRE ITR'!BM23+'DRE ITR'!BM24</f>
        <v>-27157.399190000004</v>
      </c>
      <c r="BN13" s="86">
        <f>'DRE ITR'!BN22+'DRE ITR'!BN23+'DRE ITR'!BN24</f>
        <v>-26819.008599999994</v>
      </c>
      <c r="BO13" s="86">
        <f>'DRE ITR'!BO22+'DRE ITR'!BO23+'DRE ITR'!BO24</f>
        <v>-25977.472754999999</v>
      </c>
      <c r="BP13" s="86">
        <f>'DRE ITR'!BP22+'DRE ITR'!BP23+'DRE ITR'!BP24</f>
        <v>-12455.855384999992</v>
      </c>
      <c r="BQ13" s="86">
        <f>'DRE ITR'!BQ22+'DRE ITR'!BQ23+'DRE ITR'!BQ24</f>
        <v>-92409.735929999981</v>
      </c>
      <c r="BS13" s="86">
        <f>'DRE ITR'!BS22+'DRE ITR'!BS23+'DRE ITR'!BS24</f>
        <v>-28581.236020000008</v>
      </c>
      <c r="BT13" s="86">
        <f>'DRE ITR'!BT22+'DRE ITR'!BT23+'DRE ITR'!BT24</f>
        <v>-29787.568064999989</v>
      </c>
      <c r="BU13" s="86">
        <f>'DRE ITR'!BU22+'DRE ITR'!BU23+'DRE ITR'!BU24</f>
        <v>-36892.070135000009</v>
      </c>
      <c r="BV13" s="86">
        <f>'DRE ITR'!BV22+'DRE ITR'!BV23+'DRE ITR'!BV24</f>
        <v>-32481.085325000004</v>
      </c>
      <c r="BW13" s="86">
        <f>'DRE ITR'!BW22+'DRE ITR'!BW23+'DRE ITR'!BW24</f>
        <v>-127741.95954500002</v>
      </c>
      <c r="BY13" s="86">
        <f>'DRE ITR'!BY22+'DRE ITR'!BY23+'DRE ITR'!BY24</f>
        <v>-23200.304710000011</v>
      </c>
      <c r="BZ13" s="86">
        <f>'DRE ITR'!BZ22+'DRE ITR'!BZ23+'DRE ITR'!BZ24</f>
        <v>-24098.695289999989</v>
      </c>
      <c r="CA13" s="86">
        <f>'DRE ITR'!CA22+'DRE ITR'!CA23+'DRE ITR'!CA24</f>
        <v>-24386.039040000029</v>
      </c>
      <c r="CB13" s="86">
        <f>'DRE ITR'!CB22+'DRE ITR'!CB23+'DRE ITR'!CB24</f>
        <v>-25679.622649999968</v>
      </c>
      <c r="CC13" s="86">
        <f>'DRE ITR'!CC22+'DRE ITR'!CC23+'DRE ITR'!CC24</f>
        <v>-97364.661689999994</v>
      </c>
      <c r="CE13" s="86">
        <f>'DRE ITR'!CE22+'DRE ITR'!CE23+'DRE ITR'!CE24</f>
        <v>-23671.089939999994</v>
      </c>
      <c r="CF13" s="86">
        <f>'DRE ITR'!CF22+'DRE ITR'!CF23+'DRE ITR'!CF24</f>
        <v>-25868.481600000003</v>
      </c>
      <c r="CG13" s="86">
        <f>'DRE ITR'!CG22+'DRE ITR'!CG23+'DRE ITR'!CG24</f>
        <v>-28174.555090000009</v>
      </c>
      <c r="CH13" s="86">
        <f>'DRE ITR'!CH22+'DRE ITR'!CH23+'DRE ITR'!CH24</f>
        <v>-30661.873370000001</v>
      </c>
      <c r="CI13" s="86">
        <f>'DRE ITR'!CI22+'DRE ITR'!CI23+'DRE ITR'!CI24</f>
        <v>-108376</v>
      </c>
      <c r="CK13" s="86">
        <f>'DRE ITR'!CK22+'DRE ITR'!CK23+'DRE ITR'!CK24</f>
        <v>-30980</v>
      </c>
    </row>
    <row r="14" spans="1:89">
      <c r="A14" s="46"/>
      <c r="B14" s="47"/>
      <c r="C14" s="86"/>
      <c r="D14" s="59"/>
      <c r="E14" s="86"/>
      <c r="F14" s="86"/>
      <c r="G14" s="86"/>
      <c r="H14" s="86"/>
      <c r="I14" s="86"/>
      <c r="J14" s="59"/>
      <c r="K14" s="86"/>
      <c r="L14" s="86"/>
      <c r="M14" s="86"/>
      <c r="N14" s="86"/>
      <c r="O14" s="86"/>
      <c r="P14" s="59"/>
      <c r="Q14" s="86"/>
      <c r="R14" s="86"/>
      <c r="S14" s="86"/>
      <c r="T14" s="86"/>
      <c r="U14" s="86"/>
      <c r="V14" s="59"/>
      <c r="W14" s="86"/>
      <c r="X14" s="86"/>
      <c r="Y14" s="86"/>
      <c r="Z14" s="86"/>
      <c r="AA14" s="86"/>
      <c r="AB14" s="59"/>
      <c r="AC14" s="86"/>
    </row>
    <row r="15" spans="1:89" s="83" customFormat="1">
      <c r="A15" s="80" t="s">
        <v>192</v>
      </c>
      <c r="B15" s="81"/>
      <c r="C15" s="82">
        <f>C12+C13</f>
        <v>10543</v>
      </c>
      <c r="D15" s="82"/>
      <c r="E15" s="82">
        <f t="shared" ref="E15:X15" si="1">E12+E13</f>
        <v>15231</v>
      </c>
      <c r="F15" s="82">
        <f t="shared" si="1"/>
        <v>16350</v>
      </c>
      <c r="G15" s="82">
        <f t="shared" si="1"/>
        <v>18185</v>
      </c>
      <c r="H15" s="82">
        <f t="shared" si="1"/>
        <v>14880</v>
      </c>
      <c r="I15" s="82">
        <f t="shared" si="1"/>
        <v>64646</v>
      </c>
      <c r="J15" s="82"/>
      <c r="K15" s="82">
        <f t="shared" si="1"/>
        <v>23235</v>
      </c>
      <c r="L15" s="82">
        <f t="shared" si="1"/>
        <v>21157</v>
      </c>
      <c r="M15" s="82">
        <f t="shared" si="1"/>
        <v>21596</v>
      </c>
      <c r="N15" s="82">
        <f t="shared" si="1"/>
        <v>21757</v>
      </c>
      <c r="O15" s="82">
        <f t="shared" si="1"/>
        <v>87745</v>
      </c>
      <c r="P15" s="82"/>
      <c r="Q15" s="82">
        <f t="shared" si="1"/>
        <v>27757</v>
      </c>
      <c r="R15" s="82">
        <f t="shared" si="1"/>
        <v>35394</v>
      </c>
      <c r="S15" s="82">
        <f t="shared" si="1"/>
        <v>44009</v>
      </c>
      <c r="T15" s="82">
        <f t="shared" si="1"/>
        <v>60927</v>
      </c>
      <c r="U15" s="82">
        <f t="shared" si="1"/>
        <v>168087</v>
      </c>
      <c r="V15" s="82"/>
      <c r="W15" s="82">
        <f t="shared" si="1"/>
        <v>67198.799999999988</v>
      </c>
      <c r="X15" s="82">
        <f t="shared" si="1"/>
        <v>72173</v>
      </c>
      <c r="Y15" s="82">
        <f>Y12+Y13</f>
        <v>80071.600000000006</v>
      </c>
      <c r="Z15" s="82">
        <f>Z12+Z13</f>
        <v>74961.5</v>
      </c>
      <c r="AA15" s="82">
        <f>AA12+AA13</f>
        <v>294405.60000000003</v>
      </c>
      <c r="AB15" s="82"/>
      <c r="AC15" s="82">
        <f t="shared" ref="AC15:AH15" si="2">AC12+AC13</f>
        <v>87309</v>
      </c>
      <c r="AD15" s="82">
        <f t="shared" si="2"/>
        <v>135752</v>
      </c>
      <c r="AE15" s="82">
        <f t="shared" si="2"/>
        <v>147033.57413462907</v>
      </c>
      <c r="AF15" s="82">
        <f t="shared" si="2"/>
        <v>166756.85289465278</v>
      </c>
      <c r="AG15" s="82">
        <f t="shared" si="2"/>
        <v>536850.93305997108</v>
      </c>
      <c r="AH15" s="82">
        <f t="shared" si="2"/>
        <v>0</v>
      </c>
      <c r="AI15" s="82">
        <f>AI12+AI13+1810+5994</f>
        <v>218084.80452833138</v>
      </c>
      <c r="AJ15" s="82">
        <f>AJ12+AJ13+1536+224+603</f>
        <v>221849.65853474449</v>
      </c>
      <c r="AK15" s="82">
        <f>AK12+AK13+1536+50-3086</f>
        <v>215065.17698685522</v>
      </c>
      <c r="AL15" s="82">
        <f>AL12+AL13+16060+104+7340</f>
        <v>211148.09188125786</v>
      </c>
      <c r="AM15" s="82">
        <f>AM12+AM13+20941+378+10851</f>
        <v>866146.73193118884</v>
      </c>
      <c r="AN15" s="82">
        <f t="shared" ref="AN15" si="3">AN12+AN13+20941+378+10851</f>
        <v>32170</v>
      </c>
      <c r="AO15" s="82">
        <f>AO12+AO13+1503+793+6</f>
        <v>209268.69429779344</v>
      </c>
      <c r="AP15" s="82">
        <f>AP12+AP13+1339+95-559</f>
        <v>205638.93473624636</v>
      </c>
      <c r="AQ15" s="82">
        <f>AQ12+AQ13+1339+128-634</f>
        <v>170671.48905756936</v>
      </c>
      <c r="AR15" s="82">
        <f>AR12+AR13</f>
        <v>156684.63014748663</v>
      </c>
      <c r="AS15" s="82">
        <f>AS12+AS13+4010</f>
        <v>742263.74823909579</v>
      </c>
      <c r="AU15" s="82">
        <f>AU12+AU13+1444+155+1149-1377</f>
        <v>156255.29005114277</v>
      </c>
      <c r="AV15" s="82">
        <f>AV12+AV13+1496+1149+86-1076</f>
        <v>157943.31246161708</v>
      </c>
      <c r="AW15" s="82">
        <f>AW12+AW13+748+1149+161-961</f>
        <v>164905.47645719358</v>
      </c>
      <c r="AX15" s="82">
        <f>AX12+AX13+360+1149+150+3548+12585</f>
        <v>135176.43294599489</v>
      </c>
      <c r="AY15" s="82">
        <f>AY12+AY13+4048+4596+552+134+12585</f>
        <v>614280.51191594836</v>
      </c>
      <c r="BA15" s="82">
        <f>BA12+BA13+105+363+1149+2675-1022</f>
        <v>102056.46515443377</v>
      </c>
      <c r="BB15" s="82">
        <f>BB12+BB13+472+73-711+1149</f>
        <v>97320.502616474943</v>
      </c>
      <c r="BC15" s="82">
        <f>BC12+BC13+472+1149+137</f>
        <v>86598.780198662454</v>
      </c>
      <c r="BD15" s="82">
        <f>BD12+BD13+499+5780+109+58567</f>
        <v>80027.152309614859</v>
      </c>
      <c r="BE15" s="82">
        <f>BE12+BE13+1806+9227-1733+58567+423+2675</f>
        <v>366001.90027918608</v>
      </c>
      <c r="BG15" s="82">
        <v>89287.032175000058</v>
      </c>
      <c r="BH15" s="82">
        <f>BH12+BH13+5383+150+2283+1</f>
        <v>82970.470869999961</v>
      </c>
      <c r="BI15" s="82">
        <f>BI12+BI13+1526+181+2283</f>
        <v>80399.729569999967</v>
      </c>
      <c r="BJ15" s="82">
        <f>BJ12+BJ13+108-783-5429-1</f>
        <v>77173.523250000202</v>
      </c>
      <c r="BK15" s="82">
        <f>BK12+BK13+546+6066-5429+1526+5383+2292+29662-1</f>
        <v>329830.75586500007</v>
      </c>
      <c r="BM15" s="82">
        <f>BM12+BM13+104.5+1674</f>
        <v>82068.88261499998</v>
      </c>
      <c r="BN15" s="82">
        <f>BN12+BN13+111+1535+1</f>
        <v>79423.250659999991</v>
      </c>
      <c r="BO15" s="82">
        <f>BO12+BO13+1552+122</f>
        <v>89152.559680000064</v>
      </c>
      <c r="BP15" s="82">
        <f>BP12+BP13+'DRE Release'!K41+'DRE Release'!K44+'DRE Release'!K45+'DRE Release'!K46</f>
        <v>65984.92747499996</v>
      </c>
      <c r="BQ15" s="82">
        <f>BM15+BN15+BO15+BP15</f>
        <v>316629.62043000001</v>
      </c>
      <c r="BS15" s="82">
        <f>'DRE Release'!$M$48</f>
        <v>72785.717010000022</v>
      </c>
      <c r="BT15" s="82">
        <f>'DRE Release'!$N$48</f>
        <v>70863.423609999998</v>
      </c>
      <c r="BU15" s="82">
        <f>'DRE Release'!O$48</f>
        <v>69967.094070000094</v>
      </c>
      <c r="BV15" s="82">
        <f>'DRE Release'!P$48</f>
        <v>56605.208679999931</v>
      </c>
      <c r="BW15" s="82">
        <f>'DRE Release'!Q$48</f>
        <v>270221.44337000023</v>
      </c>
      <c r="BY15" s="82">
        <f>'DRE Release'!$R$48</f>
        <v>53609.618620000001</v>
      </c>
      <c r="BZ15" s="82">
        <f>'DRE Release'!$S$48</f>
        <v>52079.936680000006</v>
      </c>
      <c r="CA15" s="82">
        <f>'DRE Release'!T$48</f>
        <v>58712.707475000039</v>
      </c>
      <c r="CB15" s="82">
        <f>'DRE Release'!U$48</f>
        <v>63502.673259999945</v>
      </c>
      <c r="CC15" s="82">
        <f>'DRE Release'!V$48</f>
        <v>227904.93603500002</v>
      </c>
      <c r="CE15" s="82">
        <f>'DRE Release'!$W$48</f>
        <v>61137.501660000024</v>
      </c>
      <c r="CF15" s="82">
        <f>'DRE Release'!$X$48</f>
        <v>54999.189199999993</v>
      </c>
      <c r="CG15" s="82">
        <v>58255.289249999987</v>
      </c>
      <c r="CH15" s="82">
        <v>53790.595269999991</v>
      </c>
      <c r="CI15" s="82">
        <v>228182.57537999997</v>
      </c>
      <c r="CK15" s="82">
        <f>'DRE Release'!AB48</f>
        <v>54136.24861000001</v>
      </c>
    </row>
    <row r="16" spans="1:89">
      <c r="A16" s="46" t="s">
        <v>326</v>
      </c>
      <c r="B16" s="47"/>
      <c r="C16" s="87">
        <f>C15/C12</f>
        <v>0.48203182150694951</v>
      </c>
      <c r="D16" s="87"/>
      <c r="E16" s="87">
        <f>E15/E12</f>
        <v>0.79390148553557471</v>
      </c>
      <c r="F16" s="87">
        <f>F15/F12</f>
        <v>0.79697782110650739</v>
      </c>
      <c r="G16" s="87">
        <f>G15/G12</f>
        <v>0.80933730918153901</v>
      </c>
      <c r="H16" s="87">
        <f>H15/H12</f>
        <v>0.60640639008884178</v>
      </c>
      <c r="I16" s="87">
        <f>I15/I12</f>
        <v>0.7455684085483294</v>
      </c>
      <c r="J16" s="87"/>
      <c r="K16" s="87">
        <f>K15/K12</f>
        <v>0.85169165353176202</v>
      </c>
      <c r="L16" s="87">
        <f>L15/L12</f>
        <v>0.76970931713173496</v>
      </c>
      <c r="M16" s="87">
        <f>M15/M12</f>
        <v>0.78201042873696403</v>
      </c>
      <c r="N16" s="87">
        <f>N15/N12</f>
        <v>0.71653932288236066</v>
      </c>
      <c r="O16" s="87">
        <f>O15/O12</f>
        <v>0.77823996877993407</v>
      </c>
      <c r="P16" s="87"/>
      <c r="Q16" s="87">
        <f>Q15/Q12</f>
        <v>0.78705305242861601</v>
      </c>
      <c r="R16" s="87">
        <f>R15/R12</f>
        <v>0.81496661294036377</v>
      </c>
      <c r="S16" s="87">
        <f>S15/S12</f>
        <v>0.81970235988750029</v>
      </c>
      <c r="T16" s="87">
        <f>T15/T12</f>
        <v>0.84529259968367598</v>
      </c>
      <c r="U16" s="87">
        <f>U15/U12</f>
        <v>0.82208603959621251</v>
      </c>
      <c r="V16" s="87"/>
      <c r="W16" s="87">
        <f>W15/W12</f>
        <v>0.86399543308544446</v>
      </c>
      <c r="X16" s="87">
        <f>X15/X12</f>
        <v>0.86356130946683263</v>
      </c>
      <c r="Y16" s="87">
        <f>Y15/Y12</f>
        <v>0.8722149481605096</v>
      </c>
      <c r="Z16" s="87">
        <f>Z15/Z12</f>
        <v>0.8300575359211948</v>
      </c>
      <c r="AA16" s="87">
        <f>AA15/AA12</f>
        <v>0.85716531737514423</v>
      </c>
      <c r="AB16" s="87"/>
      <c r="AC16" s="87">
        <f>AC15/AC12</f>
        <v>0.8628053601075184</v>
      </c>
      <c r="AD16" s="87">
        <f>AD15/AD12</f>
        <v>0.84351543470696422</v>
      </c>
      <c r="AE16" s="87">
        <f>AE15/AE12</f>
        <v>0.87503772372176503</v>
      </c>
      <c r="AF16" s="87">
        <f>AF15/AF12</f>
        <v>0.83101708605841051</v>
      </c>
      <c r="AG16" s="87">
        <f>AG15/AG12</f>
        <v>0.85103021379463539</v>
      </c>
      <c r="AI16" s="87">
        <f>AI15/AI12</f>
        <v>0.96528711087958952</v>
      </c>
      <c r="AJ16" s="87">
        <f>AJ15/AJ12</f>
        <v>0.93130407834837969</v>
      </c>
      <c r="AK16" s="87">
        <f>AK15/AK12</f>
        <v>0.90907848521332391</v>
      </c>
      <c r="AL16" s="87">
        <f>AL15/AL12</f>
        <v>0.94705022284886475</v>
      </c>
      <c r="AM16" s="87">
        <f>AM15/AM12</f>
        <v>0.93772340401415688</v>
      </c>
      <c r="AN16" s="87"/>
      <c r="AO16" s="87">
        <f t="shared" ref="AO16:AQ16" si="4">AO15/AO12</f>
        <v>0.89869508336621406</v>
      </c>
      <c r="AP16" s="87">
        <f t="shared" si="4"/>
        <v>0.92065605876428147</v>
      </c>
      <c r="AQ16" s="87">
        <f t="shared" si="4"/>
        <v>0.89266460690484173</v>
      </c>
      <c r="AR16" s="87">
        <f t="shared" ref="AR16:BA16" si="5">AR15/AR12</f>
        <v>0.8273794886107585</v>
      </c>
      <c r="AS16" s="87">
        <f t="shared" si="5"/>
        <v>0.88703965869141699</v>
      </c>
      <c r="AU16" s="87">
        <f t="shared" si="5"/>
        <v>0.8569807886670513</v>
      </c>
      <c r="AV16" s="87">
        <f t="shared" si="5"/>
        <v>0.89016918364826203</v>
      </c>
      <c r="AW16" s="87">
        <f t="shared" si="5"/>
        <v>0.88163349093052346</v>
      </c>
      <c r="AX16" s="87">
        <f t="shared" si="5"/>
        <v>0.80427724107947018</v>
      </c>
      <c r="AY16" s="87">
        <f t="shared" si="5"/>
        <v>0.85927743329468553</v>
      </c>
      <c r="BA16" s="87">
        <f t="shared" si="5"/>
        <v>0.8038341646733792</v>
      </c>
      <c r="BB16" s="88">
        <v>0.8</v>
      </c>
      <c r="BC16" s="88">
        <f>BC15/BC12</f>
        <v>0.77898196592430358</v>
      </c>
      <c r="BD16" s="88">
        <f>BD15/BD12</f>
        <v>0.75039434737312927</v>
      </c>
      <c r="BE16" s="88">
        <f>BE15/BE12</f>
        <v>0.7859539923662946</v>
      </c>
      <c r="BG16" s="88">
        <v>0.78301006179155852</v>
      </c>
      <c r="BH16" s="88">
        <f>BH15/BH12</f>
        <v>0.79262935399198398</v>
      </c>
      <c r="BI16" s="88">
        <f>BI15/BI12</f>
        <v>0.75680161111292776</v>
      </c>
      <c r="BJ16" s="88">
        <f>BJ15/BJ12</f>
        <v>0.73146570861036686</v>
      </c>
      <c r="BK16" s="88">
        <f>BK15/BK12</f>
        <v>0.7662472000870244</v>
      </c>
      <c r="BM16" s="88">
        <f>BM15/BM12</f>
        <v>0.7638024837398828</v>
      </c>
      <c r="BN16" s="88">
        <f>BN15/BN12</f>
        <v>0.75933891480274351</v>
      </c>
      <c r="BO16" s="88">
        <f>BO15/BO12</f>
        <v>0.7857895060015988</v>
      </c>
      <c r="BP16" s="88">
        <f>BP15/BP12</f>
        <v>0.68864581923886248</v>
      </c>
      <c r="BQ16" s="88">
        <f>BQ15/BQ12</f>
        <v>0.75152267501776437</v>
      </c>
      <c r="BS16" s="88">
        <f>BS15/BS12</f>
        <v>0.74037075068503033</v>
      </c>
      <c r="BT16" s="88">
        <f>BT15/BT12</f>
        <v>0.72205639259128074</v>
      </c>
      <c r="BU16" s="88">
        <f>BU15/BU12</f>
        <v>0.73415043414810877</v>
      </c>
      <c r="BV16" s="88">
        <f>BV15/BV12</f>
        <v>0.64693562484424949</v>
      </c>
      <c r="BW16" s="88">
        <f>BW15/BW12</f>
        <v>0.71251184090902597</v>
      </c>
      <c r="BY16" s="88">
        <f>BY15/BY12</f>
        <v>0.70529351831874376</v>
      </c>
      <c r="BZ16" s="88">
        <f>BZ15/BZ12</f>
        <v>0.69004150462130354</v>
      </c>
      <c r="CA16" s="88">
        <f>CA15/CA12</f>
        <v>0.74680852700923939</v>
      </c>
      <c r="CB16" s="88">
        <f>CB15/CB12</f>
        <v>0.7606380146870948</v>
      </c>
      <c r="CC16" s="88">
        <f>CC15/CC12</f>
        <v>0.72676499701681951</v>
      </c>
      <c r="CE16" s="88">
        <f>CE15/CE12</f>
        <v>0.74242533614636075</v>
      </c>
      <c r="CF16" s="88">
        <f>CF15/CF12</f>
        <v>0.69958462869373494</v>
      </c>
      <c r="CG16" s="88">
        <f>CG15/CG12</f>
        <v>0.69769749668212311</v>
      </c>
      <c r="CH16" s="88">
        <f t="shared" ref="CH16:CI16" si="6">CH15/CH12</f>
        <v>0.6570385929884357</v>
      </c>
      <c r="CI16" s="88">
        <f t="shared" si="6"/>
        <v>0.69923873189715924</v>
      </c>
      <c r="CK16" s="88">
        <f t="shared" ref="CK16" si="7">CK15/CK12</f>
        <v>0.65153747274040208</v>
      </c>
    </row>
    <row r="17" spans="1:89" s="83" customFormat="1">
      <c r="A17" s="80" t="s">
        <v>325</v>
      </c>
      <c r="B17" s="81"/>
      <c r="C17" s="89">
        <f>'DRE ITR'!C36</f>
        <v>-13154</v>
      </c>
      <c r="D17" s="90"/>
      <c r="E17" s="82">
        <f>'DRE ITR'!E36</f>
        <v>1337</v>
      </c>
      <c r="F17" s="89">
        <f>'DRE ITR'!F36</f>
        <v>-338</v>
      </c>
      <c r="G17" s="82">
        <f>'DRE ITR'!G36</f>
        <v>615</v>
      </c>
      <c r="H17" s="89">
        <f>'DRE ITR'!H36</f>
        <v>-3193</v>
      </c>
      <c r="I17" s="89">
        <f>'DRE ITR'!I36</f>
        <v>-1579</v>
      </c>
      <c r="J17" s="90"/>
      <c r="K17" s="89">
        <f>'DRE ITR'!K36</f>
        <v>9752</v>
      </c>
      <c r="L17" s="89">
        <f>'DRE ITR'!L36</f>
        <v>13235</v>
      </c>
      <c r="M17" s="89">
        <f>'DRE ITR'!M36</f>
        <v>8908</v>
      </c>
      <c r="N17" s="89">
        <f>'DRE ITR'!N36</f>
        <v>134808</v>
      </c>
      <c r="O17" s="89">
        <f>'DRE ITR'!O36</f>
        <v>166703</v>
      </c>
      <c r="P17" s="90"/>
      <c r="Q17" s="89">
        <f>'DRE ITR'!Q36</f>
        <v>3868</v>
      </c>
      <c r="R17" s="89">
        <f>'DRE ITR'!R36</f>
        <v>27204</v>
      </c>
      <c r="S17" s="89">
        <f>'DRE ITR'!S36</f>
        <v>4265</v>
      </c>
      <c r="T17" s="89">
        <f>'DRE ITR'!T36</f>
        <v>778031</v>
      </c>
      <c r="U17" s="82">
        <f>'DRE ITR'!U36</f>
        <v>813368</v>
      </c>
      <c r="V17" s="82"/>
      <c r="W17" s="82">
        <f>'DRE ITR'!W36</f>
        <v>22355.799999999988</v>
      </c>
      <c r="X17" s="82">
        <f>'DRE ITR'!X36</f>
        <v>158808.5</v>
      </c>
      <c r="Y17" s="82">
        <f>'DRE ITR'!Y36</f>
        <v>83744.800000000003</v>
      </c>
      <c r="Z17" s="82">
        <f>'DRE ITR'!Z36</f>
        <v>70500.399999999994</v>
      </c>
      <c r="AA17" s="82">
        <f>'DRE ITR'!AA36</f>
        <v>335409.2</v>
      </c>
      <c r="AB17" s="82"/>
      <c r="AC17" s="82">
        <f>'DRE ITR'!AC36</f>
        <v>452713</v>
      </c>
      <c r="AD17" s="82">
        <f>'DRE ITR'!AD36</f>
        <v>332390</v>
      </c>
      <c r="AE17" s="82">
        <f>'DRE ITR'!AE36</f>
        <v>259233.78323461307</v>
      </c>
      <c r="AF17" s="82">
        <f>'DRE ITR'!AF36</f>
        <v>183091.85749220048</v>
      </c>
      <c r="AG17" s="82">
        <f>'DRE ITR'!AG36</f>
        <v>1227428.5422222775</v>
      </c>
      <c r="AH17" s="82">
        <f>'DRE ITR'!AH36</f>
        <v>0</v>
      </c>
      <c r="AI17" s="82">
        <f>'DRE ITR'!AI40</f>
        <v>90892.722298627385</v>
      </c>
      <c r="AJ17" s="82">
        <f>'DRE ITR'!AJ40</f>
        <v>49847.244802349087</v>
      </c>
      <c r="AK17" s="82">
        <f>'DRE ITR'!AK40</f>
        <v>89555.258820799674</v>
      </c>
      <c r="AL17" s="89">
        <f>'DRE ITR'!AL40</f>
        <v>-149132.2000609762</v>
      </c>
      <c r="AM17" s="89">
        <f>'DRE ITR'!AM40</f>
        <v>81163.025860799768</v>
      </c>
      <c r="AN17" s="89"/>
      <c r="AO17" s="89">
        <f>'DRE ITR'!AO40</f>
        <v>59466.645750509451</v>
      </c>
      <c r="AP17" s="89">
        <f>'DRE ITR'!AP40</f>
        <v>182891.95381722759</v>
      </c>
      <c r="AQ17" s="89">
        <f>'DRE ITR'!AQ40</f>
        <v>107932.49805369056</v>
      </c>
      <c r="AR17" s="89">
        <f>'DRE ITR'!AR40</f>
        <v>-85881.861663181233</v>
      </c>
      <c r="AS17" s="89">
        <f>'DRE ITR'!AS40</f>
        <v>264409.2359582464</v>
      </c>
      <c r="AU17" s="89">
        <f>'DRE ITR'!AU40</f>
        <v>30160.510563966189</v>
      </c>
      <c r="AV17" s="89">
        <f>'DRE ITR'!AV40</f>
        <v>34901.329321858073</v>
      </c>
      <c r="AW17" s="89">
        <f>'DRE ITR'!AW40</f>
        <v>-477573.73152265552</v>
      </c>
      <c r="AX17" s="89">
        <f>'DRE ITR'!AX40</f>
        <v>-357126.43840414588</v>
      </c>
      <c r="AY17" s="89">
        <f>'DRE ITR'!AY40</f>
        <v>-769638.3300409771</v>
      </c>
      <c r="BA17" s="89">
        <f>'DRE ITR'!BA40</f>
        <v>106625.61123141143</v>
      </c>
      <c r="BB17" s="89">
        <v>-26996.5280086641</v>
      </c>
      <c r="BC17" s="89">
        <f>'DRE ITR'!BC40</f>
        <v>15531.812297013967</v>
      </c>
      <c r="BD17" s="89">
        <f>'DRE ITR'!BD40</f>
        <v>-66314.906252945584</v>
      </c>
      <c r="BE17" s="89">
        <f>'DRE ITR'!BE40</f>
        <v>28845.989266815712</v>
      </c>
      <c r="BG17" s="89">
        <v>182768.68671546603</v>
      </c>
      <c r="BH17" s="89">
        <f>'DRE ITR'!BH40</f>
        <v>-8789.6472804661098</v>
      </c>
      <c r="BI17" s="89">
        <f>'DRE ITR'!BI40</f>
        <v>12974.386455000036</v>
      </c>
      <c r="BJ17" s="89">
        <f>'DRE ITR'!BJ40</f>
        <v>90063.625470466272</v>
      </c>
      <c r="BK17" s="89">
        <f>'DRE ITR'!BK40</f>
        <v>277017.05136046605</v>
      </c>
      <c r="BM17" s="89">
        <f>'DRE ITR'!BM40</f>
        <v>-11583.670550000061</v>
      </c>
      <c r="BN17" s="89">
        <f>'DRE ITR'!BN40</f>
        <v>-61741.05436000006</v>
      </c>
      <c r="BO17" s="89">
        <f>'DRE ITR'!BO40</f>
        <v>-37102.866679999832</v>
      </c>
      <c r="BP17" s="89">
        <f>'DRE ITR'!BP40</f>
        <v>124132.89578499997</v>
      </c>
      <c r="BQ17" s="89">
        <f>'DRE ITR'!BQ40</f>
        <v>13705.304195000121</v>
      </c>
      <c r="BS17" s="89">
        <f>'DRE ITR'!BS40</f>
        <v>-167887.93531000003</v>
      </c>
      <c r="BT17" s="89">
        <f>'DRE ITR'!BT40</f>
        <v>57074.589920000042</v>
      </c>
      <c r="BU17" s="89">
        <f>'DRE ITR'!BU40</f>
        <v>25599.173290000159</v>
      </c>
      <c r="BV17" s="89">
        <f>'DRE ITR'!BV40</f>
        <v>396565.98821999994</v>
      </c>
      <c r="BW17" s="89">
        <f>'DRE ITR'!BW40</f>
        <v>311351.81612000009</v>
      </c>
      <c r="BY17" s="89">
        <f>'DRE ITR'!BY40</f>
        <v>14378.000005000009</v>
      </c>
      <c r="BZ17" s="89">
        <f>'DRE ITR'!BZ40</f>
        <v>19945.03572</v>
      </c>
      <c r="CA17" s="89">
        <f>'DRE ITR'!CA40</f>
        <v>16260.170780000037</v>
      </c>
      <c r="CB17" s="89">
        <f>'DRE ITR'!CB40</f>
        <v>155685.49353999991</v>
      </c>
      <c r="CC17" s="89">
        <f>'DRE ITR'!CC40</f>
        <v>206268.70004499989</v>
      </c>
      <c r="CE17" s="89">
        <f>'DRE ITR'!CE40</f>
        <v>13425.849340000173</v>
      </c>
      <c r="CF17" s="89">
        <f>'DRE ITR'!CF40</f>
        <v>27765.78078999999</v>
      </c>
      <c r="CG17" s="89">
        <f>'DRE ITR'!CG40</f>
        <v>38262.543179999964</v>
      </c>
      <c r="CH17" s="89">
        <f>'DRE ITR'!CH40</f>
        <v>-47438.173310000107</v>
      </c>
      <c r="CI17" s="89">
        <f>'DRE ITR'!CI40</f>
        <v>32016</v>
      </c>
      <c r="CK17" s="89">
        <f>'DRE ITR'!CK40</f>
        <v>-30712</v>
      </c>
    </row>
    <row r="18" spans="1:89" s="83" customFormat="1">
      <c r="A18" s="80"/>
      <c r="B18" s="81"/>
      <c r="C18" s="89"/>
      <c r="D18" s="90"/>
      <c r="E18" s="82"/>
      <c r="F18" s="89"/>
      <c r="G18" s="82"/>
      <c r="H18" s="89"/>
      <c r="I18" s="89"/>
      <c r="J18" s="90"/>
      <c r="K18" s="89"/>
      <c r="L18" s="89"/>
      <c r="M18" s="89"/>
      <c r="N18" s="89"/>
      <c r="O18" s="89"/>
      <c r="P18" s="90"/>
      <c r="Q18" s="89"/>
      <c r="R18" s="89"/>
      <c r="S18" s="89"/>
      <c r="T18" s="89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</row>
    <row r="19" spans="1:89" s="94" customFormat="1">
      <c r="A19" s="91"/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20"/>
      <c r="AE19" s="20"/>
    </row>
    <row r="20" spans="1:89">
      <c r="A20" s="43" t="s">
        <v>184</v>
      </c>
      <c r="B20" s="76"/>
      <c r="C20" s="44"/>
      <c r="D20" s="76"/>
      <c r="E20" s="44"/>
      <c r="F20" s="44"/>
      <c r="G20" s="44"/>
      <c r="H20" s="44"/>
      <c r="I20" s="44"/>
      <c r="J20" s="76"/>
      <c r="K20" s="44"/>
      <c r="L20" s="44"/>
      <c r="M20" s="44"/>
      <c r="N20" s="44"/>
      <c r="O20" s="44"/>
      <c r="P20" s="76"/>
      <c r="Q20" s="44"/>
      <c r="R20" s="44"/>
      <c r="S20" s="44"/>
      <c r="T20" s="44"/>
      <c r="U20" s="44"/>
      <c r="V20" s="76"/>
      <c r="W20" s="44"/>
      <c r="X20" s="44"/>
      <c r="Y20" s="44"/>
      <c r="Z20" s="44"/>
      <c r="AA20" s="44"/>
      <c r="AB20" s="76"/>
      <c r="AC20" s="44"/>
      <c r="AD20" s="44"/>
      <c r="AE20" s="44"/>
      <c r="AF20" s="44"/>
      <c r="AG20" s="44"/>
      <c r="AI20" s="44"/>
      <c r="AJ20" s="44"/>
      <c r="AK20" s="44"/>
      <c r="AL20" s="44"/>
      <c r="AM20" s="44"/>
      <c r="AO20" s="44"/>
      <c r="AP20" s="44"/>
      <c r="AQ20" s="44"/>
      <c r="AR20" s="44"/>
      <c r="AS20" s="44"/>
      <c r="AU20" s="44"/>
      <c r="AV20" s="44"/>
      <c r="AW20" s="44"/>
      <c r="AX20" s="44"/>
      <c r="AY20" s="44"/>
      <c r="BA20" s="44"/>
      <c r="BB20" s="44"/>
      <c r="BC20" s="44"/>
      <c r="BD20" s="44"/>
      <c r="BE20" s="44"/>
      <c r="BG20" s="44"/>
      <c r="BH20" s="44"/>
      <c r="BI20" s="44"/>
      <c r="BJ20" s="44"/>
      <c r="BK20" s="44"/>
      <c r="BM20" s="44"/>
      <c r="BN20" s="44"/>
      <c r="BO20" s="44"/>
      <c r="BP20" s="44"/>
      <c r="BQ20" s="44"/>
      <c r="BS20" s="44"/>
      <c r="BT20" s="44"/>
      <c r="BU20" s="44"/>
      <c r="BV20" s="44"/>
      <c r="BW20" s="44"/>
      <c r="BY20" s="44"/>
      <c r="BZ20" s="44"/>
      <c r="CA20" s="44"/>
      <c r="CB20" s="44"/>
      <c r="CC20" s="44"/>
      <c r="CE20" s="44"/>
      <c r="CF20" s="44"/>
      <c r="CG20" s="44"/>
      <c r="CH20" s="44"/>
      <c r="CI20" s="44"/>
      <c r="CK20" s="44"/>
    </row>
    <row r="21" spans="1:89">
      <c r="A21" s="77"/>
      <c r="B21" s="76"/>
      <c r="C21" s="95"/>
      <c r="D21" s="96"/>
      <c r="E21" s="95"/>
      <c r="F21" s="95"/>
      <c r="G21" s="95"/>
      <c r="H21" s="95"/>
      <c r="K21" s="95"/>
      <c r="L21" s="95"/>
      <c r="M21" s="95"/>
      <c r="N21" s="95"/>
      <c r="O21" s="61"/>
      <c r="P21" s="76"/>
      <c r="Q21" s="97"/>
      <c r="R21" s="97"/>
      <c r="S21" s="97"/>
      <c r="T21" s="97"/>
      <c r="U21" s="61"/>
      <c r="V21" s="76"/>
      <c r="W21" s="97"/>
      <c r="X21" s="97"/>
      <c r="Y21" s="97"/>
      <c r="Z21" s="97"/>
      <c r="AA21" s="97"/>
      <c r="AB21" s="98"/>
      <c r="AC21" s="97"/>
    </row>
    <row r="22" spans="1:89" s="83" customFormat="1">
      <c r="A22" s="80" t="s">
        <v>185</v>
      </c>
      <c r="B22" s="81"/>
      <c r="C22" s="99">
        <f>SUM(C23:C25)</f>
        <v>294363.69999999995</v>
      </c>
      <c r="D22" s="99"/>
      <c r="E22" s="99">
        <f t="shared" ref="E22:X22" si="8">SUM(E23:E25)</f>
        <v>388962.83999999997</v>
      </c>
      <c r="F22" s="99">
        <f t="shared" si="8"/>
        <v>422731.35</v>
      </c>
      <c r="G22" s="99">
        <f t="shared" si="8"/>
        <v>437528.35</v>
      </c>
      <c r="H22" s="99">
        <f t="shared" si="8"/>
        <v>437528.35</v>
      </c>
      <c r="I22" s="99">
        <f t="shared" si="8"/>
        <v>437528.35</v>
      </c>
      <c r="J22" s="99"/>
      <c r="K22" s="99">
        <f t="shared" si="8"/>
        <v>437528.35</v>
      </c>
      <c r="L22" s="99">
        <f t="shared" si="8"/>
        <v>432799.35</v>
      </c>
      <c r="M22" s="99">
        <f t="shared" si="8"/>
        <v>432799.35</v>
      </c>
      <c r="N22" s="99">
        <f t="shared" si="8"/>
        <v>640139.96</v>
      </c>
      <c r="O22" s="99">
        <f t="shared" si="8"/>
        <v>640139.96</v>
      </c>
      <c r="P22" s="99"/>
      <c r="Q22" s="99">
        <f t="shared" si="8"/>
        <v>741148.79999999993</v>
      </c>
      <c r="R22" s="99">
        <f t="shared" si="8"/>
        <v>1004896.4299999999</v>
      </c>
      <c r="S22" s="99">
        <f t="shared" si="8"/>
        <v>1037002.4299999999</v>
      </c>
      <c r="T22" s="99">
        <f t="shared" si="8"/>
        <v>1171510.8999999999</v>
      </c>
      <c r="U22" s="99">
        <f t="shared" si="8"/>
        <v>1171510.8999999999</v>
      </c>
      <c r="V22" s="99"/>
      <c r="W22" s="99">
        <f t="shared" si="8"/>
        <v>1162553.2999999998</v>
      </c>
      <c r="X22" s="99">
        <f t="shared" si="8"/>
        <v>1162287.2999999998</v>
      </c>
      <c r="Y22" s="99">
        <f>SUM(Y23:Y25)</f>
        <v>1167987.4550000001</v>
      </c>
      <c r="Z22" s="99">
        <f>SUM(Z23:Z25)</f>
        <v>1164217.655</v>
      </c>
      <c r="AA22" s="99">
        <f>SUM(AA23:AA25)</f>
        <v>1164217.655</v>
      </c>
      <c r="AB22" s="99"/>
      <c r="AC22" s="99">
        <f>SUM(AC23:AC25)</f>
        <v>1694015.9620000001</v>
      </c>
      <c r="AD22" s="99">
        <v>1730593.5760000004</v>
      </c>
      <c r="AE22" s="99">
        <v>1730593.4360000005</v>
      </c>
      <c r="AF22" s="99">
        <v>1901133.8360000004</v>
      </c>
      <c r="AG22" s="99">
        <v>1901133.8360000004</v>
      </c>
      <c r="AI22" s="99">
        <f>SUM(AI23:AI25)</f>
        <v>1922402.2860000003</v>
      </c>
      <c r="AJ22" s="99">
        <f>SUM(AJ23:AJ25)</f>
        <v>1944883.8760000002</v>
      </c>
      <c r="AK22" s="99">
        <f>SUM(AK23:AK25)</f>
        <v>1939384.4120000002</v>
      </c>
      <c r="AL22" s="99">
        <f>SUM(AL23:AL25)</f>
        <v>1939384.4120000002</v>
      </c>
      <c r="AM22" s="99">
        <f>SUM(AM23:AM25)</f>
        <v>1939384.4120000002</v>
      </c>
      <c r="AN22" s="99"/>
      <c r="AO22" s="99">
        <f t="shared" ref="AO22:AQ22" si="9">SUM(AO23:AO25)</f>
        <v>1943966.7220000001</v>
      </c>
      <c r="AP22" s="99">
        <f t="shared" si="9"/>
        <v>1077163.4920000001</v>
      </c>
      <c r="AQ22" s="99">
        <f t="shared" si="9"/>
        <v>965224.09199999995</v>
      </c>
      <c r="AR22" s="99">
        <f t="shared" ref="AR22:BA22" si="10">SUM(AR23:AR25)</f>
        <v>965224.09199999995</v>
      </c>
      <c r="AS22" s="99">
        <f t="shared" si="10"/>
        <v>965224.09199999995</v>
      </c>
      <c r="AT22" s="20"/>
      <c r="AU22" s="99">
        <f t="shared" si="10"/>
        <v>965224.09199999995</v>
      </c>
      <c r="AV22" s="99">
        <f t="shared" si="10"/>
        <v>987229.09199999995</v>
      </c>
      <c r="AW22" s="99">
        <f t="shared" si="10"/>
        <v>987229.09199999995</v>
      </c>
      <c r="AX22" s="99">
        <f t="shared" si="10"/>
        <v>528253</v>
      </c>
      <c r="AY22" s="99">
        <f t="shared" si="10"/>
        <v>528253</v>
      </c>
      <c r="AZ22" s="20"/>
      <c r="BA22" s="99">
        <f t="shared" si="10"/>
        <v>528253</v>
      </c>
      <c r="BB22" s="99">
        <f>SUM(BB23:BB25)</f>
        <v>538021.93999999994</v>
      </c>
      <c r="BC22" s="99">
        <f>SUM(BC23:BC25)</f>
        <v>499074.94000000006</v>
      </c>
      <c r="BD22" s="99">
        <f>SUM(BD23:BD25)</f>
        <v>580497.93999999994</v>
      </c>
      <c r="BE22" s="99">
        <f>SUM(BE23:BE25)</f>
        <v>580497.93999999994</v>
      </c>
      <c r="BF22" s="20"/>
      <c r="BG22" s="99">
        <f>SUM(BG23:BG25)</f>
        <v>533144.47</v>
      </c>
      <c r="BH22" s="99">
        <f>SUM(BH23:BH25)</f>
        <v>610022.47</v>
      </c>
      <c r="BI22" s="99">
        <f>SUM(BI23:BI25)</f>
        <v>595897.24</v>
      </c>
      <c r="BJ22" s="99">
        <f>SUM(BJ23:BJ25)</f>
        <v>595897.24</v>
      </c>
      <c r="BK22" s="99">
        <f>SUM(BK23:BK25)</f>
        <v>595897.24</v>
      </c>
      <c r="BL22" s="99"/>
      <c r="BM22" s="99">
        <f t="shared" ref="BM22:BQ22" si="11">SUM(BM23:BM25)</f>
        <v>627618.24</v>
      </c>
      <c r="BN22" s="99">
        <f t="shared" si="11"/>
        <v>622026.23999999999</v>
      </c>
      <c r="BO22" s="99">
        <f t="shared" si="11"/>
        <v>636414.24</v>
      </c>
      <c r="BP22" s="99">
        <f t="shared" si="11"/>
        <v>636414.24</v>
      </c>
      <c r="BQ22" s="99">
        <f t="shared" si="11"/>
        <v>636414.24</v>
      </c>
      <c r="BR22" s="99"/>
      <c r="BS22" s="99">
        <f t="shared" ref="BS22:BT22" si="12">SUM(BS23:BS25)</f>
        <v>636414.24</v>
      </c>
      <c r="BT22" s="99">
        <f t="shared" si="12"/>
        <v>613559.5</v>
      </c>
      <c r="BU22" s="99">
        <f t="shared" ref="BU22:BW22" si="13">SUM(BU23:BU25)</f>
        <v>597312.71</v>
      </c>
      <c r="BV22" s="99">
        <f t="shared" si="13"/>
        <v>458082.1293969524</v>
      </c>
      <c r="BW22" s="99">
        <f t="shared" si="13"/>
        <v>458082.1293969524</v>
      </c>
      <c r="BX22" s="99"/>
      <c r="BY22" s="99">
        <f t="shared" ref="BY22:BZ22" si="14">SUM(BY23:BY25)</f>
        <v>458082.1293969524</v>
      </c>
      <c r="BZ22" s="99">
        <f t="shared" si="14"/>
        <v>458082.1293969524</v>
      </c>
      <c r="CA22" s="99">
        <f t="shared" ref="CA22:CB22" si="15">SUM(CA23:CA25)</f>
        <v>458082.1293969524</v>
      </c>
      <c r="CB22" s="99">
        <f t="shared" si="15"/>
        <v>513722.4393969524</v>
      </c>
      <c r="CC22" s="99">
        <f t="shared" ref="CC22" si="16">SUM(CC23:CC25)</f>
        <v>513722.4393969524</v>
      </c>
      <c r="CD22" s="99"/>
      <c r="CE22" s="99">
        <f t="shared" ref="CE22:CF22" si="17">SUM(CE23:CE25)</f>
        <v>562394.28549695248</v>
      </c>
      <c r="CF22" s="99">
        <f t="shared" si="17"/>
        <v>556280.62349695247</v>
      </c>
      <c r="CG22" s="99">
        <f>SUM(CG23:CG25)</f>
        <v>524562.87509695243</v>
      </c>
      <c r="CH22" s="99">
        <f>SUM(CH23:CH25)</f>
        <v>587327.87509695243</v>
      </c>
      <c r="CI22" s="99">
        <f>CH22</f>
        <v>587327.87509695243</v>
      </c>
      <c r="CJ22" s="99"/>
      <c r="CK22" s="99">
        <f>SUM(CK23:CK25)</f>
        <v>587327.87509695243</v>
      </c>
    </row>
    <row r="23" spans="1:89">
      <c r="A23" s="46" t="s">
        <v>186</v>
      </c>
      <c r="B23" s="47"/>
      <c r="C23" s="100">
        <v>158258.43</v>
      </c>
      <c r="D23" s="100"/>
      <c r="E23" s="100">
        <v>173013.43</v>
      </c>
      <c r="F23" s="100">
        <v>191281.94</v>
      </c>
      <c r="G23" s="100">
        <v>191281.94</v>
      </c>
      <c r="H23" s="100">
        <v>191281.94</v>
      </c>
      <c r="I23" s="100">
        <v>191281.94</v>
      </c>
      <c r="J23" s="100"/>
      <c r="K23" s="100">
        <v>191281.94</v>
      </c>
      <c r="L23" s="100">
        <v>186552.94</v>
      </c>
      <c r="M23" s="100">
        <v>186552.94</v>
      </c>
      <c r="N23" s="100">
        <v>199635.86</v>
      </c>
      <c r="O23" s="100">
        <v>199635.86</v>
      </c>
      <c r="P23" s="100"/>
      <c r="Q23" s="100">
        <v>198765.86</v>
      </c>
      <c r="R23" s="100">
        <v>267564.49</v>
      </c>
      <c r="S23" s="100">
        <v>289057.49</v>
      </c>
      <c r="T23" s="100">
        <v>309757.55</v>
      </c>
      <c r="U23" s="100">
        <v>309757.55</v>
      </c>
      <c r="V23" s="100"/>
      <c r="W23" s="100">
        <v>300799.95</v>
      </c>
      <c r="X23" s="100">
        <v>300533.95</v>
      </c>
      <c r="Y23" s="100">
        <v>300007.77499999997</v>
      </c>
      <c r="Z23" s="100">
        <v>298409.17499999999</v>
      </c>
      <c r="AA23" s="100">
        <v>298409.17499999999</v>
      </c>
      <c r="AB23" s="100"/>
      <c r="AC23" s="100">
        <v>435510.61</v>
      </c>
      <c r="AD23" s="100">
        <v>472088.63400000002</v>
      </c>
      <c r="AE23" s="100">
        <v>472088.49400000006</v>
      </c>
      <c r="AF23" s="100">
        <v>597386.89399999997</v>
      </c>
      <c r="AG23" s="100">
        <v>597386.89399999997</v>
      </c>
      <c r="AI23" s="100">
        <v>618655.34400000004</v>
      </c>
      <c r="AJ23" s="100">
        <v>618121.52399999998</v>
      </c>
      <c r="AK23" s="100">
        <v>597297.06000000006</v>
      </c>
      <c r="AL23" s="100">
        <v>597297.06000000006</v>
      </c>
      <c r="AM23" s="100">
        <v>597297.06000000006</v>
      </c>
      <c r="AO23" s="100">
        <v>601879.78</v>
      </c>
      <c r="AP23" s="100">
        <v>601879.82000000007</v>
      </c>
      <c r="AQ23" s="100">
        <v>588090.78</v>
      </c>
      <c r="AR23" s="100">
        <v>588090.78</v>
      </c>
      <c r="AS23" s="100">
        <v>588090.78</v>
      </c>
      <c r="AU23" s="100">
        <v>588090.78</v>
      </c>
      <c r="AV23" s="100">
        <v>610095.78</v>
      </c>
      <c r="AW23" s="100">
        <v>610095.78</v>
      </c>
      <c r="AX23" s="100">
        <v>441952.52999999997</v>
      </c>
      <c r="AY23" s="100">
        <v>441952.52999999997</v>
      </c>
      <c r="BA23" s="100">
        <v>441952.52999999997</v>
      </c>
      <c r="BB23" s="100">
        <v>451721.47</v>
      </c>
      <c r="BC23" s="100">
        <v>451721.47000000003</v>
      </c>
      <c r="BD23" s="100">
        <v>533144.47</v>
      </c>
      <c r="BE23" s="100">
        <v>533144.47</v>
      </c>
      <c r="BG23" s="100">
        <v>533144.47</v>
      </c>
      <c r="BH23" s="100">
        <v>587036.47</v>
      </c>
      <c r="BI23" s="100">
        <v>572911.24</v>
      </c>
      <c r="BJ23" s="100">
        <v>572911.24</v>
      </c>
      <c r="BK23" s="100">
        <v>572911.24</v>
      </c>
      <c r="BM23" s="100">
        <v>572913.24</v>
      </c>
      <c r="BN23" s="100">
        <v>567321.24</v>
      </c>
      <c r="BO23" s="100">
        <v>567321.24</v>
      </c>
      <c r="BP23" s="100">
        <v>567321.24</v>
      </c>
      <c r="BQ23" s="100">
        <v>567321.24</v>
      </c>
      <c r="BS23" s="100">
        <v>567321.24</v>
      </c>
      <c r="BT23" s="100">
        <v>544466.5</v>
      </c>
      <c r="BU23" s="100">
        <v>528219.71</v>
      </c>
      <c r="BV23" s="100">
        <v>388967.15239695238</v>
      </c>
      <c r="BW23" s="100">
        <v>388967.15239695238</v>
      </c>
      <c r="BY23" s="100">
        <v>388967.15239695238</v>
      </c>
      <c r="BZ23" s="100">
        <v>388967.15239695238</v>
      </c>
      <c r="CA23" s="100">
        <v>388967.15239695238</v>
      </c>
      <c r="CB23" s="100">
        <v>434645.0423969524</v>
      </c>
      <c r="CC23" s="100">
        <v>434645.0423969524</v>
      </c>
      <c r="CE23" s="100">
        <v>483316.88849695242</v>
      </c>
      <c r="CF23" s="100">
        <v>477203.22649695241</v>
      </c>
      <c r="CG23" s="100">
        <v>477203.22649695241</v>
      </c>
      <c r="CH23" s="100">
        <v>477203.22649695241</v>
      </c>
      <c r="CI23" s="100">
        <f>CH23</f>
        <v>477203.22649695241</v>
      </c>
      <c r="CK23" s="100">
        <v>477203.22649695241</v>
      </c>
    </row>
    <row r="24" spans="1:89">
      <c r="A24" s="46" t="s">
        <v>351</v>
      </c>
      <c r="B24" s="47"/>
      <c r="C24" s="100">
        <v>136105.26999999999</v>
      </c>
      <c r="D24" s="100"/>
      <c r="E24" s="100">
        <v>215949.40999999997</v>
      </c>
      <c r="F24" s="100">
        <v>231449.40999999997</v>
      </c>
      <c r="G24" s="100">
        <v>246246.40999999997</v>
      </c>
      <c r="H24" s="100">
        <v>246246.40999999997</v>
      </c>
      <c r="I24" s="100">
        <v>246246.40999999997</v>
      </c>
      <c r="J24" s="100"/>
      <c r="K24" s="100">
        <v>246246.40999999997</v>
      </c>
      <c r="L24" s="100">
        <v>246246.40999999997</v>
      </c>
      <c r="M24" s="100">
        <v>246246.40999999997</v>
      </c>
      <c r="N24" s="100">
        <v>440504.1</v>
      </c>
      <c r="O24" s="100">
        <v>440504.1</v>
      </c>
      <c r="P24" s="100"/>
      <c r="Q24" s="100">
        <v>542382.93999999994</v>
      </c>
      <c r="R24" s="100">
        <v>737331.94</v>
      </c>
      <c r="S24" s="100">
        <v>747944.94</v>
      </c>
      <c r="T24" s="100">
        <v>760867.94</v>
      </c>
      <c r="U24" s="100">
        <v>760867.94</v>
      </c>
      <c r="V24" s="100"/>
      <c r="W24" s="100">
        <v>760867.94</v>
      </c>
      <c r="X24" s="100">
        <v>760867.94</v>
      </c>
      <c r="Y24" s="100">
        <v>767093.4800000001</v>
      </c>
      <c r="Z24" s="100">
        <v>767093.4800000001</v>
      </c>
      <c r="AA24" s="100">
        <v>767093.4800000001</v>
      </c>
      <c r="AB24" s="100"/>
      <c r="AC24" s="100">
        <v>1144451.3820000002</v>
      </c>
      <c r="AD24" s="100">
        <v>1144450.9720000003</v>
      </c>
      <c r="AE24" s="100">
        <v>1144450.9720000003</v>
      </c>
      <c r="AF24" s="100">
        <v>1189692.9720000003</v>
      </c>
      <c r="AG24" s="100">
        <v>1189692.9720000003</v>
      </c>
      <c r="AI24" s="100">
        <v>1189692.9720000003</v>
      </c>
      <c r="AJ24" s="100">
        <v>1212708.3820000002</v>
      </c>
      <c r="AK24" s="100">
        <v>1228033.3820000002</v>
      </c>
      <c r="AL24" s="100">
        <v>1228033.3820000002</v>
      </c>
      <c r="AM24" s="100">
        <v>1228033.3820000002</v>
      </c>
      <c r="AO24" s="100">
        <v>1228032.9720000001</v>
      </c>
      <c r="AP24" s="100">
        <v>361229.70200000005</v>
      </c>
      <c r="AQ24" s="100">
        <v>361793.342</v>
      </c>
      <c r="AR24" s="100">
        <v>361793.342</v>
      </c>
      <c r="AS24" s="100">
        <v>361793.342</v>
      </c>
      <c r="AU24" s="100">
        <v>361793.342</v>
      </c>
      <c r="AV24" s="100">
        <v>361793.342</v>
      </c>
      <c r="AW24" s="100">
        <v>361793.342</v>
      </c>
      <c r="AX24" s="100">
        <v>86300.47</v>
      </c>
      <c r="AY24" s="100">
        <v>86300.47</v>
      </c>
      <c r="BA24" s="100">
        <v>86300.47</v>
      </c>
      <c r="BB24" s="100">
        <v>86300.47</v>
      </c>
      <c r="BC24" s="100">
        <v>47353.47</v>
      </c>
      <c r="BD24" s="100">
        <v>47353.47</v>
      </c>
      <c r="BE24" s="100">
        <v>47353.47</v>
      </c>
      <c r="BG24" s="100">
        <v>0</v>
      </c>
      <c r="BH24" s="100">
        <v>22986</v>
      </c>
      <c r="BI24" s="100">
        <v>22986</v>
      </c>
      <c r="BJ24" s="100">
        <v>22986</v>
      </c>
      <c r="BK24" s="100">
        <v>22986</v>
      </c>
      <c r="BM24" s="100">
        <v>54705</v>
      </c>
      <c r="BN24" s="100">
        <v>54705</v>
      </c>
      <c r="BO24" s="100">
        <v>69093</v>
      </c>
      <c r="BP24" s="100">
        <v>69093</v>
      </c>
      <c r="BQ24" s="100">
        <v>69093</v>
      </c>
      <c r="BS24" s="100">
        <v>69093</v>
      </c>
      <c r="BT24" s="100">
        <v>69093</v>
      </c>
      <c r="BU24" s="100">
        <v>69093</v>
      </c>
      <c r="BV24" s="100">
        <v>69114.976999999999</v>
      </c>
      <c r="BW24" s="100">
        <v>69114.976999999999</v>
      </c>
      <c r="BY24" s="100">
        <v>69114.976999999999</v>
      </c>
      <c r="BZ24" s="100">
        <v>69114.976999999999</v>
      </c>
      <c r="CA24" s="100">
        <v>69114.976999999999</v>
      </c>
      <c r="CB24" s="100">
        <v>79077.396999999997</v>
      </c>
      <c r="CC24" s="100">
        <v>79077.396999999997</v>
      </c>
      <c r="CE24" s="100">
        <v>79077.396999999997</v>
      </c>
      <c r="CF24" s="100">
        <v>79077.396999999997</v>
      </c>
      <c r="CG24" s="100">
        <v>47359.648599999993</v>
      </c>
      <c r="CH24" s="100">
        <v>110124.64859999999</v>
      </c>
      <c r="CI24" s="100">
        <f>CH24</f>
        <v>110124.64859999999</v>
      </c>
      <c r="CK24" s="100">
        <v>110124.64859999999</v>
      </c>
    </row>
    <row r="25" spans="1:89">
      <c r="A25" s="46" t="s">
        <v>187</v>
      </c>
      <c r="B25" s="47"/>
      <c r="C25" s="100">
        <v>0</v>
      </c>
      <c r="D25" s="100"/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/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/>
      <c r="Q25" s="100">
        <v>0</v>
      </c>
      <c r="R25" s="100">
        <v>0</v>
      </c>
      <c r="S25" s="100">
        <v>0</v>
      </c>
      <c r="T25" s="100">
        <v>100885.40999999999</v>
      </c>
      <c r="U25" s="100">
        <v>100885.40999999999</v>
      </c>
      <c r="V25" s="100"/>
      <c r="W25" s="100">
        <v>100885.40999999999</v>
      </c>
      <c r="X25" s="100">
        <v>100885.40999999999</v>
      </c>
      <c r="Y25" s="100">
        <v>100886.2</v>
      </c>
      <c r="Z25" s="100">
        <v>98715</v>
      </c>
      <c r="AA25" s="100">
        <v>98715</v>
      </c>
      <c r="AB25" s="100"/>
      <c r="AC25" s="100">
        <v>114053.97</v>
      </c>
      <c r="AD25" s="100">
        <v>114053.97</v>
      </c>
      <c r="AE25" s="100">
        <v>114053.97</v>
      </c>
      <c r="AF25" s="100">
        <v>114053.97</v>
      </c>
      <c r="AG25" s="100">
        <v>114053.97</v>
      </c>
      <c r="AI25" s="100">
        <v>114053.97</v>
      </c>
      <c r="AJ25" s="100">
        <v>114053.97</v>
      </c>
      <c r="AK25" s="100">
        <v>114053.97</v>
      </c>
      <c r="AL25" s="100">
        <v>114053.97</v>
      </c>
      <c r="AM25" s="100">
        <v>114053.97</v>
      </c>
      <c r="AO25" s="100">
        <v>114053.97</v>
      </c>
      <c r="AP25" s="100">
        <v>114053.97</v>
      </c>
      <c r="AQ25" s="100">
        <v>15339.970000000001</v>
      </c>
      <c r="AR25" s="100">
        <v>15339.970000000001</v>
      </c>
      <c r="AS25" s="100">
        <v>15339.970000000001</v>
      </c>
      <c r="AU25" s="100">
        <v>15339.970000000001</v>
      </c>
      <c r="AV25" s="100">
        <v>15339.970000000001</v>
      </c>
      <c r="AW25" s="100">
        <v>15339.970000000001</v>
      </c>
      <c r="AX25" s="100">
        <v>0</v>
      </c>
      <c r="AY25" s="100">
        <v>0</v>
      </c>
      <c r="BA25" s="100">
        <v>0</v>
      </c>
      <c r="BB25" s="100">
        <v>0</v>
      </c>
      <c r="BC25" s="100">
        <v>0</v>
      </c>
      <c r="BD25" s="100"/>
      <c r="BE25" s="100"/>
      <c r="BG25" s="100"/>
      <c r="BH25" s="100"/>
      <c r="BI25" s="100"/>
      <c r="BJ25" s="100"/>
      <c r="BK25" s="100"/>
      <c r="BM25" s="100"/>
      <c r="BN25" s="100"/>
      <c r="BO25" s="100"/>
      <c r="BP25" s="100"/>
      <c r="BQ25" s="100"/>
      <c r="BS25" s="100"/>
      <c r="BT25" s="100"/>
      <c r="BU25" s="100"/>
      <c r="BV25" s="100"/>
      <c r="BW25" s="100"/>
      <c r="BY25" s="100"/>
      <c r="BZ25" s="100"/>
      <c r="CA25" s="100"/>
      <c r="CB25" s="100"/>
      <c r="CC25" s="100"/>
      <c r="CE25" s="100"/>
      <c r="CF25" s="100"/>
      <c r="CG25" s="100"/>
      <c r="CH25" s="100"/>
      <c r="CI25" s="100"/>
      <c r="CK25" s="100"/>
    </row>
    <row r="26" spans="1:89" s="83" customFormat="1">
      <c r="A26" s="80" t="s">
        <v>188</v>
      </c>
      <c r="B26" s="81"/>
      <c r="C26" s="99">
        <f t="shared" ref="C26:AA26" si="18">SUM(C27:C29)</f>
        <v>0</v>
      </c>
      <c r="D26" s="99"/>
      <c r="E26" s="99">
        <f t="shared" si="18"/>
        <v>0</v>
      </c>
      <c r="F26" s="99">
        <f t="shared" si="18"/>
        <v>146294</v>
      </c>
      <c r="G26" s="99">
        <f t="shared" si="18"/>
        <v>150473</v>
      </c>
      <c r="H26" s="99">
        <f t="shared" si="18"/>
        <v>150473</v>
      </c>
      <c r="I26" s="99">
        <f t="shared" si="18"/>
        <v>150473</v>
      </c>
      <c r="J26" s="99"/>
      <c r="K26" s="99">
        <f t="shared" si="18"/>
        <v>150473</v>
      </c>
      <c r="L26" s="99">
        <f t="shared" si="18"/>
        <v>150473</v>
      </c>
      <c r="M26" s="99">
        <f t="shared" si="18"/>
        <v>150473</v>
      </c>
      <c r="N26" s="99">
        <f t="shared" si="18"/>
        <v>150473</v>
      </c>
      <c r="O26" s="99">
        <f t="shared" si="18"/>
        <v>150473</v>
      </c>
      <c r="P26" s="99"/>
      <c r="Q26" s="99">
        <f t="shared" si="18"/>
        <v>150473</v>
      </c>
      <c r="R26" s="99">
        <f t="shared" si="18"/>
        <v>150473</v>
      </c>
      <c r="S26" s="99">
        <f t="shared" si="18"/>
        <v>148313</v>
      </c>
      <c r="T26" s="99">
        <f t="shared" si="18"/>
        <v>148313</v>
      </c>
      <c r="U26" s="99">
        <f t="shared" si="18"/>
        <v>148313</v>
      </c>
      <c r="V26" s="99"/>
      <c r="W26" s="99">
        <f t="shared" si="18"/>
        <v>191451</v>
      </c>
      <c r="X26" s="99">
        <f t="shared" si="18"/>
        <v>178435</v>
      </c>
      <c r="Y26" s="99">
        <f t="shared" si="18"/>
        <v>178435</v>
      </c>
      <c r="Z26" s="99">
        <f t="shared" si="18"/>
        <v>178434.5</v>
      </c>
      <c r="AA26" s="99">
        <f t="shared" si="18"/>
        <v>178434.5</v>
      </c>
      <c r="AB26" s="99"/>
      <c r="AC26" s="99">
        <f>SUM(AC27:AC29)</f>
        <v>395793.41399999999</v>
      </c>
      <c r="AD26" s="99">
        <v>451260.42000000004</v>
      </c>
      <c r="AE26" s="99">
        <v>451260.42000000004</v>
      </c>
      <c r="AF26" s="99">
        <v>321503.02</v>
      </c>
      <c r="AG26" s="99">
        <v>321503.02</v>
      </c>
      <c r="AI26" s="99">
        <f>SUM(AI27:AI29)</f>
        <v>299842.5</v>
      </c>
      <c r="AJ26" s="99">
        <f>SUM(AJ27:AJ29)</f>
        <v>276828.5</v>
      </c>
      <c r="AK26" s="99">
        <f>SUM(AK27:AK29)</f>
        <v>246706.5</v>
      </c>
      <c r="AL26" s="99">
        <f>SUM(AL27:AL29)</f>
        <v>246706.5</v>
      </c>
      <c r="AM26" s="99">
        <f>SUM(AM27:AM29)</f>
        <v>246706.5</v>
      </c>
      <c r="AN26" s="99"/>
      <c r="AO26" s="99">
        <f t="shared" ref="AO26:AQ26" si="19">SUM(AO27:AO29)</f>
        <v>244464.94</v>
      </c>
      <c r="AP26" s="99">
        <f t="shared" si="19"/>
        <v>244464.94</v>
      </c>
      <c r="AQ26" s="99">
        <f t="shared" si="19"/>
        <v>212745.5</v>
      </c>
      <c r="AR26" s="99">
        <f t="shared" ref="AR26:BE26" si="20">SUM(AR27:AR29)</f>
        <v>212745.5</v>
      </c>
      <c r="AS26" s="99">
        <f t="shared" si="20"/>
        <v>212745.5</v>
      </c>
      <c r="AT26" s="20"/>
      <c r="AU26" s="99">
        <f t="shared" si="20"/>
        <v>212745.5</v>
      </c>
      <c r="AV26" s="99">
        <f t="shared" si="20"/>
        <v>183206.5</v>
      </c>
      <c r="AW26" s="99">
        <f t="shared" si="20"/>
        <v>183206.5</v>
      </c>
      <c r="AX26" s="99">
        <f t="shared" si="20"/>
        <v>55325.5</v>
      </c>
      <c r="AY26" s="99">
        <f t="shared" si="20"/>
        <v>55325.5</v>
      </c>
      <c r="AZ26" s="20"/>
      <c r="BA26" s="99">
        <f t="shared" si="20"/>
        <v>55325.5</v>
      </c>
      <c r="BB26" s="99">
        <f t="shared" si="20"/>
        <v>74294.100000000006</v>
      </c>
      <c r="BC26" s="99">
        <f t="shared" si="20"/>
        <v>74294.100000000006</v>
      </c>
      <c r="BD26" s="99">
        <f t="shared" si="20"/>
        <v>74294.100000000006</v>
      </c>
      <c r="BE26" s="99">
        <f t="shared" si="20"/>
        <v>74294.100000000006</v>
      </c>
      <c r="BF26" s="20"/>
      <c r="BG26" s="99">
        <f t="shared" ref="BG26:BQ26" si="21">SUM(BG27:BG29)</f>
        <v>74294.100000000006</v>
      </c>
      <c r="BH26" s="99">
        <f t="shared" si="21"/>
        <v>74294.100000000006</v>
      </c>
      <c r="BI26" s="99">
        <f t="shared" si="21"/>
        <v>88682.1</v>
      </c>
      <c r="BJ26" s="99">
        <f t="shared" si="21"/>
        <v>88682.1</v>
      </c>
      <c r="BK26" s="99">
        <f t="shared" si="21"/>
        <v>88682.1</v>
      </c>
      <c r="BL26" s="99"/>
      <c r="BM26" s="99">
        <f t="shared" si="21"/>
        <v>88682.1</v>
      </c>
      <c r="BN26" s="99">
        <f t="shared" si="21"/>
        <v>88682.1</v>
      </c>
      <c r="BO26" s="99">
        <f t="shared" si="21"/>
        <v>207794.1</v>
      </c>
      <c r="BP26" s="99">
        <f t="shared" si="21"/>
        <v>207794.1</v>
      </c>
      <c r="BQ26" s="99">
        <f t="shared" si="21"/>
        <v>207794.1</v>
      </c>
      <c r="BR26" s="99"/>
      <c r="BS26" s="99">
        <f t="shared" ref="BS26:BT26" si="22">SUM(BS27:BS29)</f>
        <v>207794.1</v>
      </c>
      <c r="BT26" s="99">
        <f t="shared" si="22"/>
        <v>207794.1</v>
      </c>
      <c r="BU26" s="99">
        <f t="shared" ref="BU26:BV26" si="23">SUM(BU27:BU29)</f>
        <v>207794.1</v>
      </c>
      <c r="BV26" s="99">
        <f t="shared" si="23"/>
        <v>223818.95000000004</v>
      </c>
      <c r="BW26" s="99">
        <f t="shared" ref="BW26" si="24">SUM(BW27:BW29)</f>
        <v>223818.95000000004</v>
      </c>
      <c r="BX26" s="99"/>
      <c r="BY26" s="99">
        <f t="shared" ref="BY26:BZ26" si="25">SUM(BY27:BY29)</f>
        <v>223818.95000000004</v>
      </c>
      <c r="BZ26" s="99">
        <f t="shared" si="25"/>
        <v>223818.95000000004</v>
      </c>
      <c r="CA26" s="99">
        <f t="shared" ref="CA26:CB26" si="26">SUM(CA27:CA29)</f>
        <v>223818.95000000004</v>
      </c>
      <c r="CB26" s="99">
        <f t="shared" si="26"/>
        <v>280005.06000000006</v>
      </c>
      <c r="CC26" s="99">
        <f t="shared" ref="CC26" si="27">SUM(CC27:CC29)</f>
        <v>280005.06000000006</v>
      </c>
      <c r="CD26" s="99"/>
      <c r="CE26" s="99">
        <f t="shared" ref="CE26:CF26" si="28">SUM(CE27:CE29)</f>
        <v>223818.95000000004</v>
      </c>
      <c r="CF26" s="99">
        <f t="shared" si="28"/>
        <v>286583.95000000007</v>
      </c>
      <c r="CG26" s="99">
        <f t="shared" ref="CG26:CH26" si="29">SUM(CG27:CG29)</f>
        <v>286583.95000000007</v>
      </c>
      <c r="CH26" s="99">
        <f t="shared" si="29"/>
        <v>223818.95000000004</v>
      </c>
      <c r="CI26" s="99">
        <f>CH26</f>
        <v>223818.95000000004</v>
      </c>
      <c r="CJ26" s="99"/>
      <c r="CK26" s="99">
        <f t="shared" ref="CK26" si="30">SUM(CK27:CK29)</f>
        <v>223818.95000000004</v>
      </c>
    </row>
    <row r="27" spans="1:89">
      <c r="A27" s="46" t="s">
        <v>186</v>
      </c>
      <c r="B27" s="47"/>
      <c r="C27" s="100">
        <v>0</v>
      </c>
      <c r="D27" s="100"/>
      <c r="E27" s="100">
        <v>0</v>
      </c>
      <c r="F27" s="100">
        <v>21294</v>
      </c>
      <c r="G27" s="100">
        <v>25473</v>
      </c>
      <c r="H27" s="100">
        <v>25473</v>
      </c>
      <c r="I27" s="100">
        <v>25473</v>
      </c>
      <c r="J27" s="100"/>
      <c r="K27" s="100">
        <v>25473</v>
      </c>
      <c r="L27" s="100">
        <v>25473</v>
      </c>
      <c r="M27" s="100">
        <v>25473</v>
      </c>
      <c r="N27" s="100">
        <v>25473</v>
      </c>
      <c r="O27" s="100">
        <v>25473</v>
      </c>
      <c r="P27" s="100"/>
      <c r="Q27" s="100">
        <v>25473</v>
      </c>
      <c r="R27" s="100">
        <v>25473</v>
      </c>
      <c r="S27" s="100">
        <v>23313</v>
      </c>
      <c r="T27" s="100">
        <v>23313</v>
      </c>
      <c r="U27" s="100">
        <v>23313</v>
      </c>
      <c r="V27" s="100"/>
      <c r="W27" s="100">
        <f>6792+14502+2019</f>
        <v>23313</v>
      </c>
      <c r="X27" s="100">
        <v>23313</v>
      </c>
      <c r="Y27" s="100">
        <v>23313</v>
      </c>
      <c r="Z27" s="100">
        <v>23312.5</v>
      </c>
      <c r="AA27" s="100">
        <v>23312.5</v>
      </c>
      <c r="AB27" s="100"/>
      <c r="AC27" s="100">
        <v>237790.41399999999</v>
      </c>
      <c r="AD27" s="100">
        <v>241466.35</v>
      </c>
      <c r="AE27" s="100">
        <v>241466.35</v>
      </c>
      <c r="AF27" s="100">
        <v>111708.95</v>
      </c>
      <c r="AG27" s="100">
        <v>111708.95</v>
      </c>
      <c r="AI27" s="101">
        <v>90048.5</v>
      </c>
      <c r="AJ27" s="101">
        <v>90049.5</v>
      </c>
      <c r="AK27" s="101">
        <v>90049.5</v>
      </c>
      <c r="AL27" s="101">
        <v>90049.5</v>
      </c>
      <c r="AM27" s="101">
        <v>90049.5</v>
      </c>
      <c r="AO27" s="101">
        <v>84864.5</v>
      </c>
      <c r="AP27" s="101">
        <v>84864.5</v>
      </c>
      <c r="AQ27" s="101">
        <v>84864.5</v>
      </c>
      <c r="AR27" s="101">
        <v>84864.5</v>
      </c>
      <c r="AS27" s="101">
        <v>84864.5</v>
      </c>
      <c r="AU27" s="101">
        <v>84864.5</v>
      </c>
      <c r="AV27" s="101">
        <v>55325.5</v>
      </c>
      <c r="AW27" s="101">
        <v>55325.5</v>
      </c>
      <c r="AX27" s="101">
        <v>55325.5</v>
      </c>
      <c r="AY27" s="101">
        <v>55325.5</v>
      </c>
      <c r="BA27" s="101">
        <v>55325.5</v>
      </c>
      <c r="BB27" s="101">
        <v>41307</v>
      </c>
      <c r="BC27" s="101">
        <v>41307</v>
      </c>
      <c r="BD27" s="101">
        <v>41307</v>
      </c>
      <c r="BE27" s="101">
        <v>41307</v>
      </c>
      <c r="BG27" s="101">
        <v>41307</v>
      </c>
      <c r="BH27" s="101">
        <v>41307</v>
      </c>
      <c r="BI27" s="101">
        <v>41307</v>
      </c>
      <c r="BJ27" s="101">
        <v>41307</v>
      </c>
      <c r="BK27" s="101">
        <v>41307</v>
      </c>
      <c r="BM27" s="101">
        <v>41307</v>
      </c>
      <c r="BN27" s="101">
        <v>41307</v>
      </c>
      <c r="BO27" s="101">
        <v>41307</v>
      </c>
      <c r="BP27" s="101">
        <v>41307</v>
      </c>
      <c r="BQ27" s="101">
        <v>41307</v>
      </c>
      <c r="BS27" s="101">
        <v>41307</v>
      </c>
      <c r="BT27" s="101">
        <v>41307</v>
      </c>
      <c r="BU27" s="101">
        <v>41307</v>
      </c>
      <c r="BV27" s="101">
        <v>41307</v>
      </c>
      <c r="BW27" s="101">
        <v>41307</v>
      </c>
      <c r="BY27" s="101">
        <v>41307</v>
      </c>
      <c r="BZ27" s="101">
        <v>41307</v>
      </c>
      <c r="CA27" s="101">
        <v>41307</v>
      </c>
      <c r="CB27" s="101">
        <v>97493.11</v>
      </c>
      <c r="CC27" s="101">
        <v>97493.11</v>
      </c>
      <c r="CE27" s="101">
        <v>41307</v>
      </c>
      <c r="CF27" s="101">
        <v>41307</v>
      </c>
      <c r="CG27" s="101">
        <v>41307</v>
      </c>
      <c r="CH27" s="101">
        <v>41307</v>
      </c>
      <c r="CI27" s="101">
        <f>CH27</f>
        <v>41307</v>
      </c>
      <c r="CK27" s="101">
        <v>41307</v>
      </c>
    </row>
    <row r="28" spans="1:89">
      <c r="A28" s="46" t="s">
        <v>351</v>
      </c>
      <c r="B28" s="47"/>
      <c r="C28" s="100">
        <v>0</v>
      </c>
      <c r="D28" s="100"/>
      <c r="E28" s="100">
        <v>0</v>
      </c>
      <c r="F28" s="100">
        <v>125000</v>
      </c>
      <c r="G28" s="100">
        <v>125000</v>
      </c>
      <c r="H28" s="100">
        <v>125000</v>
      </c>
      <c r="I28" s="100">
        <v>125000</v>
      </c>
      <c r="J28" s="100"/>
      <c r="K28" s="100">
        <v>125000</v>
      </c>
      <c r="L28" s="100">
        <v>125000</v>
      </c>
      <c r="M28" s="100">
        <v>125000</v>
      </c>
      <c r="N28" s="100">
        <v>125000</v>
      </c>
      <c r="O28" s="100">
        <v>125000</v>
      </c>
      <c r="P28" s="100"/>
      <c r="Q28" s="100">
        <v>125000</v>
      </c>
      <c r="R28" s="100">
        <v>125000</v>
      </c>
      <c r="S28" s="100">
        <v>125000</v>
      </c>
      <c r="T28" s="100">
        <v>125000</v>
      </c>
      <c r="U28" s="100">
        <v>125000</v>
      </c>
      <c r="V28" s="100"/>
      <c r="W28" s="100">
        <f>125000+43138</f>
        <v>168138</v>
      </c>
      <c r="X28" s="100">
        <v>155122</v>
      </c>
      <c r="Y28" s="100">
        <v>155122</v>
      </c>
      <c r="Z28" s="100">
        <v>155122</v>
      </c>
      <c r="AA28" s="100">
        <v>155122</v>
      </c>
      <c r="AB28" s="100"/>
      <c r="AC28" s="100">
        <v>155122</v>
      </c>
      <c r="AD28" s="100">
        <v>206913.07</v>
      </c>
      <c r="AE28" s="100">
        <v>206913.07</v>
      </c>
      <c r="AF28" s="100">
        <v>206913.07</v>
      </c>
      <c r="AG28" s="100">
        <v>206913.07</v>
      </c>
      <c r="AI28" s="101">
        <v>206913</v>
      </c>
      <c r="AJ28" s="101">
        <v>183898</v>
      </c>
      <c r="AK28" s="101">
        <v>153776</v>
      </c>
      <c r="AL28" s="101">
        <v>153776</v>
      </c>
      <c r="AM28" s="101">
        <v>153776</v>
      </c>
      <c r="AO28" s="101">
        <v>156719.44</v>
      </c>
      <c r="AP28" s="101">
        <v>156719.44</v>
      </c>
      <c r="AQ28" s="101">
        <v>125000</v>
      </c>
      <c r="AR28" s="101">
        <v>125000</v>
      </c>
      <c r="AS28" s="101">
        <v>125000</v>
      </c>
      <c r="AU28" s="101">
        <v>125000</v>
      </c>
      <c r="AV28" s="101">
        <v>125000</v>
      </c>
      <c r="AW28" s="101">
        <v>125000</v>
      </c>
      <c r="AX28" s="101">
        <v>0</v>
      </c>
      <c r="AY28" s="101">
        <v>0</v>
      </c>
      <c r="BA28" s="101">
        <v>0</v>
      </c>
      <c r="BB28" s="101">
        <v>32987.1</v>
      </c>
      <c r="BC28" s="101">
        <v>32987.1</v>
      </c>
      <c r="BD28" s="101">
        <v>32987.1</v>
      </c>
      <c r="BE28" s="101">
        <v>32987.1</v>
      </c>
      <c r="BG28" s="101">
        <v>32987.1</v>
      </c>
      <c r="BH28" s="101">
        <v>32987.1</v>
      </c>
      <c r="BI28" s="101">
        <v>47375.1</v>
      </c>
      <c r="BJ28" s="101">
        <v>47375.1</v>
      </c>
      <c r="BK28" s="101">
        <v>47375.1</v>
      </c>
      <c r="BM28" s="101">
        <v>47375.1</v>
      </c>
      <c r="BN28" s="101">
        <v>47375.1</v>
      </c>
      <c r="BO28" s="101">
        <v>166487.1</v>
      </c>
      <c r="BP28" s="101">
        <v>166487.1</v>
      </c>
      <c r="BQ28" s="101">
        <v>166487.1</v>
      </c>
      <c r="BS28" s="101">
        <v>166487.1</v>
      </c>
      <c r="BT28" s="101">
        <v>166487.1</v>
      </c>
      <c r="BU28" s="101">
        <v>166487.1</v>
      </c>
      <c r="BV28" s="101">
        <v>182511.95000000004</v>
      </c>
      <c r="BW28" s="101">
        <v>182511.95000000004</v>
      </c>
      <c r="BY28" s="101">
        <v>182511.95000000004</v>
      </c>
      <c r="BZ28" s="101">
        <v>182511.95000000004</v>
      </c>
      <c r="CA28" s="101">
        <v>182511.95000000004</v>
      </c>
      <c r="CB28" s="101">
        <v>182511.95000000004</v>
      </c>
      <c r="CC28" s="101">
        <v>182511.95000000004</v>
      </c>
      <c r="CE28" s="101">
        <v>182511.95000000004</v>
      </c>
      <c r="CF28" s="101">
        <v>245276.95000000004</v>
      </c>
      <c r="CG28" s="101">
        <v>245276.95000000004</v>
      </c>
      <c r="CH28" s="101">
        <v>182511.95000000004</v>
      </c>
      <c r="CI28" s="101">
        <f>CH28</f>
        <v>182511.95000000004</v>
      </c>
      <c r="CK28" s="101">
        <v>182511.95000000004</v>
      </c>
    </row>
    <row r="29" spans="1:89">
      <c r="A29" s="46" t="s">
        <v>187</v>
      </c>
      <c r="B29" s="47"/>
      <c r="C29" s="100">
        <v>0</v>
      </c>
      <c r="D29" s="100"/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/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/>
      <c r="Q29" s="100">
        <v>0</v>
      </c>
      <c r="R29" s="100">
        <v>0</v>
      </c>
      <c r="S29" s="100">
        <v>0</v>
      </c>
      <c r="T29" s="100">
        <v>0</v>
      </c>
      <c r="U29" s="100">
        <v>0</v>
      </c>
      <c r="V29" s="100"/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/>
      <c r="AC29" s="100">
        <v>2881</v>
      </c>
      <c r="AD29" s="100">
        <v>2881</v>
      </c>
      <c r="AE29" s="100">
        <v>2881</v>
      </c>
      <c r="AF29" s="100">
        <v>2881</v>
      </c>
      <c r="AG29" s="100">
        <v>2881</v>
      </c>
      <c r="AI29" s="101">
        <v>2881</v>
      </c>
      <c r="AJ29" s="101">
        <v>2881</v>
      </c>
      <c r="AK29" s="101">
        <v>2881</v>
      </c>
      <c r="AL29" s="101">
        <v>2881</v>
      </c>
      <c r="AM29" s="101">
        <v>2881</v>
      </c>
      <c r="AO29" s="101">
        <v>2881</v>
      </c>
      <c r="AP29" s="101">
        <v>2881</v>
      </c>
      <c r="AQ29" s="101">
        <v>2881</v>
      </c>
      <c r="AR29" s="101">
        <v>2881</v>
      </c>
      <c r="AS29" s="101">
        <v>2881</v>
      </c>
      <c r="AU29" s="101">
        <v>2881</v>
      </c>
      <c r="AV29" s="101">
        <v>2881</v>
      </c>
      <c r="AW29" s="101">
        <v>2881</v>
      </c>
      <c r="AX29" s="101">
        <v>0</v>
      </c>
      <c r="AY29" s="101">
        <v>0</v>
      </c>
      <c r="BA29" s="101">
        <v>0</v>
      </c>
      <c r="BB29" s="101">
        <v>0</v>
      </c>
      <c r="BC29" s="101">
        <v>0</v>
      </c>
      <c r="BD29" s="101">
        <v>0</v>
      </c>
      <c r="BE29" s="101">
        <v>0</v>
      </c>
      <c r="BG29" s="101">
        <v>0</v>
      </c>
      <c r="BH29" s="101">
        <v>0</v>
      </c>
      <c r="BI29" s="101"/>
      <c r="BJ29" s="101"/>
      <c r="BK29" s="101"/>
      <c r="BM29" s="101">
        <v>0</v>
      </c>
      <c r="BN29" s="101">
        <v>0</v>
      </c>
      <c r="BO29" s="101">
        <v>0</v>
      </c>
      <c r="BP29" s="101"/>
      <c r="BQ29" s="101"/>
      <c r="BS29" s="101">
        <v>0</v>
      </c>
      <c r="BT29" s="101">
        <v>0</v>
      </c>
      <c r="BU29" s="101">
        <v>0</v>
      </c>
      <c r="BV29" s="101"/>
      <c r="BW29" s="101"/>
      <c r="BY29" s="101">
        <v>0</v>
      </c>
      <c r="BZ29" s="101">
        <v>0</v>
      </c>
      <c r="CA29" s="101">
        <v>0</v>
      </c>
      <c r="CB29" s="101">
        <v>0</v>
      </c>
      <c r="CC29" s="101">
        <v>0</v>
      </c>
      <c r="CE29" s="101">
        <v>0</v>
      </c>
      <c r="CF29" s="101">
        <v>0</v>
      </c>
      <c r="CG29" s="101">
        <v>0</v>
      </c>
      <c r="CH29" s="101">
        <v>0</v>
      </c>
      <c r="CI29" s="101">
        <v>0</v>
      </c>
      <c r="CK29" s="101">
        <v>0</v>
      </c>
    </row>
    <row r="30" spans="1:89">
      <c r="A30" s="46"/>
      <c r="B30" s="47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</row>
    <row r="31" spans="1:89">
      <c r="A31" s="46" t="s">
        <v>189</v>
      </c>
      <c r="B31" s="47"/>
      <c r="C31" s="102">
        <v>0.11</v>
      </c>
      <c r="D31" s="102"/>
      <c r="E31" s="102">
        <v>7.6999999999999999E-2</v>
      </c>
      <c r="F31" s="102">
        <v>3.5999999999999997E-2</v>
      </c>
      <c r="G31" s="102">
        <v>0.02</v>
      </c>
      <c r="H31" s="102">
        <v>1.2E-2</v>
      </c>
      <c r="I31" s="102">
        <v>1.2E-2</v>
      </c>
      <c r="J31" s="102"/>
      <c r="K31" s="102">
        <v>0.03</v>
      </c>
      <c r="L31" s="102">
        <v>0.03</v>
      </c>
      <c r="M31" s="102">
        <v>7.5999999999999998E-2</v>
      </c>
      <c r="N31" s="102">
        <v>6.9000000000000006E-2</v>
      </c>
      <c r="O31" s="102">
        <v>6.9000000000000006E-2</v>
      </c>
      <c r="P31" s="102"/>
      <c r="Q31" s="102">
        <v>8.3000000000000004E-2</v>
      </c>
      <c r="R31" s="102">
        <v>0.104</v>
      </c>
      <c r="S31" s="102">
        <v>0.123</v>
      </c>
      <c r="T31" s="102">
        <v>8.1000000000000003E-2</v>
      </c>
      <c r="U31" s="102">
        <v>8.1000000000000003E-2</v>
      </c>
      <c r="V31" s="102"/>
      <c r="W31" s="102">
        <v>6.2E-2</v>
      </c>
      <c r="X31" s="102">
        <v>2.3E-2</v>
      </c>
      <c r="Y31" s="102">
        <v>1.4999999999999999E-2</v>
      </c>
      <c r="Z31" s="102">
        <v>1.66E-2</v>
      </c>
      <c r="AA31" s="102">
        <v>1.66E-2</v>
      </c>
      <c r="AB31" s="102"/>
      <c r="AC31" s="102">
        <v>1.0500000000000001E-2</v>
      </c>
      <c r="AD31" s="102">
        <v>1.3299999999999999E-2</v>
      </c>
      <c r="AE31" s="102">
        <v>4.519999999999999E-2</v>
      </c>
      <c r="AF31" s="102">
        <v>4.0417212122272408E-2</v>
      </c>
      <c r="AG31" s="102">
        <v>4.0417212122272408E-2</v>
      </c>
      <c r="AI31" s="102">
        <v>8.8999999999999996E-2</v>
      </c>
      <c r="AJ31" s="102">
        <v>0.10803714634601595</v>
      </c>
      <c r="AK31" s="102">
        <v>0.10457371862098919</v>
      </c>
      <c r="AL31" s="102">
        <v>8.5938052513521504E-2</v>
      </c>
      <c r="AM31" s="102">
        <v>8.5938052513521504E-2</v>
      </c>
      <c r="AO31" s="102">
        <v>8.053422300128657E-2</v>
      </c>
      <c r="AP31" s="102">
        <v>8.1392553533780124E-2</v>
      </c>
      <c r="AQ31" s="102">
        <v>8.262794794985362E-2</v>
      </c>
      <c r="AR31" s="102">
        <v>8.6400000000000005E-2</v>
      </c>
      <c r="AS31" s="102">
        <v>8.6400000000000005E-2</v>
      </c>
      <c r="AU31" s="102">
        <v>8.9499999999999996E-2</v>
      </c>
      <c r="AV31" s="102">
        <v>0.10350000000000001</v>
      </c>
      <c r="AW31" s="102">
        <v>9.9899999999999989E-2</v>
      </c>
      <c r="AX31" s="102">
        <v>0.10390000000000001</v>
      </c>
      <c r="AY31" s="102">
        <v>0.10390000000000001</v>
      </c>
      <c r="BA31" s="102">
        <v>0.11151923781322971</v>
      </c>
      <c r="BB31" s="102">
        <v>0.129703545792591</v>
      </c>
      <c r="BC31" s="102">
        <v>0.14499999999999999</v>
      </c>
      <c r="BD31" s="102">
        <v>0.11799999999999999</v>
      </c>
      <c r="BE31" s="102">
        <v>0.11799999999999999</v>
      </c>
      <c r="BG31" s="102">
        <v>0.23499999999999999</v>
      </c>
      <c r="BH31" s="102">
        <v>0.22900000000000001</v>
      </c>
      <c r="BI31" s="102">
        <v>0.22579496192367254</v>
      </c>
      <c r="BJ31" s="102">
        <v>0.22</v>
      </c>
      <c r="BK31" s="102">
        <v>0.22</v>
      </c>
      <c r="BM31" s="102">
        <v>0.23200000000000001</v>
      </c>
      <c r="BN31" s="102">
        <v>0.23298816525564531</v>
      </c>
      <c r="BO31" s="102">
        <v>0.22370751170768832</v>
      </c>
      <c r="BP31" s="102">
        <v>0.19470794221434062</v>
      </c>
      <c r="BQ31" s="102">
        <v>0.19470794221434062</v>
      </c>
      <c r="BS31" s="102">
        <v>0.18484937663048392</v>
      </c>
      <c r="BT31" s="102">
        <v>0.17511271142657273</v>
      </c>
      <c r="BU31" s="102">
        <v>0.18740904302269484</v>
      </c>
      <c r="BV31" s="102">
        <v>0.13830490796982833</v>
      </c>
      <c r="BW31" s="102">
        <v>0.13830490796982833</v>
      </c>
      <c r="BY31" s="102">
        <v>0.19288810998046185</v>
      </c>
      <c r="BZ31" s="102">
        <v>0.1953333208693403</v>
      </c>
      <c r="CA31" s="102">
        <v>0.20101175236368279</v>
      </c>
      <c r="CB31" s="102">
        <v>0.21369700515086465</v>
      </c>
      <c r="CC31" s="102">
        <v>0.21369700515086465</v>
      </c>
      <c r="CE31" s="102">
        <v>0.18645456589564563</v>
      </c>
      <c r="CF31" s="102">
        <v>0.16721682087881662</v>
      </c>
      <c r="CG31" s="102">
        <v>0.16532913287346132</v>
      </c>
      <c r="CH31" s="102">
        <v>0.14624619606883171</v>
      </c>
      <c r="CI31" s="102">
        <f>CH31</f>
        <v>0.14624619606883171</v>
      </c>
      <c r="CK31" s="102">
        <v>0.25257410980125466</v>
      </c>
    </row>
    <row r="32" spans="1:89">
      <c r="A32" s="46" t="s">
        <v>190</v>
      </c>
      <c r="B32" s="47"/>
      <c r="C32" s="102">
        <v>0.1641</v>
      </c>
      <c r="D32" s="102"/>
      <c r="E32" s="102">
        <v>0.1285</v>
      </c>
      <c r="F32" s="102">
        <v>5.6399999999999999E-2</v>
      </c>
      <c r="G32" s="102">
        <v>2.7099999999999999E-2</v>
      </c>
      <c r="H32" s="102">
        <v>1.32E-2</v>
      </c>
      <c r="I32" s="102">
        <v>1.32E-2</v>
      </c>
      <c r="J32" s="102"/>
      <c r="K32" s="102">
        <v>2.4899999999999999E-2</v>
      </c>
      <c r="L32" s="102">
        <v>2.4799999999999999E-2</v>
      </c>
      <c r="M32" s="102">
        <v>8.0799999999999997E-2</v>
      </c>
      <c r="N32" s="102">
        <v>7.3499999999999996E-2</v>
      </c>
      <c r="O32" s="102">
        <v>7.3499999999999996E-2</v>
      </c>
      <c r="P32" s="102"/>
      <c r="Q32" s="102">
        <v>6.5799999999999997E-2</v>
      </c>
      <c r="R32" s="102">
        <v>6.6000000000000003E-2</v>
      </c>
      <c r="S32" s="102">
        <v>5.1900000000000002E-2</v>
      </c>
      <c r="T32" s="102">
        <v>3.7999999999999999E-2</v>
      </c>
      <c r="U32" s="102">
        <v>3.7999999999999999E-2</v>
      </c>
      <c r="V32" s="102"/>
      <c r="W32" s="102">
        <v>3.1E-2</v>
      </c>
      <c r="X32" s="102">
        <v>1.4999999999999999E-2</v>
      </c>
      <c r="Y32" s="102">
        <v>8.9999999999999993E-3</v>
      </c>
      <c r="Z32" s="102">
        <v>9.0000000000000011E-3</v>
      </c>
      <c r="AA32" s="102">
        <v>9.0000000000000011E-3</v>
      </c>
      <c r="AB32" s="102"/>
      <c r="AC32" s="102">
        <v>1.0200000000000001E-2</v>
      </c>
      <c r="AD32" s="102">
        <v>1.9E-2</v>
      </c>
      <c r="AE32" s="102">
        <v>3.1699999999999992E-2</v>
      </c>
      <c r="AF32" s="102">
        <v>2.5998572330262575E-2</v>
      </c>
      <c r="AG32" s="102">
        <v>2.5998572330262575E-2</v>
      </c>
      <c r="AI32" s="102">
        <v>4.7E-2</v>
      </c>
      <c r="AJ32" s="102">
        <v>5.4825052881147536E-2</v>
      </c>
      <c r="AK32" s="102">
        <v>5.3154476743761038E-2</v>
      </c>
      <c r="AL32" s="102">
        <v>4.0557939313409438E-2</v>
      </c>
      <c r="AM32" s="102">
        <v>4.0557939313409438E-2</v>
      </c>
      <c r="AO32" s="102">
        <v>4.5696407243035808E-2</v>
      </c>
      <c r="AP32" s="102">
        <v>5.9951874680304384E-2</v>
      </c>
      <c r="AQ32" s="102">
        <v>6.2776260068024226E-2</v>
      </c>
      <c r="AR32" s="102">
        <v>7.2500000000000009E-2</v>
      </c>
      <c r="AS32" s="102">
        <v>7.2500000000000009E-2</v>
      </c>
      <c r="AU32" s="102">
        <v>8.0299999999999996E-2</v>
      </c>
      <c r="AV32" s="102">
        <v>9.7699999999999995E-2</v>
      </c>
      <c r="AW32" s="102">
        <v>9.6600000000000005E-2</v>
      </c>
      <c r="AX32" s="102">
        <v>0.1426</v>
      </c>
      <c r="AY32" s="102">
        <v>0.1426</v>
      </c>
      <c r="BA32" s="102">
        <v>0.1596889563732132</v>
      </c>
      <c r="BB32" s="102">
        <v>0.192209715490435</v>
      </c>
      <c r="BC32" s="102">
        <v>0.22600000000000001</v>
      </c>
      <c r="BD32" s="102">
        <v>0.19800000000000001</v>
      </c>
      <c r="BE32" s="102">
        <v>0.19800000000000001</v>
      </c>
      <c r="BG32" s="102">
        <v>0.32500000000000001</v>
      </c>
      <c r="BH32" s="102">
        <v>0.32600000000000001</v>
      </c>
      <c r="BI32" s="102">
        <v>0.30846484907814214</v>
      </c>
      <c r="BJ32" s="102">
        <v>0.30199999999999999</v>
      </c>
      <c r="BK32" s="102">
        <v>0.30199999999999999</v>
      </c>
      <c r="BM32" s="102">
        <v>0.31830000000000003</v>
      </c>
      <c r="BN32" s="102">
        <v>0.31284672921174622</v>
      </c>
      <c r="BO32" s="102">
        <v>0.27988195555666284</v>
      </c>
      <c r="BP32" s="102">
        <v>0.24648696165822201</v>
      </c>
      <c r="BQ32" s="102">
        <v>0.24648696165822201</v>
      </c>
      <c r="BS32" s="102">
        <v>0.26638895130929313</v>
      </c>
      <c r="BT32" s="102">
        <v>0.25596659874906158</v>
      </c>
      <c r="BU32" s="102">
        <v>0.27272004142645462</v>
      </c>
      <c r="BV32" s="102">
        <v>0.17272924123215019</v>
      </c>
      <c r="BW32" s="102">
        <v>0.17272924123215019</v>
      </c>
      <c r="BY32" s="102">
        <v>0.20095949061683629</v>
      </c>
      <c r="BZ32" s="102">
        <v>0.19193665167908036</v>
      </c>
      <c r="CA32" s="102">
        <v>0.19939233498956055</v>
      </c>
      <c r="CB32" s="102">
        <v>0.21194293150287005</v>
      </c>
      <c r="CC32" s="102">
        <v>0.21194293150287005</v>
      </c>
      <c r="CE32" s="102">
        <v>0.21203492568175492</v>
      </c>
      <c r="CF32" s="102">
        <v>0.19683835854679582</v>
      </c>
      <c r="CG32" s="102">
        <v>0.19154123939885501</v>
      </c>
      <c r="CH32" s="102">
        <v>0.14815282921434406</v>
      </c>
      <c r="CI32" s="102">
        <f>CH32</f>
        <v>0.14815282921434406</v>
      </c>
      <c r="CK32" s="102">
        <v>0.24668295194936529</v>
      </c>
    </row>
    <row r="33" spans="1:89">
      <c r="A33" s="46"/>
      <c r="B33" s="47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</row>
    <row r="34" spans="1:89">
      <c r="A34" s="46" t="s">
        <v>595</v>
      </c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</row>
    <row r="35" spans="1:89">
      <c r="A35" s="46"/>
      <c r="K35" s="103"/>
      <c r="Q35" s="104"/>
      <c r="R35" s="104"/>
      <c r="S35" s="104"/>
    </row>
    <row r="37" spans="1:89">
      <c r="A37" s="105" t="s">
        <v>250</v>
      </c>
      <c r="B37" s="72"/>
      <c r="C37" s="23">
        <v>2007</v>
      </c>
      <c r="D37" s="72"/>
      <c r="E37" s="73" t="s">
        <v>133</v>
      </c>
      <c r="F37" s="74" t="s">
        <v>122</v>
      </c>
      <c r="G37" s="74" t="s">
        <v>123</v>
      </c>
      <c r="H37" s="74" t="s">
        <v>124</v>
      </c>
      <c r="I37" s="75">
        <v>2008</v>
      </c>
      <c r="J37" s="72"/>
      <c r="K37" s="73" t="s">
        <v>125</v>
      </c>
      <c r="L37" s="74" t="s">
        <v>126</v>
      </c>
      <c r="M37" s="74" t="s">
        <v>127</v>
      </c>
      <c r="N37" s="74" t="s">
        <v>128</v>
      </c>
      <c r="O37" s="75">
        <v>2009</v>
      </c>
      <c r="P37" s="72"/>
      <c r="Q37" s="73" t="s">
        <v>129</v>
      </c>
      <c r="R37" s="74" t="s">
        <v>130</v>
      </c>
      <c r="S37" s="74" t="s">
        <v>131</v>
      </c>
      <c r="T37" s="74" t="s">
        <v>157</v>
      </c>
      <c r="U37" s="75">
        <v>2010</v>
      </c>
      <c r="V37" s="72"/>
      <c r="W37" s="73" t="s">
        <v>158</v>
      </c>
      <c r="X37" s="74" t="s">
        <v>218</v>
      </c>
      <c r="Y37" s="74" t="s">
        <v>248</v>
      </c>
      <c r="Z37" s="74" t="s">
        <v>262</v>
      </c>
      <c r="AA37" s="75">
        <v>2011</v>
      </c>
      <c r="AB37" s="72"/>
      <c r="AC37" s="73" t="s">
        <v>263</v>
      </c>
      <c r="AD37" s="73" t="s">
        <v>328</v>
      </c>
      <c r="AE37" s="73" t="s">
        <v>332</v>
      </c>
      <c r="AF37" s="73" t="s">
        <v>338</v>
      </c>
      <c r="AG37" s="73">
        <v>2012</v>
      </c>
      <c r="AI37" s="73" t="s">
        <v>340</v>
      </c>
      <c r="AJ37" s="73" t="s">
        <v>347</v>
      </c>
      <c r="AK37" s="73" t="s">
        <v>349</v>
      </c>
      <c r="AL37" s="73" t="s">
        <v>352</v>
      </c>
      <c r="AM37" s="73">
        <v>2013</v>
      </c>
      <c r="AO37" s="74" t="s">
        <v>354</v>
      </c>
      <c r="AP37" s="74" t="s">
        <v>362</v>
      </c>
      <c r="AQ37" s="74" t="s">
        <v>365</v>
      </c>
      <c r="AR37" s="74" t="s">
        <v>366</v>
      </c>
      <c r="AS37" s="73">
        <v>2014</v>
      </c>
      <c r="AU37" s="73" t="s">
        <v>370</v>
      </c>
      <c r="AV37" s="74" t="s">
        <v>372</v>
      </c>
      <c r="AW37" s="74" t="s">
        <v>388</v>
      </c>
      <c r="AX37" s="74" t="s">
        <v>389</v>
      </c>
      <c r="AY37" s="74">
        <v>2015</v>
      </c>
      <c r="BA37" s="74" t="s">
        <v>392</v>
      </c>
      <c r="BB37" s="73" t="s">
        <v>395</v>
      </c>
      <c r="BC37" s="73" t="s">
        <v>400</v>
      </c>
      <c r="BD37" s="73" t="s">
        <v>410</v>
      </c>
      <c r="BE37" s="73">
        <v>2016</v>
      </c>
      <c r="BG37" s="73" t="s">
        <v>413</v>
      </c>
      <c r="BH37" s="73" t="s">
        <v>416</v>
      </c>
      <c r="BI37" s="73" t="s">
        <v>586</v>
      </c>
      <c r="BJ37" s="73" t="s">
        <v>596</v>
      </c>
      <c r="BK37" s="73">
        <v>2017</v>
      </c>
      <c r="BM37" s="73" t="s">
        <v>599</v>
      </c>
      <c r="BN37" s="73" t="s">
        <v>602</v>
      </c>
      <c r="BO37" s="73" t="s">
        <v>610</v>
      </c>
      <c r="BP37" s="73" t="s">
        <v>616</v>
      </c>
      <c r="BQ37" s="73">
        <v>2018</v>
      </c>
      <c r="BS37" s="73" t="s">
        <v>631</v>
      </c>
      <c r="BT37" s="73" t="s">
        <v>633</v>
      </c>
      <c r="BU37" s="73" t="s">
        <v>635</v>
      </c>
      <c r="BV37" s="73" t="s">
        <v>639</v>
      </c>
      <c r="BW37" s="73">
        <v>2019</v>
      </c>
      <c r="BY37" s="73" t="str">
        <f>BY4</f>
        <v>1T20</v>
      </c>
      <c r="BZ37" s="73" t="str">
        <f>BZ4</f>
        <v>2T20</v>
      </c>
      <c r="CA37" s="73" t="str">
        <f>CA4</f>
        <v>3T20</v>
      </c>
      <c r="CB37" s="73" t="str">
        <f>CB4</f>
        <v>4T20</v>
      </c>
      <c r="CC37" s="73">
        <f>CC4</f>
        <v>2020</v>
      </c>
      <c r="CE37" s="73" t="str">
        <f>CE4</f>
        <v>1T21</v>
      </c>
      <c r="CF37" s="73" t="str">
        <f>CF4</f>
        <v>2T21</v>
      </c>
      <c r="CG37" s="73" t="str">
        <f>CG4</f>
        <v>3T21</v>
      </c>
      <c r="CH37" s="23" t="s">
        <v>681</v>
      </c>
      <c r="CI37" s="73">
        <v>2021</v>
      </c>
      <c r="CK37" s="23" t="s">
        <v>683</v>
      </c>
    </row>
    <row r="38" spans="1:89">
      <c r="A38" s="28" t="s">
        <v>256</v>
      </c>
      <c r="B38" s="106"/>
      <c r="C38" s="107" t="s">
        <v>156</v>
      </c>
      <c r="D38" s="107"/>
      <c r="E38" s="108" t="s">
        <v>156</v>
      </c>
      <c r="F38" s="109" t="s">
        <v>156</v>
      </c>
      <c r="G38" s="109" t="s">
        <v>156</v>
      </c>
      <c r="H38" s="109" t="s">
        <v>156</v>
      </c>
      <c r="I38" s="110" t="s">
        <v>156</v>
      </c>
      <c r="J38" s="107"/>
      <c r="K38" s="108" t="s">
        <v>156</v>
      </c>
      <c r="L38" s="109" t="s">
        <v>156</v>
      </c>
      <c r="M38" s="109" t="s">
        <v>156</v>
      </c>
      <c r="N38" s="109" t="s">
        <v>156</v>
      </c>
      <c r="O38" s="111">
        <v>81607272</v>
      </c>
      <c r="P38" s="106"/>
      <c r="Q38" s="112">
        <v>139107272</v>
      </c>
      <c r="R38" s="113">
        <v>139391381</v>
      </c>
      <c r="S38" s="113">
        <v>139403585</v>
      </c>
      <c r="T38" s="113">
        <v>139511953</v>
      </c>
      <c r="U38" s="111">
        <v>139511953</v>
      </c>
      <c r="V38" s="106"/>
      <c r="W38" s="112">
        <v>139511953</v>
      </c>
      <c r="X38" s="113">
        <v>174753919</v>
      </c>
      <c r="Y38" s="113">
        <v>180003919</v>
      </c>
      <c r="Z38" s="113">
        <v>180003919</v>
      </c>
      <c r="AA38" s="111">
        <v>180003919</v>
      </c>
      <c r="AB38" s="106"/>
      <c r="AC38" s="112">
        <v>309817416</v>
      </c>
      <c r="AD38" s="112">
        <v>310307396</v>
      </c>
      <c r="AE38" s="112">
        <v>310307396</v>
      </c>
      <c r="AF38" s="112">
        <v>311612894</v>
      </c>
      <c r="AG38" s="112">
        <v>311612894</v>
      </c>
      <c r="AI38" s="112">
        <v>311612894</v>
      </c>
      <c r="AJ38" s="112">
        <v>312653445</v>
      </c>
      <c r="AK38" s="112">
        <v>312653445</v>
      </c>
      <c r="AL38" s="112">
        <v>312653445</v>
      </c>
      <c r="AM38" s="112">
        <v>312653445</v>
      </c>
      <c r="AO38" s="59">
        <v>312653445</v>
      </c>
      <c r="AP38" s="59">
        <v>297538945</v>
      </c>
      <c r="AQ38" s="114">
        <v>298228434</v>
      </c>
      <c r="AR38" s="114">
        <v>298228434</v>
      </c>
      <c r="AS38" s="112">
        <v>298228434</v>
      </c>
      <c r="AU38" s="112">
        <v>298228434</v>
      </c>
      <c r="AV38" s="114">
        <v>298228434</v>
      </c>
      <c r="AW38" s="114">
        <v>298228434</v>
      </c>
      <c r="AX38" s="114">
        <v>298228434</v>
      </c>
      <c r="AY38" s="114">
        <v>298228434</v>
      </c>
      <c r="BA38" s="114">
        <v>298228434</v>
      </c>
      <c r="BB38" s="114">
        <v>298228434</v>
      </c>
      <c r="BC38" s="59">
        <v>298228434</v>
      </c>
      <c r="BD38" s="59">
        <v>298228434</v>
      </c>
      <c r="BE38" s="59">
        <v>298228434</v>
      </c>
      <c r="BG38" s="59">
        <v>298228434</v>
      </c>
      <c r="BH38" s="59">
        <v>298228434</v>
      </c>
      <c r="BI38" s="59">
        <v>407135283</v>
      </c>
      <c r="BJ38" s="59">
        <v>407135283</v>
      </c>
      <c r="BK38" s="59">
        <v>407135283</v>
      </c>
      <c r="BM38" s="59">
        <v>407135283</v>
      </c>
      <c r="BN38" s="59">
        <v>407135283</v>
      </c>
      <c r="BO38" s="59">
        <v>407135283</v>
      </c>
      <c r="BP38" s="59">
        <v>407135283</v>
      </c>
      <c r="BQ38" s="59">
        <v>407135283</v>
      </c>
      <c r="BS38" s="59">
        <v>407135283</v>
      </c>
      <c r="BT38" s="59">
        <v>407135283</v>
      </c>
      <c r="BU38" s="59">
        <v>407135283</v>
      </c>
      <c r="BV38" s="59">
        <v>491510283</v>
      </c>
      <c r="BW38" s="59">
        <v>491510283</v>
      </c>
      <c r="BY38" s="59">
        <v>491510283</v>
      </c>
      <c r="BZ38" s="59">
        <v>491510283</v>
      </c>
      <c r="CA38" s="59">
        <v>491510283</v>
      </c>
      <c r="CB38" s="59">
        <v>491510283</v>
      </c>
      <c r="CC38" s="59">
        <v>491510283</v>
      </c>
      <c r="CE38" s="59">
        <v>491510283</v>
      </c>
      <c r="CF38" s="59">
        <v>491510283</v>
      </c>
      <c r="CG38" s="59">
        <v>474159697</v>
      </c>
      <c r="CH38" s="59">
        <v>474159697</v>
      </c>
      <c r="CI38" s="59">
        <v>474159697</v>
      </c>
      <c r="CK38" s="59">
        <v>474159697</v>
      </c>
    </row>
    <row r="39" spans="1:89">
      <c r="A39" s="38" t="s">
        <v>646</v>
      </c>
      <c r="B39" s="84"/>
      <c r="C39" s="115" t="s">
        <v>156</v>
      </c>
      <c r="D39" s="84"/>
      <c r="E39" s="116" t="s">
        <v>156</v>
      </c>
      <c r="F39" s="117" t="s">
        <v>156</v>
      </c>
      <c r="G39" s="117" t="s">
        <v>156</v>
      </c>
      <c r="H39" s="117" t="s">
        <v>156</v>
      </c>
      <c r="I39" s="118" t="s">
        <v>156</v>
      </c>
      <c r="J39" s="84"/>
      <c r="K39" s="116" t="s">
        <v>156</v>
      </c>
      <c r="L39" s="117" t="s">
        <v>156</v>
      </c>
      <c r="M39" s="117" t="s">
        <v>156</v>
      </c>
      <c r="N39" s="117" t="s">
        <v>156</v>
      </c>
      <c r="O39" s="118" t="s">
        <v>156</v>
      </c>
      <c r="P39" s="84"/>
      <c r="Q39" s="119">
        <v>0.52</v>
      </c>
      <c r="R39" s="120">
        <v>0.52</v>
      </c>
      <c r="S39" s="120">
        <v>0.99</v>
      </c>
      <c r="T39" s="120">
        <v>0.99</v>
      </c>
      <c r="U39" s="121">
        <v>0.99</v>
      </c>
      <c r="V39" s="122"/>
      <c r="W39" s="119">
        <v>0.99</v>
      </c>
      <c r="X39" s="120">
        <v>0.99</v>
      </c>
      <c r="Y39" s="120">
        <v>0.99</v>
      </c>
      <c r="Z39" s="120">
        <v>0.99</v>
      </c>
      <c r="AA39" s="121">
        <v>0.99</v>
      </c>
      <c r="AB39" s="122"/>
      <c r="AC39" s="119">
        <v>0.99</v>
      </c>
      <c r="AD39" s="119">
        <v>0.99</v>
      </c>
      <c r="AE39" s="119">
        <v>0.99</v>
      </c>
      <c r="AF39" s="119">
        <v>0.99</v>
      </c>
      <c r="AG39" s="119">
        <v>0.99</v>
      </c>
      <c r="AI39" s="119">
        <v>0.99</v>
      </c>
      <c r="AJ39" s="119">
        <v>0.99</v>
      </c>
      <c r="AK39" s="119">
        <v>0.99</v>
      </c>
      <c r="AL39" s="119">
        <v>0.99</v>
      </c>
      <c r="AM39" s="119">
        <v>0.99</v>
      </c>
      <c r="AO39" s="123">
        <v>0.99</v>
      </c>
      <c r="AP39" s="123">
        <v>0.99</v>
      </c>
      <c r="AQ39" s="124">
        <v>0.98819999999999997</v>
      </c>
      <c r="AR39" s="124">
        <v>0.98819999999999997</v>
      </c>
      <c r="AS39" s="119">
        <v>0.98819999999999997</v>
      </c>
      <c r="AU39" s="119">
        <v>0.98819999999999997</v>
      </c>
      <c r="AV39" s="124">
        <v>0.98819999999999997</v>
      </c>
      <c r="AW39" s="124">
        <v>0.99019999999999997</v>
      </c>
      <c r="AX39" s="124">
        <v>0.99039999999999995</v>
      </c>
      <c r="AY39" s="124">
        <v>0.99039999999999995</v>
      </c>
      <c r="BA39" s="124">
        <v>0.99039999999999995</v>
      </c>
      <c r="BB39" s="124">
        <v>0.2994</v>
      </c>
      <c r="BC39" s="123">
        <v>0.2994</v>
      </c>
      <c r="BD39" s="123">
        <v>0.2994</v>
      </c>
      <c r="BE39" s="123">
        <v>0.2994</v>
      </c>
      <c r="BG39" s="123">
        <v>0.2994</v>
      </c>
      <c r="BH39" s="123">
        <v>0.29579999999999995</v>
      </c>
      <c r="BI39" s="123">
        <v>0.29599999999999999</v>
      </c>
      <c r="BJ39" s="123">
        <v>0.29599999999999999</v>
      </c>
      <c r="BK39" s="123">
        <v>0.29599999999999999</v>
      </c>
      <c r="BM39" s="123">
        <v>0.29599999999999999</v>
      </c>
      <c r="BN39" s="123">
        <v>0.2893</v>
      </c>
      <c r="BO39" s="123">
        <v>0.28927908711856842</v>
      </c>
      <c r="BP39" s="123">
        <v>0.28927908466238234</v>
      </c>
      <c r="BQ39" s="123">
        <v>0.28927908466238234</v>
      </c>
      <c r="BS39" s="123">
        <v>0.28927908466238234</v>
      </c>
      <c r="BT39" s="123">
        <v>0.28937170252571798</v>
      </c>
      <c r="BU39" s="123">
        <v>0.28937170252571798</v>
      </c>
      <c r="BV39" s="123">
        <v>0.41136154622425264</v>
      </c>
      <c r="BW39" s="123">
        <v>0.41136154622425264</v>
      </c>
      <c r="BY39" s="123">
        <v>0.40968139012464977</v>
      </c>
      <c r="BZ39" s="123">
        <v>0.40357775383511152</v>
      </c>
      <c r="CA39" s="123">
        <v>0.4003224811473578</v>
      </c>
      <c r="CB39" s="123">
        <v>0.4003224811473578</v>
      </c>
      <c r="CC39" s="123">
        <v>0.4003224811473578</v>
      </c>
      <c r="CE39" s="123">
        <v>0.39798275390303484</v>
      </c>
      <c r="CF39" s="123">
        <v>0.39329627412901957</v>
      </c>
      <c r="CG39" s="123">
        <v>0.37431558211916099</v>
      </c>
      <c r="CH39" s="123">
        <v>0.37435776200101628</v>
      </c>
      <c r="CI39" s="123">
        <v>0.37435776200101628</v>
      </c>
      <c r="CK39" s="123">
        <v>0.37441280252884929</v>
      </c>
    </row>
    <row r="40" spans="1:89">
      <c r="A40" s="28" t="s">
        <v>251</v>
      </c>
      <c r="B40" s="84"/>
      <c r="C40" s="84" t="s">
        <v>156</v>
      </c>
      <c r="D40" s="84"/>
      <c r="E40" s="125" t="s">
        <v>156</v>
      </c>
      <c r="F40" s="126" t="s">
        <v>156</v>
      </c>
      <c r="G40" s="126" t="s">
        <v>156</v>
      </c>
      <c r="H40" s="126" t="s">
        <v>156</v>
      </c>
      <c r="I40" s="127" t="s">
        <v>156</v>
      </c>
      <c r="J40" s="84"/>
      <c r="K40" s="125" t="s">
        <v>156</v>
      </c>
      <c r="L40" s="126" t="s">
        <v>156</v>
      </c>
      <c r="M40" s="126" t="s">
        <v>156</v>
      </c>
      <c r="N40" s="126" t="s">
        <v>156</v>
      </c>
      <c r="O40" s="127" t="s">
        <v>156</v>
      </c>
      <c r="P40" s="84"/>
      <c r="Q40" s="128">
        <v>12.97</v>
      </c>
      <c r="R40" s="129">
        <v>12.16</v>
      </c>
      <c r="S40" s="129">
        <v>13.89</v>
      </c>
      <c r="T40" s="129">
        <v>17.46</v>
      </c>
      <c r="U40" s="130">
        <v>14.120000000000001</v>
      </c>
      <c r="V40" s="131"/>
      <c r="W40" s="128">
        <v>17.32</v>
      </c>
      <c r="X40" s="129">
        <v>17.66</v>
      </c>
      <c r="Y40" s="129">
        <v>17.23</v>
      </c>
      <c r="Z40" s="129">
        <v>17.93</v>
      </c>
      <c r="AA40" s="130">
        <v>17.54</v>
      </c>
      <c r="AB40" s="131"/>
      <c r="AC40" s="128">
        <v>20.58</v>
      </c>
      <c r="AD40" s="128">
        <v>23.02112903225807</v>
      </c>
      <c r="AE40" s="128">
        <v>23.799843749999997</v>
      </c>
      <c r="AF40" s="128">
        <v>25.785254237288136</v>
      </c>
      <c r="AG40" s="128">
        <v>23.269514170040473</v>
      </c>
      <c r="AI40" s="128">
        <v>25.012881355932215</v>
      </c>
      <c r="AJ40" s="128">
        <v>20.910634920634916</v>
      </c>
      <c r="AK40" s="128">
        <v>18.921384615384611</v>
      </c>
      <c r="AL40" s="128">
        <v>18.630983606557376</v>
      </c>
      <c r="AM40" s="128">
        <v>20.804475806451627</v>
      </c>
      <c r="AO40" s="132">
        <v>17.192622950819672</v>
      </c>
      <c r="AP40" s="132">
        <v>12.707666666666663</v>
      </c>
      <c r="AQ40" s="133">
        <v>14.110000000000003</v>
      </c>
      <c r="AR40" s="133">
        <v>11.283870967741938</v>
      </c>
      <c r="AS40" s="128">
        <v>12.469596774193544</v>
      </c>
      <c r="AU40" s="128">
        <v>10.718032786885246</v>
      </c>
      <c r="AV40" s="133">
        <v>11.200163934426232</v>
      </c>
      <c r="AW40" s="133">
        <v>10.733749999999997</v>
      </c>
      <c r="AX40" s="133">
        <v>9.004666666666667</v>
      </c>
      <c r="AY40" s="133">
        <v>8.9040243902438974</v>
      </c>
      <c r="BA40" s="133">
        <v>8.2676666666666669</v>
      </c>
      <c r="BB40" s="133">
        <v>8.7046031746031769</v>
      </c>
      <c r="BC40" s="132">
        <v>8.5</v>
      </c>
      <c r="BD40" s="133">
        <v>8.0613114754098376</v>
      </c>
      <c r="BE40" s="133">
        <v>8.3871084337349391</v>
      </c>
      <c r="BG40" s="133">
        <v>8.6669354838709651</v>
      </c>
      <c r="BH40" s="133">
        <v>9.1836065573770504</v>
      </c>
      <c r="BI40" s="133">
        <v>10.426874999999997</v>
      </c>
      <c r="BJ40" s="133">
        <v>10.892033898305089</v>
      </c>
      <c r="BK40" s="133">
        <v>9.7865853658536608</v>
      </c>
      <c r="BM40" s="133">
        <v>9.8688333333333347</v>
      </c>
      <c r="BN40" s="133">
        <v>8.2690476190476208</v>
      </c>
      <c r="BO40" s="133">
        <v>8.8839682539682556</v>
      </c>
      <c r="BP40" s="133">
        <v>7.7372881355932215</v>
      </c>
      <c r="BQ40" s="133">
        <v>8.6908979591836779</v>
      </c>
      <c r="BS40" s="133">
        <v>8.7364999999999995</v>
      </c>
      <c r="BT40" s="132">
        <v>8.9303225806451607</v>
      </c>
      <c r="BU40" s="132">
        <v>10.677846153846154</v>
      </c>
      <c r="BV40" s="132">
        <v>12.942131147540982</v>
      </c>
      <c r="BW40" s="132">
        <v>10.328225806451602</v>
      </c>
      <c r="BY40" s="133">
        <v>13.601774193548385</v>
      </c>
      <c r="BZ40" s="133">
        <v>8.8388524590163904</v>
      </c>
      <c r="CA40" s="133">
        <v>9.4181538461538477</v>
      </c>
      <c r="CB40" s="133">
        <v>9.8508196721311503</v>
      </c>
      <c r="CC40" s="133">
        <v>10.42393574297189</v>
      </c>
      <c r="CE40" s="133">
        <v>8.8726666666666674</v>
      </c>
      <c r="CF40" s="133">
        <v>9.2369354838709672</v>
      </c>
      <c r="CG40" s="133">
        <v>8.6029687499999987</v>
      </c>
      <c r="CH40" s="132">
        <v>7.5495000000000001</v>
      </c>
      <c r="CI40" s="132">
        <v>8.5715853658536592</v>
      </c>
      <c r="CK40" s="132">
        <v>7.3498387096774174</v>
      </c>
    </row>
    <row r="41" spans="1:89">
      <c r="A41" s="30" t="s">
        <v>252</v>
      </c>
      <c r="B41" s="84"/>
      <c r="C41" s="115" t="s">
        <v>156</v>
      </c>
      <c r="D41" s="84"/>
      <c r="E41" s="116" t="s">
        <v>156</v>
      </c>
      <c r="F41" s="117" t="s">
        <v>156</v>
      </c>
      <c r="G41" s="117" t="s">
        <v>156</v>
      </c>
      <c r="H41" s="117" t="s">
        <v>156</v>
      </c>
      <c r="I41" s="118" t="s">
        <v>156</v>
      </c>
      <c r="J41" s="84"/>
      <c r="K41" s="116" t="s">
        <v>156</v>
      </c>
      <c r="L41" s="117" t="s">
        <v>156</v>
      </c>
      <c r="M41" s="117" t="s">
        <v>156</v>
      </c>
      <c r="N41" s="117" t="s">
        <v>156</v>
      </c>
      <c r="O41" s="118" t="s">
        <v>156</v>
      </c>
      <c r="P41" s="84"/>
      <c r="Q41" s="134">
        <v>12.92</v>
      </c>
      <c r="R41" s="135">
        <v>12.85</v>
      </c>
      <c r="S41" s="135">
        <v>16.3</v>
      </c>
      <c r="T41" s="135">
        <v>18.16</v>
      </c>
      <c r="U41" s="136">
        <v>18.16</v>
      </c>
      <c r="V41" s="131"/>
      <c r="W41" s="134">
        <v>17.149999999999999</v>
      </c>
      <c r="X41" s="135">
        <v>17.5</v>
      </c>
      <c r="Y41" s="135">
        <v>17.079999999999998</v>
      </c>
      <c r="Z41" s="135">
        <v>18.5</v>
      </c>
      <c r="AA41" s="136">
        <v>18.5</v>
      </c>
      <c r="AB41" s="131"/>
      <c r="AC41" s="134">
        <v>23.44</v>
      </c>
      <c r="AD41" s="134">
        <v>23.7</v>
      </c>
      <c r="AE41" s="134">
        <v>26.45</v>
      </c>
      <c r="AF41" s="134">
        <v>25.5</v>
      </c>
      <c r="AG41" s="134">
        <v>25.5</v>
      </c>
      <c r="AI41" s="134">
        <v>22.4</v>
      </c>
      <c r="AJ41" s="134">
        <v>19</v>
      </c>
      <c r="AK41" s="134">
        <v>19.7</v>
      </c>
      <c r="AL41" s="134">
        <v>18.600000000000001</v>
      </c>
      <c r="AM41" s="134">
        <v>18.600000000000001</v>
      </c>
      <c r="AO41" s="137">
        <v>18.63</v>
      </c>
      <c r="AP41" s="137">
        <v>13.31</v>
      </c>
      <c r="AQ41" s="138">
        <v>13</v>
      </c>
      <c r="AR41" s="138">
        <v>10.25</v>
      </c>
      <c r="AS41" s="134">
        <v>10.25</v>
      </c>
      <c r="AU41" s="134">
        <v>13.07</v>
      </c>
      <c r="AV41" s="138">
        <v>10.47</v>
      </c>
      <c r="AW41" s="138">
        <v>10.7</v>
      </c>
      <c r="AX41" s="138">
        <v>8.42</v>
      </c>
      <c r="AY41" s="138">
        <v>8.42</v>
      </c>
      <c r="BA41" s="138">
        <v>8.8000000000000007</v>
      </c>
      <c r="BB41" s="138">
        <v>7.5</v>
      </c>
      <c r="BC41" s="137">
        <v>8.5500000000000007</v>
      </c>
      <c r="BD41" s="138">
        <v>7.5</v>
      </c>
      <c r="BE41" s="138">
        <v>7.5</v>
      </c>
      <c r="BG41" s="138">
        <v>9.16</v>
      </c>
      <c r="BH41" s="138">
        <v>10.6</v>
      </c>
      <c r="BI41" s="138">
        <v>11.17</v>
      </c>
      <c r="BJ41" s="138">
        <v>10.6</v>
      </c>
      <c r="BK41" s="138">
        <v>10.6</v>
      </c>
      <c r="BM41" s="138">
        <v>9.0399999999999991</v>
      </c>
      <c r="BN41" s="138">
        <v>9.1</v>
      </c>
      <c r="BO41" s="138">
        <v>7.65</v>
      </c>
      <c r="BP41" s="138">
        <v>8.1999999999999993</v>
      </c>
      <c r="BQ41" s="138">
        <v>8.1999999999999993</v>
      </c>
      <c r="BS41" s="138">
        <v>8.9</v>
      </c>
      <c r="BT41" s="137">
        <v>9.85</v>
      </c>
      <c r="BU41" s="137">
        <v>11.79</v>
      </c>
      <c r="BV41" s="137">
        <v>14.48</v>
      </c>
      <c r="BW41" s="137">
        <v>14.48</v>
      </c>
      <c r="BY41" s="138">
        <v>9.16</v>
      </c>
      <c r="BZ41" s="138">
        <v>8.92</v>
      </c>
      <c r="CA41" s="138">
        <v>9</v>
      </c>
      <c r="CB41" s="138">
        <v>9.9</v>
      </c>
      <c r="CC41" s="138">
        <v>9.9</v>
      </c>
      <c r="CE41" s="138">
        <v>8.6</v>
      </c>
      <c r="CF41" s="138">
        <v>9.17</v>
      </c>
      <c r="CG41" s="138">
        <v>7.9399999999999995</v>
      </c>
      <c r="CH41" s="137">
        <v>7.31</v>
      </c>
      <c r="CI41" s="137">
        <v>7.31</v>
      </c>
      <c r="CK41" s="137">
        <v>8.89</v>
      </c>
    </row>
    <row r="42" spans="1:89">
      <c r="A42" s="28" t="s">
        <v>647</v>
      </c>
      <c r="B42" s="84"/>
      <c r="C42" s="84" t="s">
        <v>156</v>
      </c>
      <c r="D42" s="84"/>
      <c r="E42" s="125" t="s">
        <v>156</v>
      </c>
      <c r="F42" s="126" t="s">
        <v>156</v>
      </c>
      <c r="G42" s="126" t="s">
        <v>156</v>
      </c>
      <c r="H42" s="126" t="s">
        <v>156</v>
      </c>
      <c r="I42" s="127" t="s">
        <v>156</v>
      </c>
      <c r="J42" s="84"/>
      <c r="K42" s="125" t="s">
        <v>156</v>
      </c>
      <c r="L42" s="126" t="s">
        <v>156</v>
      </c>
      <c r="M42" s="126" t="s">
        <v>156</v>
      </c>
      <c r="N42" s="126" t="s">
        <v>156</v>
      </c>
      <c r="O42" s="127" t="s">
        <v>156</v>
      </c>
      <c r="P42" s="84"/>
      <c r="Q42" s="139">
        <v>1797.2659542399999</v>
      </c>
      <c r="R42" s="140">
        <v>1791.1792458499999</v>
      </c>
      <c r="S42" s="140">
        <v>2272</v>
      </c>
      <c r="T42" s="140">
        <v>2533.5370664799998</v>
      </c>
      <c r="U42" s="141">
        <v>2533.5370664799998</v>
      </c>
      <c r="V42" s="142"/>
      <c r="W42" s="139">
        <v>2392.62999395</v>
      </c>
      <c r="X42" s="140">
        <v>3058.1935825</v>
      </c>
      <c r="Y42" s="140">
        <v>3074.4669365199993</v>
      </c>
      <c r="Z42" s="140">
        <v>3330.0725014999998</v>
      </c>
      <c r="AA42" s="141">
        <v>3330.0725014999998</v>
      </c>
      <c r="AB42" s="142"/>
      <c r="AC42" s="139">
        <v>7262.1</v>
      </c>
      <c r="AD42" s="139">
        <v>7354.3</v>
      </c>
      <c r="AE42" s="139">
        <v>8207.6</v>
      </c>
      <c r="AF42" s="139">
        <v>7946.1</v>
      </c>
      <c r="AG42" s="139">
        <v>7946.1</v>
      </c>
      <c r="AI42" s="139">
        <v>6980</v>
      </c>
      <c r="AJ42" s="139">
        <v>5940.4</v>
      </c>
      <c r="AK42" s="139">
        <v>6159.3</v>
      </c>
      <c r="AL42" s="139">
        <v>5815</v>
      </c>
      <c r="AM42" s="139">
        <v>5815</v>
      </c>
      <c r="AO42" s="60">
        <v>5824.7</v>
      </c>
      <c r="AP42" s="60">
        <v>4161.3999999999996</v>
      </c>
      <c r="AQ42" s="143">
        <v>3877</v>
      </c>
      <c r="AR42" s="143">
        <v>3056.8414484999998</v>
      </c>
      <c r="AS42" s="139">
        <v>3056.8414484999998</v>
      </c>
      <c r="AU42" s="139">
        <v>3897.8</v>
      </c>
      <c r="AV42" s="143">
        <v>3122.5</v>
      </c>
      <c r="AW42" s="143">
        <v>3191</v>
      </c>
      <c r="AX42" s="143">
        <v>2511.0834142800004</v>
      </c>
      <c r="AY42" s="143">
        <v>2511.0834142800004</v>
      </c>
      <c r="BA42" s="143">
        <v>2624.4</v>
      </c>
      <c r="BB42" s="143">
        <v>2236.6999999999998</v>
      </c>
      <c r="BC42" s="60">
        <v>2549.9</v>
      </c>
      <c r="BD42" s="143">
        <v>2236.7132550000001</v>
      </c>
      <c r="BE42" s="143">
        <v>2236.7132550000001</v>
      </c>
      <c r="BG42" s="143">
        <v>2731.8</v>
      </c>
      <c r="BH42" s="143">
        <v>3161.2214004000002</v>
      </c>
      <c r="BI42" s="143">
        <v>4547.7011111100001</v>
      </c>
      <c r="BJ42" s="143">
        <v>4315.6339998000003</v>
      </c>
      <c r="BK42" s="143">
        <v>4315.6339998000003</v>
      </c>
      <c r="BM42" s="143">
        <v>3680.5029583199998</v>
      </c>
      <c r="BN42" s="143">
        <v>3704.9310752999995</v>
      </c>
      <c r="BO42" s="143">
        <v>3114.5849149500004</v>
      </c>
      <c r="BP42" s="143">
        <v>3338.5093205999997</v>
      </c>
      <c r="BQ42" s="143">
        <v>3338.5093205999997</v>
      </c>
      <c r="BS42" s="143">
        <v>3623.5040187000004</v>
      </c>
      <c r="BT42" s="60">
        <v>4010.2825375499997</v>
      </c>
      <c r="BU42" s="60">
        <v>4800.1249865700001</v>
      </c>
      <c r="BV42" s="60">
        <v>7117.0688978400003</v>
      </c>
      <c r="BW42" s="60">
        <v>7117.0688978400003</v>
      </c>
      <c r="BY42" s="143">
        <v>4502.2341922799997</v>
      </c>
      <c r="BZ42" s="143">
        <v>4384.27172436</v>
      </c>
      <c r="CA42" s="143">
        <v>4423.5925470000002</v>
      </c>
      <c r="CB42" s="143">
        <v>4865.9518017</v>
      </c>
      <c r="CC42" s="143">
        <v>4865.9518017</v>
      </c>
      <c r="CE42" s="143">
        <v>4226.9884338000002</v>
      </c>
      <c r="CF42" s="143">
        <v>4507.1492951099999</v>
      </c>
      <c r="CG42" s="143">
        <v>3764.8279941799997</v>
      </c>
      <c r="CH42" s="60">
        <v>3466.1073850699995</v>
      </c>
      <c r="CI42" s="60">
        <v>3466.1073850699995</v>
      </c>
      <c r="CK42" s="60">
        <v>4215.2797063300004</v>
      </c>
    </row>
    <row r="43" spans="1:89">
      <c r="A43" s="30" t="s">
        <v>253</v>
      </c>
      <c r="B43" s="84"/>
      <c r="C43" s="115" t="s">
        <v>156</v>
      </c>
      <c r="D43" s="84"/>
      <c r="E43" s="116" t="s">
        <v>156</v>
      </c>
      <c r="F43" s="117" t="s">
        <v>156</v>
      </c>
      <c r="G43" s="117" t="s">
        <v>156</v>
      </c>
      <c r="H43" s="117" t="s">
        <v>156</v>
      </c>
      <c r="I43" s="118" t="s">
        <v>156</v>
      </c>
      <c r="J43" s="84"/>
      <c r="K43" s="116" t="s">
        <v>156</v>
      </c>
      <c r="L43" s="117" t="s">
        <v>156</v>
      </c>
      <c r="M43" s="117" t="s">
        <v>156</v>
      </c>
      <c r="N43" s="117" t="s">
        <v>156</v>
      </c>
      <c r="O43" s="118" t="s">
        <v>156</v>
      </c>
      <c r="P43" s="84"/>
      <c r="Q43" s="134">
        <v>10.17</v>
      </c>
      <c r="R43" s="135">
        <v>3.3366472580645161</v>
      </c>
      <c r="S43" s="135">
        <v>5.46</v>
      </c>
      <c r="T43" s="135">
        <v>12.73</v>
      </c>
      <c r="U43" s="136">
        <v>7.924161814516129</v>
      </c>
      <c r="V43" s="131"/>
      <c r="W43" s="134">
        <v>8.2899999999999991</v>
      </c>
      <c r="X43" s="135">
        <v>10.85</v>
      </c>
      <c r="Y43" s="135">
        <v>16.23</v>
      </c>
      <c r="Z43" s="135">
        <v>14.75</v>
      </c>
      <c r="AA43" s="136">
        <v>12.63</v>
      </c>
      <c r="AB43" s="131"/>
      <c r="AC43" s="134">
        <v>22.3</v>
      </c>
      <c r="AD43" s="134">
        <v>36.509188419354842</v>
      </c>
      <c r="AE43" s="134">
        <v>24.771161318181818</v>
      </c>
      <c r="AF43" s="134">
        <v>32.382313728813557</v>
      </c>
      <c r="AG43" s="134">
        <v>29.036783651821864</v>
      </c>
      <c r="AI43" s="134">
        <v>33.603295932203388</v>
      </c>
      <c r="AJ43" s="134">
        <v>55.143645714285718</v>
      </c>
      <c r="AK43" s="134">
        <v>41.491740307692304</v>
      </c>
      <c r="AL43" s="134">
        <v>56.086642622950819</v>
      </c>
      <c r="AM43" s="134">
        <v>46.672953467741934</v>
      </c>
      <c r="AO43" s="137">
        <v>41.649718524590163</v>
      </c>
      <c r="AP43" s="137">
        <v>32.481601883333333</v>
      </c>
      <c r="AQ43" s="138">
        <v>25.128461907692309</v>
      </c>
      <c r="AR43" s="138">
        <v>31.635660951612905</v>
      </c>
      <c r="AS43" s="134">
        <v>32.597943330645165</v>
      </c>
      <c r="AU43" s="134">
        <v>31.160676344262296</v>
      </c>
      <c r="AV43" s="138">
        <v>7.321140032786885</v>
      </c>
      <c r="AW43" s="138">
        <v>9.7751642343749996</v>
      </c>
      <c r="AX43" s="138">
        <v>24.132999933333334</v>
      </c>
      <c r="AY43" s="138">
        <v>17.971468723577235</v>
      </c>
      <c r="BA43" s="138">
        <v>6.7423619000000006</v>
      </c>
      <c r="BB43" s="138">
        <v>11.394594857142856</v>
      </c>
      <c r="BC43" s="137">
        <v>4</v>
      </c>
      <c r="BD43" s="138">
        <v>3.848571295081967</v>
      </c>
      <c r="BE43" s="138">
        <v>6.3389428032128512</v>
      </c>
      <c r="BG43" s="138">
        <v>8.7371142741935479</v>
      </c>
      <c r="BH43" s="138">
        <v>5.1459588852459017</v>
      </c>
      <c r="BI43" s="138">
        <v>9.3792347968750001</v>
      </c>
      <c r="BJ43" s="138">
        <v>6.3801678644067792</v>
      </c>
      <c r="BK43" s="138">
        <v>7.4483963739837398</v>
      </c>
      <c r="BM43" s="138">
        <v>8.30469525</v>
      </c>
      <c r="BN43" s="138">
        <v>5.188102126984127</v>
      </c>
      <c r="BO43" s="138">
        <v>3.9288631111111112</v>
      </c>
      <c r="BP43" s="138">
        <v>10.526266983050848</v>
      </c>
      <c r="BQ43" s="138">
        <v>6.9130623551020411</v>
      </c>
      <c r="BS43" s="138">
        <v>7.5934446500000004</v>
      </c>
      <c r="BT43" s="137">
        <v>4.8764379516129024</v>
      </c>
      <c r="BU43" s="137">
        <v>8.3000590615384624</v>
      </c>
      <c r="BV43" s="137">
        <v>31.106399540983606</v>
      </c>
      <c r="BW43" s="137">
        <v>12.882822754032258</v>
      </c>
      <c r="BY43" s="138">
        <v>36.128147225806451</v>
      </c>
      <c r="BZ43" s="138">
        <v>28.461121311475409</v>
      </c>
      <c r="CA43" s="138">
        <v>27.049774307692307</v>
      </c>
      <c r="CB43" s="138">
        <v>27.432425049180328</v>
      </c>
      <c r="CC43" s="138">
        <v>29.749746128514055</v>
      </c>
      <c r="CE43" s="138">
        <v>18.387532966666665</v>
      </c>
      <c r="CF43" s="138">
        <v>16.414970112903227</v>
      </c>
      <c r="CG43" s="138">
        <v>21.707208515624998</v>
      </c>
      <c r="CH43" s="137">
        <v>16.00179175409836</v>
      </c>
      <c r="CI43" s="137">
        <v>18.163363429149801</v>
      </c>
      <c r="CK43" s="137">
        <v>15.712554967741935</v>
      </c>
    </row>
    <row r="44" spans="1:89">
      <c r="A44" s="28" t="s">
        <v>254</v>
      </c>
      <c r="B44" s="84"/>
      <c r="C44" s="84" t="s">
        <v>156</v>
      </c>
      <c r="D44" s="84"/>
      <c r="E44" s="125" t="s">
        <v>156</v>
      </c>
      <c r="F44" s="126" t="s">
        <v>156</v>
      </c>
      <c r="G44" s="126" t="s">
        <v>156</v>
      </c>
      <c r="H44" s="126" t="s">
        <v>156</v>
      </c>
      <c r="I44" s="127" t="s">
        <v>156</v>
      </c>
      <c r="J44" s="84"/>
      <c r="K44" s="125" t="s">
        <v>156</v>
      </c>
      <c r="L44" s="126" t="s">
        <v>156</v>
      </c>
      <c r="M44" s="126" t="s">
        <v>156</v>
      </c>
      <c r="N44" s="126" t="s">
        <v>156</v>
      </c>
      <c r="O44" s="127" t="s">
        <v>156</v>
      </c>
      <c r="P44" s="84"/>
      <c r="Q44" s="144">
        <v>792712</v>
      </c>
      <c r="R44" s="145">
        <v>276203.22580645164</v>
      </c>
      <c r="S44" s="145">
        <v>385519</v>
      </c>
      <c r="T44" s="145">
        <v>721413</v>
      </c>
      <c r="U44" s="146">
        <v>543961.80645161285</v>
      </c>
      <c r="V44" s="147"/>
      <c r="W44" s="144">
        <v>478877</v>
      </c>
      <c r="X44" s="145">
        <v>616953</v>
      </c>
      <c r="Y44" s="145">
        <v>941961.69471851422</v>
      </c>
      <c r="Z44" s="145">
        <v>824364</v>
      </c>
      <c r="AA44" s="146">
        <v>720685</v>
      </c>
      <c r="AB44" s="147"/>
      <c r="AC44" s="144">
        <v>1067426</v>
      </c>
      <c r="AD44" s="144">
        <v>1592098.3870967743</v>
      </c>
      <c r="AE44" s="144">
        <v>1057065.0793650793</v>
      </c>
      <c r="AF44" s="144">
        <v>1254316.9491525423</v>
      </c>
      <c r="AG44" s="144">
        <v>1241830.487804878</v>
      </c>
      <c r="AI44" s="144">
        <v>1354205.0847457626</v>
      </c>
      <c r="AJ44" s="144">
        <v>2698460.3174603176</v>
      </c>
      <c r="AK44" s="144">
        <v>2207790.769230769</v>
      </c>
      <c r="AL44" s="144">
        <v>3020155.7377049183</v>
      </c>
      <c r="AM44" s="144">
        <v>2329181.4516129033</v>
      </c>
      <c r="AO44" s="60">
        <v>2441980.3278688523</v>
      </c>
      <c r="AP44" s="60">
        <v>1879165</v>
      </c>
      <c r="AQ44" s="143">
        <v>1780366.1538461538</v>
      </c>
      <c r="AR44" s="143">
        <v>2839043.5483870967</v>
      </c>
      <c r="AS44" s="144">
        <v>2231674.1935483869</v>
      </c>
      <c r="AU44" s="144">
        <v>2754236.0655737706</v>
      </c>
      <c r="AV44" s="143">
        <v>650295.08196721307</v>
      </c>
      <c r="AW44" s="143">
        <v>914573.4375</v>
      </c>
      <c r="AX44" s="143">
        <v>2590070</v>
      </c>
      <c r="AY44" s="143">
        <v>1713875.2032520326</v>
      </c>
      <c r="BA44" s="143">
        <v>823996.66666666663</v>
      </c>
      <c r="BB44" s="143">
        <v>1289900</v>
      </c>
      <c r="BC44" s="60">
        <v>411000</v>
      </c>
      <c r="BD44" s="143">
        <v>482168.85245901637</v>
      </c>
      <c r="BE44" s="143">
        <v>747808.03212851402</v>
      </c>
      <c r="BG44" s="143">
        <v>1011320.9677419355</v>
      </c>
      <c r="BH44" s="143">
        <v>560006.55737704923</v>
      </c>
      <c r="BI44" s="143">
        <v>910175</v>
      </c>
      <c r="BJ44" s="143">
        <v>591606.779661017</v>
      </c>
      <c r="BK44" s="143">
        <v>772432.11382113816</v>
      </c>
      <c r="BM44" s="143">
        <v>857100</v>
      </c>
      <c r="BN44" s="143">
        <v>648604.76190476189</v>
      </c>
      <c r="BO44" s="143">
        <v>438538.09523809527</v>
      </c>
      <c r="BP44" s="143">
        <v>1470844.0677966101</v>
      </c>
      <c r="BQ44" s="143">
        <v>843656.32653061219</v>
      </c>
      <c r="BS44" s="143">
        <v>879468.33333333337</v>
      </c>
      <c r="BT44" s="60">
        <v>544020.96774193551</v>
      </c>
      <c r="BU44" s="60">
        <v>768970.76923076925</v>
      </c>
      <c r="BV44" s="60">
        <v>2380609.8360655736</v>
      </c>
      <c r="BW44" s="60">
        <v>1135877.8225806451</v>
      </c>
      <c r="BY44" s="143">
        <v>2797190.3225806453</v>
      </c>
      <c r="BZ44" s="143">
        <v>3241911.475409836</v>
      </c>
      <c r="CA44" s="143">
        <v>2869186.153846154</v>
      </c>
      <c r="CB44" s="143">
        <v>2839355.7377049183</v>
      </c>
      <c r="CC44" s="143">
        <v>2935261.8473895583</v>
      </c>
      <c r="CE44" s="143">
        <v>2087330</v>
      </c>
      <c r="CF44" s="143">
        <v>1769551.6129032257</v>
      </c>
      <c r="CG44" s="143">
        <v>2535392.1875</v>
      </c>
      <c r="CH44" s="60">
        <v>2119701.6393442624</v>
      </c>
      <c r="CI44" s="60">
        <v>2131655.4655870446</v>
      </c>
      <c r="CK44" s="60">
        <v>2129112.9032258065</v>
      </c>
    </row>
    <row r="45" spans="1:89">
      <c r="A45" s="30" t="s">
        <v>255</v>
      </c>
      <c r="B45" s="84"/>
      <c r="C45" s="115" t="s">
        <v>156</v>
      </c>
      <c r="D45" s="84"/>
      <c r="E45" s="116" t="s">
        <v>156</v>
      </c>
      <c r="F45" s="117" t="s">
        <v>156</v>
      </c>
      <c r="G45" s="117" t="s">
        <v>156</v>
      </c>
      <c r="H45" s="117" t="s">
        <v>156</v>
      </c>
      <c r="I45" s="118" t="s">
        <v>156</v>
      </c>
      <c r="J45" s="84"/>
      <c r="K45" s="116" t="s">
        <v>156</v>
      </c>
      <c r="L45" s="117" t="s">
        <v>156</v>
      </c>
      <c r="M45" s="117" t="s">
        <v>156</v>
      </c>
      <c r="N45" s="117" t="s">
        <v>156</v>
      </c>
      <c r="O45" s="118" t="s">
        <v>156</v>
      </c>
      <c r="P45" s="84"/>
      <c r="Q45" s="116">
        <v>282</v>
      </c>
      <c r="R45" s="117">
        <v>88.790322580645167</v>
      </c>
      <c r="S45" s="117">
        <v>170</v>
      </c>
      <c r="T45" s="117">
        <v>457</v>
      </c>
      <c r="U45" s="118">
        <v>249.44758064516128</v>
      </c>
      <c r="V45" s="84"/>
      <c r="W45" s="116">
        <v>455</v>
      </c>
      <c r="X45" s="117">
        <v>687.9</v>
      </c>
      <c r="Y45" s="117">
        <v>1508</v>
      </c>
      <c r="Z45" s="117">
        <v>1936</v>
      </c>
      <c r="AA45" s="118">
        <v>1152</v>
      </c>
      <c r="AB45" s="84"/>
      <c r="AC45" s="116">
        <v>3026</v>
      </c>
      <c r="AD45" s="116">
        <v>4074.2096774193546</v>
      </c>
      <c r="AE45" s="116">
        <v>4074.2096774193546</v>
      </c>
      <c r="AF45" s="116">
        <v>4620.6610169491523</v>
      </c>
      <c r="AG45" s="116">
        <v>3834.1463414634145</v>
      </c>
      <c r="AI45" s="116">
        <v>5318.6101694915251</v>
      </c>
      <c r="AJ45" s="116">
        <v>7593.5079365079364</v>
      </c>
      <c r="AK45" s="116">
        <v>6455.6769230769232</v>
      </c>
      <c r="AL45" s="116">
        <v>7350.3934426229507</v>
      </c>
      <c r="AM45" s="116">
        <v>6694.2822580645161</v>
      </c>
      <c r="AO45" s="148">
        <v>5805.4426229508199</v>
      </c>
      <c r="AP45" s="148">
        <v>5145.1333333333332</v>
      </c>
      <c r="AQ45" s="148">
        <v>4700.9230769230771</v>
      </c>
      <c r="AR45" s="148">
        <v>7832.6612903225805</v>
      </c>
      <c r="AS45" s="116">
        <v>5863.0040322580644</v>
      </c>
      <c r="AU45" s="115">
        <v>4970.0327868852455</v>
      </c>
      <c r="AV45" s="148">
        <v>2238.9016393442621</v>
      </c>
      <c r="AW45" s="149">
        <v>2797.65625</v>
      </c>
      <c r="AX45" s="148">
        <v>3371.6166666666668</v>
      </c>
      <c r="AY45" s="148">
        <v>3337.7723577235774</v>
      </c>
      <c r="BA45" s="148">
        <v>1508.9833333333333</v>
      </c>
      <c r="BB45" s="148">
        <v>1904.5238095238096</v>
      </c>
      <c r="BC45" s="148">
        <v>1778</v>
      </c>
      <c r="BD45" s="148">
        <v>1462.7868852459017</v>
      </c>
      <c r="BE45" s="148">
        <v>1524.2048192771085</v>
      </c>
      <c r="BG45" s="148">
        <v>2355.0322580645161</v>
      </c>
      <c r="BH45" s="148">
        <v>1884.2786885245901</v>
      </c>
      <c r="BI45" s="148">
        <v>2308.5625</v>
      </c>
      <c r="BJ45" s="148">
        <v>2353.4576271186443</v>
      </c>
      <c r="BK45" s="148">
        <v>2225.8333333333335</v>
      </c>
      <c r="BM45" s="148">
        <v>2620</v>
      </c>
      <c r="BN45" s="148">
        <v>1783.3492063492063</v>
      </c>
      <c r="BO45" s="148">
        <v>1038.5079365079366</v>
      </c>
      <c r="BP45" s="148">
        <v>2080.5084745762711</v>
      </c>
      <c r="BQ45" s="148">
        <v>1868.2734693877551</v>
      </c>
      <c r="BS45" s="148">
        <v>2459.9166666666665</v>
      </c>
      <c r="BT45" s="148">
        <v>1601.241935483871</v>
      </c>
      <c r="BU45" s="148">
        <v>2407.0307692307692</v>
      </c>
      <c r="BV45" s="148">
        <v>6078.4098360655735</v>
      </c>
      <c r="BW45" s="148">
        <v>3121.4193548387098</v>
      </c>
      <c r="BY45" s="148">
        <v>9076.532258064517</v>
      </c>
      <c r="BZ45" s="148">
        <v>9255.6065573770484</v>
      </c>
      <c r="CA45" s="148">
        <v>7717.6307692307691</v>
      </c>
      <c r="CB45" s="148">
        <v>7717.6307692307691</v>
      </c>
      <c r="CC45" s="148">
        <v>8664.8031914893618</v>
      </c>
      <c r="CE45" s="148">
        <v>6099.65</v>
      </c>
      <c r="CF45" s="148">
        <v>5474.9193548387093</v>
      </c>
      <c r="CG45" s="148">
        <v>5980.09375</v>
      </c>
      <c r="CH45" s="148">
        <v>5138.3442622950815</v>
      </c>
      <c r="CI45" s="148">
        <v>5674.4493927125504</v>
      </c>
      <c r="CK45" s="148">
        <v>6073.6451612903229</v>
      </c>
    </row>
    <row r="46" spans="1:89">
      <c r="AW46" s="150"/>
      <c r="AX46" s="150"/>
      <c r="AY46" s="150"/>
      <c r="BA46" s="150"/>
      <c r="BB46" s="150"/>
      <c r="BC46" s="150"/>
      <c r="BD46" s="150"/>
      <c r="BE46" s="150"/>
    </row>
    <row r="47" spans="1:89">
      <c r="C47" s="104"/>
      <c r="D47" s="151"/>
      <c r="E47" s="104"/>
      <c r="F47" s="104"/>
      <c r="G47" s="104"/>
      <c r="H47" s="104"/>
      <c r="I47" s="104"/>
      <c r="J47" s="151"/>
      <c r="K47" s="104"/>
      <c r="L47" s="104"/>
      <c r="M47" s="104"/>
      <c r="N47" s="104"/>
      <c r="O47" s="104"/>
      <c r="P47" s="151"/>
      <c r="Q47" s="104"/>
      <c r="R47" s="104"/>
      <c r="S47" s="104"/>
      <c r="T47" s="104"/>
      <c r="U47" s="104"/>
      <c r="V47" s="151"/>
      <c r="W47" s="104"/>
      <c r="X47" s="104"/>
      <c r="Y47" s="104"/>
      <c r="Z47" s="104"/>
      <c r="AA47" s="104"/>
      <c r="AB47" s="151"/>
      <c r="AC47" s="104"/>
    </row>
    <row r="48" spans="1:89">
      <c r="C48" s="104"/>
      <c r="D48" s="151"/>
      <c r="E48" s="104"/>
      <c r="F48" s="104"/>
      <c r="G48" s="104"/>
      <c r="H48" s="104"/>
      <c r="I48" s="104"/>
      <c r="J48" s="151"/>
      <c r="K48" s="104"/>
      <c r="L48" s="104"/>
      <c r="M48" s="104"/>
      <c r="N48" s="104"/>
      <c r="O48" s="104"/>
      <c r="P48" s="151"/>
      <c r="Q48" s="104"/>
      <c r="R48" s="104"/>
      <c r="S48" s="104"/>
      <c r="T48" s="104"/>
      <c r="U48" s="104"/>
      <c r="V48" s="151"/>
      <c r="W48" s="104"/>
      <c r="X48" s="104"/>
      <c r="Y48" s="104"/>
      <c r="Z48" s="104"/>
      <c r="AA48" s="104"/>
      <c r="AB48" s="151"/>
      <c r="AC48" s="104"/>
    </row>
    <row r="49" spans="3:29">
      <c r="C49" s="104"/>
      <c r="D49" s="151"/>
      <c r="E49" s="104"/>
      <c r="F49" s="104"/>
      <c r="G49" s="104"/>
      <c r="H49" s="104"/>
      <c r="I49" s="104"/>
      <c r="J49" s="151"/>
      <c r="K49" s="104"/>
      <c r="L49" s="104"/>
      <c r="M49" s="104"/>
      <c r="N49" s="104"/>
      <c r="O49" s="104"/>
      <c r="P49" s="151"/>
      <c r="Q49" s="104"/>
      <c r="R49" s="104"/>
      <c r="S49" s="104"/>
      <c r="T49" s="104"/>
      <c r="U49" s="104"/>
      <c r="V49" s="151"/>
      <c r="W49" s="104"/>
      <c r="X49" s="104"/>
      <c r="Y49" s="104"/>
      <c r="Z49" s="104"/>
      <c r="AA49" s="104"/>
      <c r="AB49" s="151"/>
      <c r="AC49" s="104"/>
    </row>
    <row r="51" spans="3:29">
      <c r="C51" s="104"/>
      <c r="D51" s="151"/>
      <c r="E51" s="104"/>
      <c r="F51" s="104"/>
      <c r="G51" s="104"/>
      <c r="H51" s="104"/>
      <c r="K51" s="104"/>
      <c r="L51" s="104"/>
      <c r="M51" s="104"/>
      <c r="N51" s="104"/>
      <c r="Q51" s="104"/>
      <c r="R51" s="104"/>
      <c r="S51" s="104"/>
      <c r="T51" s="104"/>
      <c r="W51" s="104"/>
      <c r="X51" s="104"/>
      <c r="Y51" s="104"/>
      <c r="Z51" s="104"/>
    </row>
    <row r="52" spans="3:29">
      <c r="C52" s="104"/>
      <c r="D52" s="151"/>
      <c r="E52" s="104"/>
      <c r="F52" s="104"/>
      <c r="G52" s="104"/>
      <c r="H52" s="104"/>
      <c r="K52" s="104"/>
      <c r="L52" s="104"/>
      <c r="M52" s="104"/>
      <c r="N52" s="104"/>
      <c r="Q52" s="104"/>
      <c r="R52" s="104"/>
      <c r="S52" s="104"/>
      <c r="T52" s="104"/>
      <c r="W52" s="104"/>
      <c r="X52" s="104"/>
      <c r="Y52" s="104"/>
      <c r="Z52" s="104"/>
    </row>
    <row r="53" spans="3:29">
      <c r="C53" s="104"/>
      <c r="D53" s="151"/>
      <c r="E53" s="104"/>
      <c r="F53" s="104"/>
      <c r="G53" s="104"/>
      <c r="H53" s="104"/>
      <c r="K53" s="104"/>
      <c r="L53" s="104"/>
      <c r="M53" s="104"/>
      <c r="N53" s="104"/>
      <c r="Q53" s="104"/>
      <c r="R53" s="104"/>
      <c r="S53" s="104"/>
      <c r="T53" s="104"/>
      <c r="W53" s="104"/>
      <c r="X53" s="104"/>
      <c r="Y53" s="104"/>
      <c r="Z53" s="104"/>
    </row>
  </sheetData>
  <mergeCells count="11">
    <mergeCell ref="BG3:BK3"/>
    <mergeCell ref="BA3:BE3"/>
    <mergeCell ref="AU3:AY3"/>
    <mergeCell ref="A1:A2"/>
    <mergeCell ref="E3:I3"/>
    <mergeCell ref="K3:O3"/>
    <mergeCell ref="Q3:U3"/>
    <mergeCell ref="AO3:AS3"/>
    <mergeCell ref="AI3:AM3"/>
    <mergeCell ref="AC3:AG3"/>
    <mergeCell ref="W3:AA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W13:X13 Q13:T13 Z13 C13 E13:I13 K13:O13 AA13:AC13 AE13:AG13 AI13:AM13 AO13:AR13 AV13:AX13 BA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8C92E4C60B064BBF1553DDC71FF5C5" ma:contentTypeVersion="13" ma:contentTypeDescription="Crie um novo documento." ma:contentTypeScope="" ma:versionID="dd671dd3cc239b28112dea919d94f6b3">
  <xsd:schema xmlns:xsd="http://www.w3.org/2001/XMLSchema" xmlns:xs="http://www.w3.org/2001/XMLSchema" xmlns:p="http://schemas.microsoft.com/office/2006/metadata/properties" xmlns:ns2="3bca2e91-f5ec-4a7d-9a19-1ce09f22d666" xmlns:ns3="f6b07460-c32e-4315-bac5-6a5b6f4f3177" targetNamespace="http://schemas.microsoft.com/office/2006/metadata/properties" ma:root="true" ma:fieldsID="57c169a0a541c2f6062c8c5abfb4b009" ns2:_="" ns3:_="">
    <xsd:import namespace="3bca2e91-f5ec-4a7d-9a19-1ce09f22d666"/>
    <xsd:import namespace="f6b07460-c32e-4315-bac5-6a5b6f4f31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a2e91-f5ec-4a7d-9a19-1ce09f22d6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07460-c32e-4315-bac5-6a5b6f4f31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E752B-6574-4B42-9FAF-5B1C4BDFC25E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f6b07460-c32e-4315-bac5-6a5b6f4f3177"/>
    <ds:schemaRef ds:uri="http://schemas.openxmlformats.org/package/2006/metadata/core-properties"/>
    <ds:schemaRef ds:uri="http://schemas.microsoft.com/office/infopath/2007/PartnerControls"/>
    <ds:schemaRef ds:uri="3bca2e91-f5ec-4a7d-9a19-1ce09f22d6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73EC58-4883-4E16-9DBE-DAB5CAC3B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a2e91-f5ec-4a7d-9a19-1ce09f22d666"/>
    <ds:schemaRef ds:uri="f6b07460-c32e-4315-bac5-6a5b6f4f31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07F31D-0F7F-461F-83C1-2DB5D7306F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3</vt:i4>
      </vt:variant>
    </vt:vector>
  </HeadingPairs>
  <TitlesOfParts>
    <vt:vector size="14" baseType="lpstr">
      <vt:lpstr>DRE ITR</vt:lpstr>
      <vt:lpstr>DRE Release</vt:lpstr>
      <vt:lpstr>Balanço ITR</vt:lpstr>
      <vt:lpstr>Balanço Release</vt:lpstr>
      <vt:lpstr>Fluxo de Caixa ITR</vt:lpstr>
      <vt:lpstr>Fluxo de Caixa Release</vt:lpstr>
      <vt:lpstr>Portfolio 1T22</vt:lpstr>
      <vt:lpstr>Evolução Portfólio</vt:lpstr>
      <vt:lpstr>Indicadores</vt:lpstr>
      <vt:lpstr>Endividamento</vt:lpstr>
      <vt:lpstr>Aluguel Mesmas Propriedades</vt:lpstr>
      <vt:lpstr>'Balanço ITR'!Area_de_impressao</vt:lpstr>
      <vt:lpstr>'DRE ITR'!Area_de_impressao</vt:lpstr>
      <vt:lpstr>'Fluxo de Caixa ITR'!Area_de_impressao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Gabriel Barcelos de Oliveira</cp:lastModifiedBy>
  <cp:lastPrinted>2011-03-29T18:58:47Z</cp:lastPrinted>
  <dcterms:created xsi:type="dcterms:W3CDTF">2010-08-05T15:39:31Z</dcterms:created>
  <dcterms:modified xsi:type="dcterms:W3CDTF">2022-05-05T20:00:38Z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0x010100C78C92E4C60B064BBF1553DDC71FF5C5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