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Q:\Planejamento_RI\06. Modelo RI\01. Suporte a Modelagem\Versões do Site de RI\"/>
    </mc:Choice>
  </mc:AlternateContent>
  <xr:revisionPtr revIDLastSave="0" documentId="13_ncr:1_{F7767439-D152-42DF-886D-16EEF61DD613}" xr6:coauthVersionLast="47" xr6:coauthVersionMax="47" xr10:uidLastSave="{00000000-0000-0000-0000-000000000000}"/>
  <bookViews>
    <workbookView showSheetTabs="0" xWindow="-120" yWindow="-120" windowWidth="20730" windowHeight="11160" firstSheet="5" xr2:uid="{C2F4F8F2-F345-4E05-9E9E-985759A81914}"/>
  </bookViews>
  <sheets>
    <sheet name="Sumário" sheetId="33" r:id="rId1"/>
    <sheet name="Balanço Patrimonial" sheetId="53" r:id="rId2"/>
    <sheet name="DRE (resumida)" sheetId="54" r:id="rId3"/>
    <sheet name="DRE (detalhada)" sheetId="55" r:id="rId4"/>
    <sheet name="Fluxo de Caixa" sheetId="56" r:id="rId5"/>
    <sheet name="Imob e Intang" sheetId="57" r:id="rId6"/>
    <sheet name="Realização" sheetId="49" r:id="rId7"/>
    <sheet name="Lifting Cost" sheetId="40" r:id="rId8"/>
    <sheet name="Referências de Preço Petróleo" sheetId="10" r:id="rId9"/>
    <sheet name="Impostos" sheetId="58" r:id="rId10"/>
    <sheet name="QDC  Gás " sheetId="28" r:id="rId11"/>
    <sheet name="Tabela de Conversão" sheetId="44" r:id="rId12"/>
    <sheet name="Hedge" sheetId="51" r:id="rId13"/>
    <sheet name="Aquisições" sheetId="50" r:id="rId14"/>
    <sheet name="Produção WI" sheetId="18" r:id="rId15"/>
    <sheet name="Certificação de Reservas" sheetId="20" r:id="rId16"/>
    <sheet name="Receita" sheetId="52" r:id="rId17"/>
    <sheet name="Custos" sheetId="23" r:id="rId18"/>
    <sheet name="Opex" sheetId="21" r:id="rId19"/>
    <sheet name="Capex" sheetId="29" r:id="rId20"/>
  </sheets>
  <definedNames>
    <definedName name="_xlnm.Print_Area" localSheetId="7">'Lifting Cost'!$A$2:$E$24</definedName>
    <definedName name="_xlnm.Print_Area" localSheetId="0">Sumário!$A$1:$H$30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13" i="49" l="1"/>
  <c r="AO12" i="49"/>
  <c r="DD25" i="18" l="1"/>
  <c r="DD24" i="18"/>
  <c r="DD26" i="18" s="1"/>
  <c r="DD22" i="18"/>
  <c r="DC24" i="18"/>
  <c r="DC25" i="18"/>
  <c r="DC26" i="18"/>
  <c r="DD10" i="18"/>
  <c r="DD18" i="18" l="1"/>
  <c r="DD14" i="18"/>
  <c r="DB25" i="18"/>
  <c r="DB24" i="18"/>
  <c r="DB26" i="18"/>
  <c r="DC22" i="18"/>
  <c r="DC18" i="18"/>
  <c r="DC14" i="18"/>
  <c r="DB22" i="18"/>
  <c r="DB18" i="18"/>
  <c r="DB14" i="18"/>
  <c r="DB10" i="18" l="1"/>
  <c r="DC10" i="18" l="1"/>
  <c r="AO25" i="49" l="1"/>
  <c r="AO24" i="49"/>
  <c r="AM30" i="49"/>
  <c r="AO21" i="49"/>
  <c r="AO30" i="49" l="1"/>
  <c r="AM25" i="49"/>
  <c r="AM24" i="49"/>
  <c r="AM21" i="49" l="1"/>
  <c r="AO16" i="49" l="1"/>
  <c r="AO33" i="49" s="1"/>
  <c r="AO34" i="49" s="1"/>
  <c r="AM33" i="49"/>
  <c r="AG54" i="55" l="1"/>
  <c r="AH54" i="55" l="1"/>
  <c r="AF60" i="55"/>
  <c r="AF59" i="55"/>
  <c r="DA25" i="18" l="1"/>
  <c r="DA24" i="18"/>
  <c r="DA22" i="18"/>
  <c r="DA18" i="18"/>
  <c r="DA14" i="18"/>
  <c r="DA10" i="18"/>
  <c r="CZ25" i="18"/>
  <c r="CZ24" i="18"/>
  <c r="CZ26" i="18" s="1"/>
  <c r="CZ22" i="18"/>
  <c r="CZ18" i="18"/>
  <c r="CZ14" i="18"/>
  <c r="CZ10" i="18"/>
  <c r="DA26" i="18" l="1"/>
  <c r="R22" i="57" l="1"/>
  <c r="D48" i="57" l="1"/>
  <c r="L47" i="57"/>
  <c r="L46" i="57"/>
  <c r="L45" i="57"/>
  <c r="J48" i="57"/>
  <c r="H48" i="57"/>
  <c r="L44" i="57"/>
  <c r="L48" i="57" l="1"/>
  <c r="AD9" i="54" l="1"/>
  <c r="AD16" i="54"/>
  <c r="AD29" i="54"/>
  <c r="U30" i="53"/>
  <c r="U49" i="53"/>
  <c r="U64" i="53"/>
  <c r="U79" i="53"/>
  <c r="W4" i="53"/>
  <c r="X4" i="53"/>
  <c r="V4" i="53"/>
  <c r="AD18" i="54" l="1"/>
  <c r="AD23" i="54" s="1"/>
  <c r="AD31" i="54" s="1"/>
  <c r="U66" i="53"/>
  <c r="U81" i="53" s="1"/>
  <c r="CY25" i="18" l="1"/>
  <c r="CY24" i="18"/>
  <c r="CY22" i="18"/>
  <c r="CY18" i="18"/>
  <c r="CY14" i="18"/>
  <c r="CY10" i="18"/>
  <c r="V13" i="50"/>
  <c r="CY26" i="18" l="1"/>
  <c r="AG30" i="49"/>
  <c r="AG33" i="49" s="1"/>
  <c r="AG34" i="49" s="1"/>
  <c r="AG25" i="49" l="1"/>
  <c r="AG24" i="49"/>
  <c r="AC13" i="49"/>
  <c r="AE11" i="49"/>
  <c r="AE13" i="49" s="1"/>
  <c r="AG13" i="49"/>
  <c r="AC12" i="49"/>
  <c r="AE12" i="49" l="1"/>
  <c r="AG12" i="49"/>
  <c r="AG21" i="49" l="1"/>
  <c r="CX25" i="18" l="1"/>
  <c r="CX24" i="18"/>
  <c r="CX22" i="18"/>
  <c r="CX18" i="18"/>
  <c r="CX14" i="18"/>
  <c r="CX10" i="18"/>
  <c r="V11" i="50"/>
  <c r="V10" i="50"/>
  <c r="T15" i="50"/>
  <c r="R15" i="50"/>
  <c r="P15" i="50"/>
  <c r="N15" i="50"/>
  <c r="D11" i="50"/>
  <c r="D13" i="50"/>
  <c r="CX26" i="18" l="1"/>
  <c r="R72" i="56"/>
  <c r="Q72" i="56"/>
  <c r="P72" i="56"/>
  <c r="O72" i="56"/>
  <c r="N72" i="56"/>
  <c r="M72" i="56"/>
  <c r="L72" i="56"/>
  <c r="K72" i="56"/>
  <c r="J72" i="56"/>
  <c r="I72" i="56"/>
  <c r="H72" i="56"/>
  <c r="G72" i="56"/>
  <c r="F72" i="56"/>
  <c r="AD70" i="56"/>
  <c r="AC70" i="56"/>
  <c r="AC72" i="56" s="1"/>
  <c r="AB70" i="56"/>
  <c r="AB72" i="56" s="1"/>
  <c r="W70" i="56"/>
  <c r="S70" i="56"/>
  <c r="Z68" i="56"/>
  <c r="U68" i="56"/>
  <c r="AA67" i="56"/>
  <c r="AA70" i="56" s="1"/>
  <c r="Z67" i="56"/>
  <c r="Y67" i="56"/>
  <c r="Y70" i="56" s="1"/>
  <c r="X67" i="56"/>
  <c r="X70" i="56" s="1"/>
  <c r="V67" i="56"/>
  <c r="V70" i="56" s="1"/>
  <c r="U67" i="56"/>
  <c r="T67" i="56"/>
  <c r="T70" i="56" s="1"/>
  <c r="Z63" i="56"/>
  <c r="AD61" i="56"/>
  <c r="AA61" i="56"/>
  <c r="Y61" i="56"/>
  <c r="X61" i="56"/>
  <c r="W61" i="56"/>
  <c r="U61" i="56"/>
  <c r="R61" i="56"/>
  <c r="Z59" i="56"/>
  <c r="V59" i="56"/>
  <c r="S59" i="56"/>
  <c r="S61" i="56" s="1"/>
  <c r="Q59" i="56"/>
  <c r="Q61" i="56" s="1"/>
  <c r="P59" i="56"/>
  <c r="O59" i="56"/>
  <c r="Z57" i="56"/>
  <c r="Z56" i="56"/>
  <c r="Z55" i="56"/>
  <c r="I55" i="56"/>
  <c r="H55" i="56"/>
  <c r="G55" i="56"/>
  <c r="Z54" i="56"/>
  <c r="Z53" i="56"/>
  <c r="Z52" i="56"/>
  <c r="Z51" i="56"/>
  <c r="V51" i="56"/>
  <c r="V61" i="56" s="1"/>
  <c r="T51" i="56"/>
  <c r="T61" i="56" s="1"/>
  <c r="G51" i="56"/>
  <c r="AD46" i="56"/>
  <c r="AA46" i="56"/>
  <c r="Y46" i="56"/>
  <c r="X46" i="56"/>
  <c r="W46" i="56"/>
  <c r="V46" i="56"/>
  <c r="U46" i="56"/>
  <c r="Z44" i="56"/>
  <c r="T44" i="56"/>
  <c r="T46" i="56" s="1"/>
  <c r="S44" i="56"/>
  <c r="S46" i="56" s="1"/>
  <c r="R44" i="56"/>
  <c r="L44" i="56"/>
  <c r="G44" i="56"/>
  <c r="F44" i="56"/>
  <c r="Z43" i="56"/>
  <c r="Z42" i="56"/>
  <c r="AD38" i="56"/>
  <c r="Z36" i="56"/>
  <c r="Z34" i="56"/>
  <c r="Z33" i="56"/>
  <c r="Z31" i="56"/>
  <c r="F31" i="56"/>
  <c r="Z30" i="56"/>
  <c r="Z29" i="56"/>
  <c r="Z28" i="56"/>
  <c r="Z24" i="56"/>
  <c r="Z23" i="56"/>
  <c r="Z22" i="56"/>
  <c r="Q18" i="56"/>
  <c r="P18" i="56"/>
  <c r="L18" i="56"/>
  <c r="K18" i="56"/>
  <c r="G18" i="56"/>
  <c r="F18" i="56"/>
  <c r="Y12" i="56"/>
  <c r="Y38" i="56" s="1"/>
  <c r="X12" i="56"/>
  <c r="X38" i="56" s="1"/>
  <c r="W12" i="56"/>
  <c r="W38" i="56" s="1"/>
  <c r="V12" i="56"/>
  <c r="V38" i="56" s="1"/>
  <c r="U12" i="56"/>
  <c r="U38" i="56" s="1"/>
  <c r="T12" i="56"/>
  <c r="T38" i="56" s="1"/>
  <c r="S12" i="56"/>
  <c r="S38" i="56" s="1"/>
  <c r="R12" i="56"/>
  <c r="Q12" i="56"/>
  <c r="P12" i="56"/>
  <c r="O12" i="56"/>
  <c r="N12" i="56"/>
  <c r="M12" i="56"/>
  <c r="L12" i="56"/>
  <c r="K12" i="56"/>
  <c r="J12" i="56"/>
  <c r="I12" i="56"/>
  <c r="H12" i="56"/>
  <c r="G12" i="56"/>
  <c r="F12" i="56"/>
  <c r="AA38" i="56"/>
  <c r="U12" i="55"/>
  <c r="AA63" i="55"/>
  <c r="Z63" i="55"/>
  <c r="Y63" i="55"/>
  <c r="X63" i="55"/>
  <c r="W63" i="55"/>
  <c r="V63" i="55"/>
  <c r="U63" i="55"/>
  <c r="T63" i="55"/>
  <c r="AD63" i="55"/>
  <c r="AD54" i="55"/>
  <c r="AC54" i="55"/>
  <c r="AA54" i="55"/>
  <c r="Z54" i="55"/>
  <c r="Y54" i="55"/>
  <c r="X54" i="55"/>
  <c r="W54" i="55"/>
  <c r="V54" i="55"/>
  <c r="U54" i="55"/>
  <c r="T54" i="55"/>
  <c r="AB48" i="55"/>
  <c r="AB47" i="55"/>
  <c r="AB46" i="55"/>
  <c r="AB41" i="55"/>
  <c r="V39" i="55"/>
  <c r="U39" i="55"/>
  <c r="U43" i="55" s="1"/>
  <c r="T39" i="55"/>
  <c r="T43" i="55" s="1"/>
  <c r="AD37" i="55"/>
  <c r="AC37" i="55"/>
  <c r="AB37" i="55"/>
  <c r="AA37" i="55"/>
  <c r="Z37" i="55"/>
  <c r="Y37" i="55"/>
  <c r="X37" i="55"/>
  <c r="W37" i="55"/>
  <c r="AD21" i="55"/>
  <c r="AC20" i="55"/>
  <c r="AB20" i="55"/>
  <c r="Z20" i="55"/>
  <c r="X20" i="55"/>
  <c r="W20" i="55"/>
  <c r="V20" i="55"/>
  <c r="T20" i="55"/>
  <c r="S20" i="55"/>
  <c r="R20" i="55"/>
  <c r="AC19" i="55"/>
  <c r="AB19" i="55"/>
  <c r="Z19" i="55"/>
  <c r="X19" i="55"/>
  <c r="W19" i="55"/>
  <c r="V19" i="55"/>
  <c r="T19" i="55"/>
  <c r="S19" i="55"/>
  <c r="R19" i="55"/>
  <c r="AB17" i="55"/>
  <c r="Y17" i="55"/>
  <c r="X17" i="55"/>
  <c r="AD20" i="55"/>
  <c r="U15" i="55"/>
  <c r="U20" i="55" s="1"/>
  <c r="AD19" i="55"/>
  <c r="AA14" i="55"/>
  <c r="U14" i="55"/>
  <c r="U19" i="55" s="1"/>
  <c r="Y9" i="55"/>
  <c r="Z9" i="55" s="1"/>
  <c r="AD8" i="55"/>
  <c r="AD12" i="55" s="1"/>
  <c r="AC8" i="55"/>
  <c r="AC12" i="55" s="1"/>
  <c r="AC22" i="55" s="1"/>
  <c r="AB8" i="55"/>
  <c r="AB12" i="55" s="1"/>
  <c r="AA8" i="55"/>
  <c r="Z8" i="55"/>
  <c r="Y8" i="55"/>
  <c r="X8" i="55"/>
  <c r="X12" i="55" s="1"/>
  <c r="W8" i="55"/>
  <c r="W12" i="55" s="1"/>
  <c r="W22" i="55" s="1"/>
  <c r="V8" i="55"/>
  <c r="V12" i="55" s="1"/>
  <c r="T8" i="55"/>
  <c r="T12" i="55" s="1"/>
  <c r="AC29" i="54"/>
  <c r="AA29" i="54"/>
  <c r="Z29" i="54"/>
  <c r="Y29" i="54"/>
  <c r="X29" i="54"/>
  <c r="W29" i="54"/>
  <c r="V29" i="54"/>
  <c r="U29" i="54"/>
  <c r="T29" i="54"/>
  <c r="AB27" i="54"/>
  <c r="AC16" i="54"/>
  <c r="AA16" i="54"/>
  <c r="AB16" i="54" s="1"/>
  <c r="Z16" i="54"/>
  <c r="Y16" i="54"/>
  <c r="X16" i="54"/>
  <c r="W16" i="54"/>
  <c r="V16" i="54"/>
  <c r="U16" i="54"/>
  <c r="T16" i="54"/>
  <c r="AB14" i="54"/>
  <c r="AB13" i="54"/>
  <c r="AB12" i="54"/>
  <c r="AC9" i="54"/>
  <c r="AC18" i="54" s="1"/>
  <c r="AA9" i="54"/>
  <c r="Z9" i="54"/>
  <c r="Z18" i="54" s="1"/>
  <c r="Z23" i="54" s="1"/>
  <c r="Z31" i="54" s="1"/>
  <c r="Y9" i="54"/>
  <c r="X9" i="54"/>
  <c r="X18" i="54" s="1"/>
  <c r="X23" i="54" s="1"/>
  <c r="X31" i="54" s="1"/>
  <c r="W9" i="54"/>
  <c r="W18" i="54" s="1"/>
  <c r="W23" i="54" s="1"/>
  <c r="W31" i="54" s="1"/>
  <c r="V9" i="54"/>
  <c r="V18" i="54" s="1"/>
  <c r="V23" i="54" s="1"/>
  <c r="V31" i="54" s="1"/>
  <c r="U9" i="54"/>
  <c r="T9" i="54"/>
  <c r="AB7" i="54"/>
  <c r="AB6" i="54"/>
  <c r="M83" i="53"/>
  <c r="L83" i="53"/>
  <c r="K83" i="53"/>
  <c r="J83" i="53"/>
  <c r="I83" i="53"/>
  <c r="H83" i="53"/>
  <c r="G83" i="53"/>
  <c r="F83" i="53"/>
  <c r="T79" i="53"/>
  <c r="S79" i="53"/>
  <c r="R79" i="53"/>
  <c r="Q79" i="53"/>
  <c r="P79" i="53"/>
  <c r="O79" i="53"/>
  <c r="T64" i="53"/>
  <c r="S64" i="53"/>
  <c r="R64" i="53"/>
  <c r="Q64" i="53"/>
  <c r="P64" i="53"/>
  <c r="O64" i="53"/>
  <c r="N64" i="53"/>
  <c r="M64" i="53"/>
  <c r="L64" i="53"/>
  <c r="K64" i="53"/>
  <c r="J64" i="53"/>
  <c r="I64" i="53"/>
  <c r="H64" i="53"/>
  <c r="G64" i="53"/>
  <c r="F64" i="53"/>
  <c r="T49" i="53"/>
  <c r="S49" i="53"/>
  <c r="R49" i="53"/>
  <c r="Q49" i="53"/>
  <c r="P49" i="53"/>
  <c r="O49" i="53"/>
  <c r="T30" i="53"/>
  <c r="S30" i="53"/>
  <c r="R30" i="53"/>
  <c r="Q30" i="53"/>
  <c r="P30" i="53"/>
  <c r="O30" i="53"/>
  <c r="N30" i="53"/>
  <c r="U17" i="53"/>
  <c r="U32" i="53" s="1"/>
  <c r="T17" i="53"/>
  <c r="S17" i="53"/>
  <c r="S32" i="53" s="1"/>
  <c r="R17" i="53"/>
  <c r="R32" i="53" s="1"/>
  <c r="Q17" i="53"/>
  <c r="P17" i="53"/>
  <c r="P32" i="53" s="1"/>
  <c r="O17" i="53"/>
  <c r="O32" i="53" s="1"/>
  <c r="N17" i="53"/>
  <c r="N32" i="53" s="1"/>
  <c r="N83" i="53" s="1"/>
  <c r="I16" i="52"/>
  <c r="O16" i="52" s="1"/>
  <c r="X48" i="52"/>
  <c r="W48" i="52"/>
  <c r="V48" i="52"/>
  <c r="U48" i="52"/>
  <c r="F48" i="52"/>
  <c r="E48" i="52"/>
  <c r="D48" i="52"/>
  <c r="C48" i="52"/>
  <c r="AP46" i="52"/>
  <c r="AO46" i="52"/>
  <c r="AN46" i="52"/>
  <c r="AM46" i="52"/>
  <c r="AQ46" i="52" s="1"/>
  <c r="Y46" i="52"/>
  <c r="I46" i="52"/>
  <c r="O46" i="52" s="1"/>
  <c r="G46" i="52"/>
  <c r="AP45" i="52"/>
  <c r="AO45" i="52"/>
  <c r="AN45" i="52"/>
  <c r="AM45" i="52"/>
  <c r="Y45" i="52"/>
  <c r="I45" i="52"/>
  <c r="G45" i="52"/>
  <c r="AP44" i="52"/>
  <c r="AQ44" i="52" s="1"/>
  <c r="AO44" i="52"/>
  <c r="AN44" i="52"/>
  <c r="AM44" i="52"/>
  <c r="Y44" i="52"/>
  <c r="I44" i="52"/>
  <c r="O44" i="52" s="1"/>
  <c r="G44" i="52"/>
  <c r="AP43" i="52"/>
  <c r="AO43" i="52"/>
  <c r="AN43" i="52"/>
  <c r="AM43" i="52"/>
  <c r="Y43" i="52"/>
  <c r="I43" i="52"/>
  <c r="O43" i="52" s="1"/>
  <c r="G43" i="52"/>
  <c r="AP42" i="52"/>
  <c r="AO42" i="52"/>
  <c r="AN42" i="52"/>
  <c r="AM42" i="52"/>
  <c r="Y42" i="52"/>
  <c r="I42" i="52"/>
  <c r="O42" i="52" s="1"/>
  <c r="G42" i="52"/>
  <c r="AP41" i="52"/>
  <c r="AO41" i="52"/>
  <c r="AN41" i="52"/>
  <c r="AM41" i="52"/>
  <c r="Y41" i="52"/>
  <c r="I41" i="52"/>
  <c r="G41" i="52"/>
  <c r="AP40" i="52"/>
  <c r="AO40" i="52"/>
  <c r="AN40" i="52"/>
  <c r="AM40" i="52"/>
  <c r="AQ40" i="52" s="1"/>
  <c r="Y40" i="52"/>
  <c r="I40" i="52"/>
  <c r="O40" i="52" s="1"/>
  <c r="G40" i="52"/>
  <c r="AP39" i="52"/>
  <c r="AO39" i="52"/>
  <c r="AN39" i="52"/>
  <c r="AM39" i="52"/>
  <c r="AQ39" i="52" s="1"/>
  <c r="Y39" i="52"/>
  <c r="I39" i="52"/>
  <c r="O39" i="52" s="1"/>
  <c r="G39" i="52"/>
  <c r="AP38" i="52"/>
  <c r="AO38" i="52"/>
  <c r="AN38" i="52"/>
  <c r="AM38" i="52"/>
  <c r="AQ38" i="52" s="1"/>
  <c r="Y38" i="52"/>
  <c r="I38" i="52"/>
  <c r="O38" i="52" s="1"/>
  <c r="G38" i="52"/>
  <c r="AP37" i="52"/>
  <c r="AO37" i="52"/>
  <c r="AN37" i="52"/>
  <c r="AM37" i="52"/>
  <c r="AQ37" i="52" s="1"/>
  <c r="Y37" i="52"/>
  <c r="I37" i="52"/>
  <c r="G37" i="52"/>
  <c r="AP36" i="52"/>
  <c r="AO36" i="52"/>
  <c r="AN36" i="52"/>
  <c r="AM36" i="52"/>
  <c r="AQ36" i="52" s="1"/>
  <c r="Y36" i="52"/>
  <c r="I36" i="52"/>
  <c r="G36" i="52"/>
  <c r="AP35" i="52"/>
  <c r="AO35" i="52"/>
  <c r="AN35" i="52"/>
  <c r="AM35" i="52"/>
  <c r="AQ35" i="52" s="1"/>
  <c r="Y35" i="52"/>
  <c r="I35" i="52"/>
  <c r="O35" i="52" s="1"/>
  <c r="G35" i="52"/>
  <c r="AP34" i="52"/>
  <c r="AO34" i="52"/>
  <c r="AN34" i="52"/>
  <c r="AM34" i="52"/>
  <c r="AQ34" i="52" s="1"/>
  <c r="Y34" i="52"/>
  <c r="I34" i="52"/>
  <c r="O34" i="52" s="1"/>
  <c r="G34" i="52"/>
  <c r="AP33" i="52"/>
  <c r="AO33" i="52"/>
  <c r="AN33" i="52"/>
  <c r="AM33" i="52"/>
  <c r="AQ33" i="52" s="1"/>
  <c r="Y33" i="52"/>
  <c r="I33" i="52"/>
  <c r="G33" i="52"/>
  <c r="AP32" i="52"/>
  <c r="AO32" i="52"/>
  <c r="AN32" i="52"/>
  <c r="AM32" i="52"/>
  <c r="Y32" i="52"/>
  <c r="O32" i="52"/>
  <c r="I32" i="52"/>
  <c r="G32" i="52"/>
  <c r="AP31" i="52"/>
  <c r="AO31" i="52"/>
  <c r="AN31" i="52"/>
  <c r="AM31" i="52"/>
  <c r="AQ31" i="52" s="1"/>
  <c r="Y31" i="52"/>
  <c r="O31" i="52"/>
  <c r="I31" i="52"/>
  <c r="G31" i="52"/>
  <c r="AP30" i="52"/>
  <c r="AO30" i="52"/>
  <c r="AN30" i="52"/>
  <c r="AM30" i="52"/>
  <c r="Y30" i="52"/>
  <c r="I30" i="52"/>
  <c r="O30" i="52" s="1"/>
  <c r="G30" i="52"/>
  <c r="AP29" i="52"/>
  <c r="AO29" i="52"/>
  <c r="AN29" i="52"/>
  <c r="AM29" i="52"/>
  <c r="AQ29" i="52" s="1"/>
  <c r="Y29" i="52"/>
  <c r="I29" i="52"/>
  <c r="G29" i="52"/>
  <c r="A29" i="52"/>
  <c r="AP28" i="52"/>
  <c r="AO28" i="52"/>
  <c r="AN28" i="52"/>
  <c r="AM28" i="52"/>
  <c r="AQ28" i="52" s="1"/>
  <c r="Y28" i="52"/>
  <c r="I28" i="52"/>
  <c r="O28" i="52" s="1"/>
  <c r="G28" i="52"/>
  <c r="AP27" i="52"/>
  <c r="AO27" i="52"/>
  <c r="AN27" i="52"/>
  <c r="AM27" i="52"/>
  <c r="Y27" i="52"/>
  <c r="I27" i="52"/>
  <c r="O27" i="52" s="1"/>
  <c r="G27" i="52"/>
  <c r="AP26" i="52"/>
  <c r="AO26" i="52"/>
  <c r="AN26" i="52"/>
  <c r="AM26" i="52"/>
  <c r="AQ26" i="52" s="1"/>
  <c r="Y26" i="52"/>
  <c r="I26" i="52"/>
  <c r="G26" i="52"/>
  <c r="AP25" i="52"/>
  <c r="AO25" i="52"/>
  <c r="AN25" i="52"/>
  <c r="AM25" i="52"/>
  <c r="AQ25" i="52" s="1"/>
  <c r="Y25" i="52"/>
  <c r="I25" i="52"/>
  <c r="O25" i="52" s="1"/>
  <c r="G25" i="52"/>
  <c r="AP24" i="52"/>
  <c r="AO24" i="52"/>
  <c r="AN24" i="52"/>
  <c r="AM24" i="52"/>
  <c r="AQ24" i="52" s="1"/>
  <c r="Y24" i="52"/>
  <c r="I24" i="52"/>
  <c r="O24" i="52" s="1"/>
  <c r="G24" i="52"/>
  <c r="AP23" i="52"/>
  <c r="AO23" i="52"/>
  <c r="AN23" i="52"/>
  <c r="AM23" i="52"/>
  <c r="AQ23" i="52" s="1"/>
  <c r="Y23" i="52"/>
  <c r="I23" i="52"/>
  <c r="O23" i="52" s="1"/>
  <c r="G23" i="52"/>
  <c r="AP22" i="52"/>
  <c r="AO22" i="52"/>
  <c r="AN22" i="52"/>
  <c r="AM22" i="52"/>
  <c r="AQ22" i="52" s="1"/>
  <c r="Y22" i="52"/>
  <c r="I22" i="52"/>
  <c r="O22" i="52" s="1"/>
  <c r="G22" i="52"/>
  <c r="AP21" i="52"/>
  <c r="AO21" i="52"/>
  <c r="AN21" i="52"/>
  <c r="AM21" i="52"/>
  <c r="AQ21" i="52" s="1"/>
  <c r="Y21" i="52"/>
  <c r="I21" i="52"/>
  <c r="G21" i="52"/>
  <c r="AP20" i="52"/>
  <c r="AO20" i="52"/>
  <c r="AN20" i="52"/>
  <c r="AM20" i="52"/>
  <c r="Y20" i="52"/>
  <c r="I20" i="52"/>
  <c r="O20" i="52" s="1"/>
  <c r="G20" i="52"/>
  <c r="AP19" i="52"/>
  <c r="AO19" i="52"/>
  <c r="AN19" i="52"/>
  <c r="AM19" i="52"/>
  <c r="AQ19" i="52" s="1"/>
  <c r="Y19" i="52"/>
  <c r="O19" i="52"/>
  <c r="I19" i="52"/>
  <c r="G19" i="52"/>
  <c r="AP18" i="52"/>
  <c r="AO18" i="52"/>
  <c r="AN18" i="52"/>
  <c r="AM18" i="52"/>
  <c r="AQ18" i="52" s="1"/>
  <c r="Y18" i="52"/>
  <c r="I18" i="52"/>
  <c r="O18" i="52" s="1"/>
  <c r="G18" i="52"/>
  <c r="AP17" i="52"/>
  <c r="AO17" i="52"/>
  <c r="AN17" i="52"/>
  <c r="AM17" i="52"/>
  <c r="AQ17" i="52" s="1"/>
  <c r="Y17" i="52"/>
  <c r="I17" i="52"/>
  <c r="O17" i="52" s="1"/>
  <c r="G17" i="52"/>
  <c r="AP16" i="52"/>
  <c r="AO16" i="52"/>
  <c r="AN16" i="52"/>
  <c r="AM16" i="52"/>
  <c r="Y16" i="52"/>
  <c r="G16" i="52"/>
  <c r="L14" i="52"/>
  <c r="K14" i="52"/>
  <c r="AD13" i="52"/>
  <c r="AC13" i="52"/>
  <c r="AC25" i="52" s="1"/>
  <c r="AI25" i="52" s="1"/>
  <c r="AB13" i="52"/>
  <c r="AB29" i="52" s="1"/>
  <c r="AH29" i="52" s="1"/>
  <c r="AA13" i="52"/>
  <c r="AA33" i="52" s="1"/>
  <c r="L13" i="52"/>
  <c r="L33" i="52" s="1"/>
  <c r="R33" i="52" s="1"/>
  <c r="K13" i="52"/>
  <c r="K34" i="52" s="1"/>
  <c r="J13" i="52"/>
  <c r="J20" i="52" s="1"/>
  <c r="N44" i="23"/>
  <c r="L44" i="23"/>
  <c r="K44" i="23"/>
  <c r="G44" i="23"/>
  <c r="M44" i="23"/>
  <c r="E44" i="23"/>
  <c r="O44" i="23"/>
  <c r="V42" i="23"/>
  <c r="H44" i="23"/>
  <c r="D44" i="23"/>
  <c r="T42" i="23"/>
  <c r="Q42" i="23"/>
  <c r="U42" i="23"/>
  <c r="S42" i="23"/>
  <c r="R42" i="23"/>
  <c r="F44" i="23"/>
  <c r="U70" i="56" l="1"/>
  <c r="Z61" i="56"/>
  <c r="Z70" i="56"/>
  <c r="AB29" i="54"/>
  <c r="AA18" i="54"/>
  <c r="AA23" i="54" s="1"/>
  <c r="AA31" i="54" s="1"/>
  <c r="U18" i="54"/>
  <c r="U23" i="54" s="1"/>
  <c r="U31" i="54" s="1"/>
  <c r="Q32" i="53"/>
  <c r="O66" i="53"/>
  <c r="O81" i="53" s="1"/>
  <c r="O83" i="53" s="1"/>
  <c r="U56" i="55"/>
  <c r="U65" i="55" s="1"/>
  <c r="T56" i="55"/>
  <c r="AB22" i="55"/>
  <c r="AB39" i="55" s="1"/>
  <c r="AB43" i="55" s="1"/>
  <c r="S66" i="53"/>
  <c r="S81" i="53" s="1"/>
  <c r="S83" i="53" s="1"/>
  <c r="T65" i="56"/>
  <c r="T72" i="56" s="1"/>
  <c r="AD65" i="56"/>
  <c r="AD72" i="56" s="1"/>
  <c r="Y65" i="56"/>
  <c r="Y72" i="56" s="1"/>
  <c r="U65" i="56"/>
  <c r="U72" i="56" s="1"/>
  <c r="Z38" i="56"/>
  <c r="Z46" i="56"/>
  <c r="W65" i="56"/>
  <c r="W72" i="56" s="1"/>
  <c r="X65" i="56"/>
  <c r="X72" i="56" s="1"/>
  <c r="S65" i="56"/>
  <c r="S72" i="56" s="1"/>
  <c r="AA65" i="56"/>
  <c r="AA72" i="56" s="1"/>
  <c r="V65" i="56"/>
  <c r="V72" i="56" s="1"/>
  <c r="Y12" i="55"/>
  <c r="Y22" i="55" s="1"/>
  <c r="Y39" i="55" s="1"/>
  <c r="Y43" i="55" s="1"/>
  <c r="Y56" i="55" s="1"/>
  <c r="Y65" i="55" s="1"/>
  <c r="Z12" i="55"/>
  <c r="Z22" i="55" s="1"/>
  <c r="Z39" i="55" s="1"/>
  <c r="X22" i="55"/>
  <c r="X39" i="55" s="1"/>
  <c r="X43" i="55" s="1"/>
  <c r="T65" i="55"/>
  <c r="AC63" i="55"/>
  <c r="AB54" i="55"/>
  <c r="AB63" i="55"/>
  <c r="AD22" i="55"/>
  <c r="AD39" i="55" s="1"/>
  <c r="AC39" i="55"/>
  <c r="W39" i="55"/>
  <c r="V43" i="55"/>
  <c r="V56" i="55" s="1"/>
  <c r="V65" i="55" s="1"/>
  <c r="AA12" i="55"/>
  <c r="AA15" i="55"/>
  <c r="AA19" i="55"/>
  <c r="AB9" i="54"/>
  <c r="T18" i="54"/>
  <c r="T23" i="54" s="1"/>
  <c r="T31" i="54" s="1"/>
  <c r="Y18" i="54"/>
  <c r="Y23" i="54"/>
  <c r="AC23" i="54"/>
  <c r="AB18" i="54"/>
  <c r="T66" i="53"/>
  <c r="T81" i="53" s="1"/>
  <c r="R66" i="53"/>
  <c r="R81" i="53" s="1"/>
  <c r="R83" i="53" s="1"/>
  <c r="T32" i="53"/>
  <c r="P66" i="53"/>
  <c r="P81" i="53" s="1"/>
  <c r="P83" i="53" s="1"/>
  <c r="Q66" i="53"/>
  <c r="Q81" i="53" s="1"/>
  <c r="Q83" i="53" s="1"/>
  <c r="L34" i="52"/>
  <c r="AC19" i="52"/>
  <c r="AI19" i="52" s="1"/>
  <c r="L29" i="52"/>
  <c r="AB16" i="52"/>
  <c r="AB24" i="52"/>
  <c r="AH24" i="52" s="1"/>
  <c r="AA21" i="52"/>
  <c r="AG21" i="52" s="1"/>
  <c r="AQ20" i="52"/>
  <c r="AQ45" i="52"/>
  <c r="K18" i="52"/>
  <c r="Q18" i="52" s="1"/>
  <c r="AS21" i="52"/>
  <c r="J16" i="52"/>
  <c r="Y48" i="52"/>
  <c r="L21" i="52"/>
  <c r="R21" i="52" s="1"/>
  <c r="J23" i="52"/>
  <c r="P23" i="52" s="1"/>
  <c r="AQ41" i="52"/>
  <c r="AQ42" i="52"/>
  <c r="R34" i="52"/>
  <c r="AG33" i="52"/>
  <c r="P20" i="52"/>
  <c r="Q34" i="52"/>
  <c r="AD46" i="52"/>
  <c r="AJ46" i="52" s="1"/>
  <c r="AD38" i="52"/>
  <c r="AJ38" i="52" s="1"/>
  <c r="AD41" i="52"/>
  <c r="AJ41" i="52" s="1"/>
  <c r="AD33" i="52"/>
  <c r="AJ33" i="52" s="1"/>
  <c r="BB33" i="52" s="1"/>
  <c r="AD44" i="52"/>
  <c r="AJ44" i="52" s="1"/>
  <c r="AD36" i="52"/>
  <c r="AJ36" i="52" s="1"/>
  <c r="AD39" i="52"/>
  <c r="AJ39" i="52" s="1"/>
  <c r="AD31" i="52"/>
  <c r="AJ31" i="52" s="1"/>
  <c r="AD28" i="52"/>
  <c r="AJ28" i="52" s="1"/>
  <c r="AD42" i="52"/>
  <c r="AJ42" i="52" s="1"/>
  <c r="AD45" i="52"/>
  <c r="AJ45" i="52" s="1"/>
  <c r="AD37" i="52"/>
  <c r="AJ37" i="52" s="1"/>
  <c r="AD29" i="52"/>
  <c r="AJ29" i="52" s="1"/>
  <c r="AD26" i="52"/>
  <c r="AJ26" i="52" s="1"/>
  <c r="AD40" i="52"/>
  <c r="AJ40" i="52" s="1"/>
  <c r="AD32" i="52"/>
  <c r="AJ32" i="52" s="1"/>
  <c r="AC16" i="52"/>
  <c r="AM48" i="52"/>
  <c r="L18" i="52"/>
  <c r="AA18" i="52"/>
  <c r="AD19" i="52"/>
  <c r="AJ19" i="52" s="1"/>
  <c r="AB21" i="52"/>
  <c r="AH21" i="52" s="1"/>
  <c r="K23" i="52"/>
  <c r="AC24" i="52"/>
  <c r="AI24" i="52" s="1"/>
  <c r="AC28" i="52"/>
  <c r="AI28" i="52" s="1"/>
  <c r="AC31" i="52"/>
  <c r="AI31" i="52" s="1"/>
  <c r="AA42" i="52"/>
  <c r="AS45" i="52"/>
  <c r="J39" i="52"/>
  <c r="J42" i="52"/>
  <c r="J34" i="52"/>
  <c r="J45" i="52"/>
  <c r="J37" i="52"/>
  <c r="J29" i="52"/>
  <c r="J40" i="52"/>
  <c r="J32" i="52"/>
  <c r="M32" i="52" s="1"/>
  <c r="J43" i="52"/>
  <c r="J46" i="52"/>
  <c r="J38" i="52"/>
  <c r="J30" i="52"/>
  <c r="J27" i="52"/>
  <c r="J41" i="52"/>
  <c r="J33" i="52"/>
  <c r="AD16" i="52"/>
  <c r="AN48" i="52"/>
  <c r="J17" i="52"/>
  <c r="AB18" i="52"/>
  <c r="AH18" i="52" s="1"/>
  <c r="K20" i="52"/>
  <c r="O21" i="52"/>
  <c r="AC21" i="52"/>
  <c r="AI21" i="52" s="1"/>
  <c r="L23" i="52"/>
  <c r="AA23" i="52"/>
  <c r="AD24" i="52"/>
  <c r="AJ24" i="52" s="1"/>
  <c r="J25" i="52"/>
  <c r="AQ27" i="52"/>
  <c r="AQ30" i="52"/>
  <c r="AC35" i="52"/>
  <c r="AI35" i="52" s="1"/>
  <c r="K42" i="52"/>
  <c r="K45" i="52"/>
  <c r="K37" i="52"/>
  <c r="K29" i="52"/>
  <c r="K26" i="52"/>
  <c r="K40" i="52"/>
  <c r="K32" i="52"/>
  <c r="K43" i="52"/>
  <c r="K35" i="52"/>
  <c r="K46" i="52"/>
  <c r="K38" i="52"/>
  <c r="M38" i="52" s="1"/>
  <c r="K41" i="52"/>
  <c r="K33" i="52"/>
  <c r="K44" i="52"/>
  <c r="K36" i="52"/>
  <c r="G48" i="52"/>
  <c r="AO48" i="52"/>
  <c r="K17" i="52"/>
  <c r="AC18" i="52"/>
  <c r="AI18" i="52" s="1"/>
  <c r="L20" i="52"/>
  <c r="AA20" i="52"/>
  <c r="AD21" i="52"/>
  <c r="AJ21" i="52" s="1"/>
  <c r="BB21" i="52" s="1"/>
  <c r="J22" i="52"/>
  <c r="AB23" i="52"/>
  <c r="AH23" i="52" s="1"/>
  <c r="AZ23" i="52" s="1"/>
  <c r="K25" i="52"/>
  <c r="K27" i="52"/>
  <c r="K30" i="52"/>
  <c r="AB32" i="52"/>
  <c r="AH32" i="52" s="1"/>
  <c r="AD35" i="52"/>
  <c r="AJ35" i="52" s="1"/>
  <c r="L45" i="52"/>
  <c r="L37" i="52"/>
  <c r="L40" i="52"/>
  <c r="L32" i="52"/>
  <c r="L43" i="52"/>
  <c r="L35" i="52"/>
  <c r="L46" i="52"/>
  <c r="L38" i="52"/>
  <c r="L30" i="52"/>
  <c r="L27" i="52"/>
  <c r="L41" i="52"/>
  <c r="L44" i="52"/>
  <c r="L36" i="52"/>
  <c r="L39" i="52"/>
  <c r="L31" i="52"/>
  <c r="L28" i="52"/>
  <c r="I48" i="52"/>
  <c r="AP48" i="52"/>
  <c r="L17" i="52"/>
  <c r="AA17" i="52"/>
  <c r="AD18" i="52"/>
  <c r="AJ18" i="52" s="1"/>
  <c r="J19" i="52"/>
  <c r="M20" i="52"/>
  <c r="AB20" i="52"/>
  <c r="AH20" i="52" s="1"/>
  <c r="AE21" i="52"/>
  <c r="K22" i="52"/>
  <c r="AC23" i="52"/>
  <c r="AI23" i="52" s="1"/>
  <c r="L25" i="52"/>
  <c r="M25" i="52" s="1"/>
  <c r="AA25" i="52"/>
  <c r="AA26" i="52"/>
  <c r="AS26" i="52" s="1"/>
  <c r="J28" i="52"/>
  <c r="AA29" i="52"/>
  <c r="J31" i="52"/>
  <c r="AC32" i="52"/>
  <c r="AI32" i="52" s="1"/>
  <c r="AB36" i="52"/>
  <c r="AH36" i="52" s="1"/>
  <c r="AB37" i="52"/>
  <c r="AH37" i="52" s="1"/>
  <c r="O41" i="52"/>
  <c r="AB45" i="52"/>
  <c r="AH45" i="52" s="1"/>
  <c r="AA45" i="52"/>
  <c r="AA37" i="52"/>
  <c r="AS37" i="52" s="1"/>
  <c r="AA40" i="52"/>
  <c r="AA32" i="52"/>
  <c r="AA43" i="52"/>
  <c r="AS43" i="52" s="1"/>
  <c r="AA35" i="52"/>
  <c r="AS35" i="52" s="1"/>
  <c r="AA46" i="52"/>
  <c r="AA38" i="52"/>
  <c r="AA30" i="52"/>
  <c r="AA27" i="52"/>
  <c r="AA41" i="52"/>
  <c r="AA44" i="52"/>
  <c r="AA36" i="52"/>
  <c r="AA39" i="52"/>
  <c r="AA31" i="52"/>
  <c r="AA28" i="52"/>
  <c r="AH16" i="52"/>
  <c r="AQ16" i="52"/>
  <c r="AB17" i="52"/>
  <c r="AH17" i="52" s="1"/>
  <c r="K19" i="52"/>
  <c r="AC20" i="52"/>
  <c r="AI20" i="52" s="1"/>
  <c r="L22" i="52"/>
  <c r="AA22" i="52"/>
  <c r="AS22" i="52" s="1"/>
  <c r="AD23" i="52"/>
  <c r="AJ23" i="52" s="1"/>
  <c r="J24" i="52"/>
  <c r="AB25" i="52"/>
  <c r="AH25" i="52" s="1"/>
  <c r="AB26" i="52"/>
  <c r="AH26" i="52" s="1"/>
  <c r="K28" i="52"/>
  <c r="K31" i="52"/>
  <c r="J35" i="52"/>
  <c r="AC40" i="52"/>
  <c r="AI40" i="52" s="1"/>
  <c r="AB40" i="52"/>
  <c r="AH40" i="52" s="1"/>
  <c r="AB43" i="52"/>
  <c r="AH43" i="52" s="1"/>
  <c r="AB35" i="52"/>
  <c r="AH35" i="52" s="1"/>
  <c r="AB46" i="52"/>
  <c r="AH46" i="52" s="1"/>
  <c r="AB38" i="52"/>
  <c r="AH38" i="52" s="1"/>
  <c r="AB30" i="52"/>
  <c r="AH30" i="52" s="1"/>
  <c r="AB27" i="52"/>
  <c r="AH27" i="52" s="1"/>
  <c r="AB41" i="52"/>
  <c r="AH41" i="52" s="1"/>
  <c r="AB33" i="52"/>
  <c r="AH33" i="52" s="1"/>
  <c r="AB44" i="52"/>
  <c r="AH44" i="52" s="1"/>
  <c r="AB39" i="52"/>
  <c r="AH39" i="52" s="1"/>
  <c r="AB31" i="52"/>
  <c r="AH31" i="52" s="1"/>
  <c r="AB28" i="52"/>
  <c r="AH28" i="52" s="1"/>
  <c r="AB42" i="52"/>
  <c r="AH42" i="52" s="1"/>
  <c r="AB34" i="52"/>
  <c r="AH34" i="52" s="1"/>
  <c r="K16" i="52"/>
  <c r="AC17" i="52"/>
  <c r="AI17" i="52" s="1"/>
  <c r="L19" i="52"/>
  <c r="AA19" i="52"/>
  <c r="AS19" i="52" s="1"/>
  <c r="AD20" i="52"/>
  <c r="AJ20" i="52" s="1"/>
  <c r="J21" i="52"/>
  <c r="AB22" i="52"/>
  <c r="AH22" i="52" s="1"/>
  <c r="K24" i="52"/>
  <c r="J26" i="52"/>
  <c r="AS32" i="52"/>
  <c r="AA34" i="52"/>
  <c r="O36" i="52"/>
  <c r="AS36" i="52"/>
  <c r="AD43" i="52"/>
  <c r="AJ43" i="52" s="1"/>
  <c r="J44" i="52"/>
  <c r="AD22" i="52"/>
  <c r="AJ22" i="52" s="1"/>
  <c r="R29" i="52"/>
  <c r="BB29" i="52" s="1"/>
  <c r="AV29" i="52"/>
  <c r="AC43" i="52"/>
  <c r="AI43" i="52" s="1"/>
  <c r="AC46" i="52"/>
  <c r="AI46" i="52" s="1"/>
  <c r="AC38" i="52"/>
  <c r="AI38" i="52" s="1"/>
  <c r="AC30" i="52"/>
  <c r="AI30" i="52" s="1"/>
  <c r="AC27" i="52"/>
  <c r="AI27" i="52" s="1"/>
  <c r="AC41" i="52"/>
  <c r="AI41" i="52" s="1"/>
  <c r="AC33" i="52"/>
  <c r="AI33" i="52" s="1"/>
  <c r="AC44" i="52"/>
  <c r="AI44" i="52" s="1"/>
  <c r="AC36" i="52"/>
  <c r="AI36" i="52" s="1"/>
  <c r="AC39" i="52"/>
  <c r="AI39" i="52" s="1"/>
  <c r="AC42" i="52"/>
  <c r="AI42" i="52" s="1"/>
  <c r="AC34" i="52"/>
  <c r="AI34" i="52" s="1"/>
  <c r="AC45" i="52"/>
  <c r="AI45" i="52" s="1"/>
  <c r="AC37" i="52"/>
  <c r="AI37" i="52" s="1"/>
  <c r="AC29" i="52"/>
  <c r="AI29" i="52" s="1"/>
  <c r="AC26" i="52"/>
  <c r="AI26" i="52" s="1"/>
  <c r="L16" i="52"/>
  <c r="AA16" i="52"/>
  <c r="AD17" i="52"/>
  <c r="AJ17" i="52" s="1"/>
  <c r="J18" i="52"/>
  <c r="AB19" i="52"/>
  <c r="AH19" i="52" s="1"/>
  <c r="K21" i="52"/>
  <c r="AC22" i="52"/>
  <c r="AI22" i="52" s="1"/>
  <c r="L24" i="52"/>
  <c r="AA24" i="52"/>
  <c r="AS24" i="52" s="1"/>
  <c r="AD25" i="52"/>
  <c r="AJ25" i="52" s="1"/>
  <c r="L26" i="52"/>
  <c r="AD27" i="52"/>
  <c r="AJ27" i="52" s="1"/>
  <c r="AD30" i="52"/>
  <c r="AJ30" i="52" s="1"/>
  <c r="AQ32" i="52"/>
  <c r="O33" i="52"/>
  <c r="AS33" i="52"/>
  <c r="AD34" i="52"/>
  <c r="AJ34" i="52" s="1"/>
  <c r="J36" i="52"/>
  <c r="K39" i="52"/>
  <c r="L42" i="52"/>
  <c r="AQ43" i="52"/>
  <c r="O26" i="52"/>
  <c r="O29" i="52"/>
  <c r="M34" i="52"/>
  <c r="O37" i="52"/>
  <c r="M42" i="52"/>
  <c r="AS44" i="52"/>
  <c r="O45" i="52"/>
  <c r="M46" i="52"/>
  <c r="V11" i="23"/>
  <c r="T83" i="53" l="1"/>
  <c r="Z65" i="56"/>
  <c r="Z72" i="56" s="1"/>
  <c r="U83" i="53"/>
  <c r="AB56" i="55"/>
  <c r="AB65" i="55" s="1"/>
  <c r="AA22" i="55"/>
  <c r="AD43" i="55"/>
  <c r="AD56" i="55" s="1"/>
  <c r="AD65" i="55" s="1"/>
  <c r="W43" i="55"/>
  <c r="W56" i="55" s="1"/>
  <c r="W65" i="55" s="1"/>
  <c r="AA20" i="55"/>
  <c r="AC43" i="55"/>
  <c r="AC56" i="55" s="1"/>
  <c r="AC65" i="55" s="1"/>
  <c r="Z43" i="55"/>
  <c r="X56" i="55"/>
  <c r="X65" i="55" s="1"/>
  <c r="AB23" i="54"/>
  <c r="AC31" i="54"/>
  <c r="AB31" i="54" s="1"/>
  <c r="Y31" i="54"/>
  <c r="M35" i="52"/>
  <c r="M27" i="52"/>
  <c r="M17" i="52"/>
  <c r="M33" i="52"/>
  <c r="M44" i="52"/>
  <c r="O48" i="52"/>
  <c r="M16" i="52"/>
  <c r="BA18" i="52"/>
  <c r="AK21" i="52"/>
  <c r="M22" i="52"/>
  <c r="AU34" i="52"/>
  <c r="AV33" i="52"/>
  <c r="BA34" i="52"/>
  <c r="M39" i="52"/>
  <c r="Q31" i="52"/>
  <c r="BA31" i="52" s="1"/>
  <c r="AU31" i="52"/>
  <c r="AV30" i="52"/>
  <c r="R30" i="52"/>
  <c r="BB30" i="52" s="1"/>
  <c r="AG27" i="52"/>
  <c r="AS27" i="52"/>
  <c r="AE27" i="52"/>
  <c r="AV38" i="52"/>
  <c r="R38" i="52"/>
  <c r="BB38" i="52" s="1"/>
  <c r="Q36" i="52"/>
  <c r="BA36" i="52" s="1"/>
  <c r="AU36" i="52"/>
  <c r="AT32" i="52"/>
  <c r="P32" i="52"/>
  <c r="Q23" i="52"/>
  <c r="AU23" i="52"/>
  <c r="Q39" i="52"/>
  <c r="BA39" i="52" s="1"/>
  <c r="AU39" i="52"/>
  <c r="R24" i="52"/>
  <c r="BB24" i="52" s="1"/>
  <c r="AV24" i="52"/>
  <c r="AV19" i="52"/>
  <c r="R19" i="52"/>
  <c r="BB19" i="52" s="1"/>
  <c r="J48" i="52"/>
  <c r="AT16" i="52"/>
  <c r="P16" i="52"/>
  <c r="AG30" i="52"/>
  <c r="AS30" i="52"/>
  <c r="AE30" i="52"/>
  <c r="AG45" i="52"/>
  <c r="AK45" i="52" s="1"/>
  <c r="AE45" i="52"/>
  <c r="AG26" i="52"/>
  <c r="AK26" i="52" s="1"/>
  <c r="AE26" i="52"/>
  <c r="R31" i="52"/>
  <c r="BB31" i="52" s="1"/>
  <c r="AV31" i="52"/>
  <c r="AV46" i="52"/>
  <c r="R46" i="52"/>
  <c r="BB46" i="52" s="1"/>
  <c r="AU27" i="52"/>
  <c r="Q27" i="52"/>
  <c r="BA27" i="52" s="1"/>
  <c r="AE20" i="52"/>
  <c r="AG20" i="52"/>
  <c r="Q44" i="52"/>
  <c r="BA44" i="52" s="1"/>
  <c r="AU44" i="52"/>
  <c r="AU40" i="52"/>
  <c r="Q40" i="52"/>
  <c r="BA40" i="52" s="1"/>
  <c r="AB48" i="52"/>
  <c r="P25" i="52"/>
  <c r="AT25" i="52"/>
  <c r="AS20" i="52"/>
  <c r="P33" i="52"/>
  <c r="AZ33" i="52" s="1"/>
  <c r="AT33" i="52"/>
  <c r="AT40" i="52"/>
  <c r="P40" i="52"/>
  <c r="AS42" i="52"/>
  <c r="AG42" i="52"/>
  <c r="AE42" i="52"/>
  <c r="AA48" i="52"/>
  <c r="AG16" i="52"/>
  <c r="AE16" i="52"/>
  <c r="AG29" i="52"/>
  <c r="AK29" i="52" s="1"/>
  <c r="AE29" i="52"/>
  <c r="R42" i="52"/>
  <c r="BB42" i="52" s="1"/>
  <c r="AV42" i="52"/>
  <c r="AV22" i="52"/>
  <c r="R22" i="52"/>
  <c r="BB22" i="52" s="1"/>
  <c r="Q32" i="52"/>
  <c r="BA32" i="52" s="1"/>
  <c r="AU32" i="52"/>
  <c r="P36" i="52"/>
  <c r="AZ36" i="52" s="1"/>
  <c r="AT36" i="52"/>
  <c r="M36" i="52"/>
  <c r="AT26" i="52"/>
  <c r="M26" i="52"/>
  <c r="P26" i="52"/>
  <c r="AZ26" i="52" s="1"/>
  <c r="AG28" i="52"/>
  <c r="AE28" i="52"/>
  <c r="AS28" i="52"/>
  <c r="AS38" i="52"/>
  <c r="AG38" i="52"/>
  <c r="AE38" i="52"/>
  <c r="AE25" i="52"/>
  <c r="AG25" i="52"/>
  <c r="AT19" i="52"/>
  <c r="P19" i="52"/>
  <c r="R39" i="52"/>
  <c r="BB39" i="52" s="1"/>
  <c r="AV39" i="52"/>
  <c r="R35" i="52"/>
  <c r="BB35" i="52" s="1"/>
  <c r="AV35" i="52"/>
  <c r="AS25" i="52"/>
  <c r="AV20" i="52"/>
  <c r="R20" i="52"/>
  <c r="BB20" i="52" s="1"/>
  <c r="AU33" i="52"/>
  <c r="Q33" i="52"/>
  <c r="BA33" i="52" s="1"/>
  <c r="AU26" i="52"/>
  <c r="Q26" i="52"/>
  <c r="BA26" i="52" s="1"/>
  <c r="Q20" i="52"/>
  <c r="BA20" i="52" s="1"/>
  <c r="AU20" i="52"/>
  <c r="P41" i="52"/>
  <c r="AZ41" i="52" s="1"/>
  <c r="AT41" i="52"/>
  <c r="P29" i="52"/>
  <c r="AZ29" i="52" s="1"/>
  <c r="AT29" i="52"/>
  <c r="M29" i="52"/>
  <c r="AG40" i="52"/>
  <c r="AE40" i="52"/>
  <c r="R45" i="52"/>
  <c r="BB45" i="52" s="1"/>
  <c r="AV45" i="52"/>
  <c r="AG19" i="52"/>
  <c r="AE19" i="52"/>
  <c r="AG37" i="52"/>
  <c r="AK37" i="52" s="1"/>
  <c r="AE37" i="52"/>
  <c r="AS29" i="52"/>
  <c r="Q24" i="52"/>
  <c r="BA24" i="52" s="1"/>
  <c r="AU24" i="52"/>
  <c r="AS16" i="52"/>
  <c r="AU19" i="52"/>
  <c r="Q19" i="52"/>
  <c r="BA19" i="52" s="1"/>
  <c r="AG31" i="52"/>
  <c r="AE31" i="52"/>
  <c r="AS31" i="52"/>
  <c r="AS46" i="52"/>
  <c r="AG46" i="52"/>
  <c r="AE46" i="52"/>
  <c r="AV25" i="52"/>
  <c r="R25" i="52"/>
  <c r="BB25" i="52" s="1"/>
  <c r="AV36" i="52"/>
  <c r="AW36" i="52" s="1"/>
  <c r="R36" i="52"/>
  <c r="BB36" i="52" s="1"/>
  <c r="AV43" i="52"/>
  <c r="R43" i="52"/>
  <c r="BB43" i="52" s="1"/>
  <c r="Q25" i="52"/>
  <c r="BA25" i="52" s="1"/>
  <c r="AU25" i="52"/>
  <c r="Q41" i="52"/>
  <c r="BA41" i="52" s="1"/>
  <c r="AU41" i="52"/>
  <c r="AU29" i="52"/>
  <c r="Q29" i="52"/>
  <c r="BA29" i="52" s="1"/>
  <c r="M40" i="52"/>
  <c r="AT23" i="52"/>
  <c r="AT27" i="52"/>
  <c r="P27" i="52"/>
  <c r="AT37" i="52"/>
  <c r="P37" i="52"/>
  <c r="AZ37" i="52" s="1"/>
  <c r="M37" i="52"/>
  <c r="AG18" i="52"/>
  <c r="AE18" i="52"/>
  <c r="AS18" i="52"/>
  <c r="AE33" i="52"/>
  <c r="AE41" i="52"/>
  <c r="AG41" i="52"/>
  <c r="AK41" i="52" s="1"/>
  <c r="AU30" i="52"/>
  <c r="Q30" i="52"/>
  <c r="BA30" i="52" s="1"/>
  <c r="AU43" i="52"/>
  <c r="Q43" i="52"/>
  <c r="BA43" i="52" s="1"/>
  <c r="P39" i="52"/>
  <c r="AT39" i="52"/>
  <c r="AG24" i="52"/>
  <c r="AE24" i="52"/>
  <c r="P28" i="52"/>
  <c r="AT28" i="52"/>
  <c r="M28" i="52"/>
  <c r="AD48" i="52"/>
  <c r="AJ16" i="52"/>
  <c r="AJ48" i="52" s="1"/>
  <c r="M30" i="52"/>
  <c r="Q21" i="52"/>
  <c r="BA21" i="52" s="1"/>
  <c r="AU21" i="52"/>
  <c r="AY26" i="52"/>
  <c r="K48" i="52"/>
  <c r="AU16" i="52"/>
  <c r="Q16" i="52"/>
  <c r="AG39" i="52"/>
  <c r="AE39" i="52"/>
  <c r="AS39" i="52"/>
  <c r="AG35" i="52"/>
  <c r="AE35" i="52"/>
  <c r="AE17" i="52"/>
  <c r="AG17" i="52"/>
  <c r="R44" i="52"/>
  <c r="BB44" i="52" s="1"/>
  <c r="AV44" i="52"/>
  <c r="AV32" i="52"/>
  <c r="R32" i="52"/>
  <c r="BB32" i="52" s="1"/>
  <c r="AS17" i="52"/>
  <c r="AU38" i="52"/>
  <c r="Q38" i="52"/>
  <c r="BA38" i="52" s="1"/>
  <c r="Q37" i="52"/>
  <c r="BA37" i="52" s="1"/>
  <c r="AU37" i="52"/>
  <c r="AG23" i="52"/>
  <c r="AE23" i="52"/>
  <c r="AS23" i="52"/>
  <c r="AU18" i="52"/>
  <c r="AT30" i="52"/>
  <c r="P30" i="52"/>
  <c r="AT45" i="52"/>
  <c r="P45" i="52"/>
  <c r="AZ45" i="52" s="1"/>
  <c r="M45" i="52"/>
  <c r="R18" i="52"/>
  <c r="BB18" i="52" s="1"/>
  <c r="AV18" i="52"/>
  <c r="AT20" i="52"/>
  <c r="M19" i="52"/>
  <c r="AK33" i="52"/>
  <c r="AQ48" i="52"/>
  <c r="M43" i="52"/>
  <c r="AT43" i="52"/>
  <c r="AW43" i="52" s="1"/>
  <c r="P43" i="52"/>
  <c r="L48" i="52"/>
  <c r="R16" i="52"/>
  <c r="AV16" i="52"/>
  <c r="Q28" i="52"/>
  <c r="BA28" i="52" s="1"/>
  <c r="AU28" i="52"/>
  <c r="AY21" i="52"/>
  <c r="P18" i="52"/>
  <c r="M18" i="52"/>
  <c r="AT18" i="52"/>
  <c r="AT24" i="52"/>
  <c r="P24" i="52"/>
  <c r="M24" i="52"/>
  <c r="AE36" i="52"/>
  <c r="AG36" i="52"/>
  <c r="AK36" i="52" s="1"/>
  <c r="AG43" i="52"/>
  <c r="AE43" i="52"/>
  <c r="AS41" i="52"/>
  <c r="AV17" i="52"/>
  <c r="R17" i="52"/>
  <c r="BB17" i="52" s="1"/>
  <c r="AV41" i="52"/>
  <c r="R41" i="52"/>
  <c r="BB41" i="52" s="1"/>
  <c r="R40" i="52"/>
  <c r="BB40" i="52" s="1"/>
  <c r="AV40" i="52"/>
  <c r="Q17" i="52"/>
  <c r="BA17" i="52" s="1"/>
  <c r="AU17" i="52"/>
  <c r="AU46" i="52"/>
  <c r="Q46" i="52"/>
  <c r="BA46" i="52" s="1"/>
  <c r="Q45" i="52"/>
  <c r="BA45" i="52" s="1"/>
  <c r="AU45" i="52"/>
  <c r="R23" i="52"/>
  <c r="BB23" i="52" s="1"/>
  <c r="AV23" i="52"/>
  <c r="P38" i="52"/>
  <c r="AT38" i="52"/>
  <c r="AT34" i="52"/>
  <c r="P34" i="52"/>
  <c r="AZ20" i="52"/>
  <c r="AV34" i="52"/>
  <c r="AG22" i="52"/>
  <c r="AE22" i="52"/>
  <c r="AT22" i="52"/>
  <c r="P22" i="52"/>
  <c r="AH48" i="52"/>
  <c r="R28" i="52"/>
  <c r="BB28" i="52" s="1"/>
  <c r="AV28" i="52"/>
  <c r="AS40" i="52"/>
  <c r="AY33" i="52"/>
  <c r="R26" i="52"/>
  <c r="BB26" i="52" s="1"/>
  <c r="AV26" i="52"/>
  <c r="P44" i="52"/>
  <c r="AT44" i="52"/>
  <c r="AW44" i="52" s="1"/>
  <c r="AG34" i="52"/>
  <c r="AE34" i="52"/>
  <c r="AS34" i="52"/>
  <c r="AT21" i="52"/>
  <c r="P21" i="52"/>
  <c r="AZ21" i="52" s="1"/>
  <c r="M21" i="52"/>
  <c r="AT35" i="52"/>
  <c r="AW35" i="52" s="1"/>
  <c r="P35" i="52"/>
  <c r="AG44" i="52"/>
  <c r="AE44" i="52"/>
  <c r="AE32" i="52"/>
  <c r="AG32" i="52"/>
  <c r="M41" i="52"/>
  <c r="P31" i="52"/>
  <c r="AT31" i="52"/>
  <c r="AU22" i="52"/>
  <c r="Q22" i="52"/>
  <c r="BA22" i="52" s="1"/>
  <c r="AV27" i="52"/>
  <c r="R27" i="52"/>
  <c r="BB27" i="52" s="1"/>
  <c r="R37" i="52"/>
  <c r="BB37" i="52" s="1"/>
  <c r="AV37" i="52"/>
  <c r="M31" i="52"/>
  <c r="M23" i="52"/>
  <c r="AU35" i="52"/>
  <c r="Q35" i="52"/>
  <c r="BA35" i="52" s="1"/>
  <c r="Q42" i="52"/>
  <c r="BA42" i="52" s="1"/>
  <c r="AU42" i="52"/>
  <c r="AV21" i="52"/>
  <c r="P17" i="52"/>
  <c r="AT17" i="52"/>
  <c r="P46" i="52"/>
  <c r="AT46" i="52"/>
  <c r="P42" i="52"/>
  <c r="AT42" i="52"/>
  <c r="AC48" i="52"/>
  <c r="AI16" i="52"/>
  <c r="AI48" i="52" s="1"/>
  <c r="BB34" i="52"/>
  <c r="Q16" i="23"/>
  <c r="Q17" i="23"/>
  <c r="Q25" i="23"/>
  <c r="Q32" i="23"/>
  <c r="Q33" i="23"/>
  <c r="Q40" i="23"/>
  <c r="Q28" i="23"/>
  <c r="R12" i="23"/>
  <c r="S12" i="23"/>
  <c r="T12" i="23"/>
  <c r="U12" i="23"/>
  <c r="V12" i="23"/>
  <c r="Q13" i="23"/>
  <c r="R13" i="23"/>
  <c r="S13" i="23"/>
  <c r="T13" i="23"/>
  <c r="U13" i="23"/>
  <c r="V13" i="23"/>
  <c r="Q14" i="23"/>
  <c r="R14" i="23"/>
  <c r="S14" i="23"/>
  <c r="T14" i="23"/>
  <c r="U14" i="23"/>
  <c r="V14" i="23"/>
  <c r="Q15" i="23"/>
  <c r="R15" i="23"/>
  <c r="S15" i="23"/>
  <c r="T15" i="23"/>
  <c r="U15" i="23"/>
  <c r="V15" i="23"/>
  <c r="R16" i="23"/>
  <c r="S16" i="23"/>
  <c r="T16" i="23"/>
  <c r="U16" i="23"/>
  <c r="V16" i="23"/>
  <c r="R17" i="23"/>
  <c r="S17" i="23"/>
  <c r="T17" i="23"/>
  <c r="U17" i="23"/>
  <c r="V17" i="23"/>
  <c r="R18" i="23"/>
  <c r="S18" i="23"/>
  <c r="T18" i="23"/>
  <c r="U18" i="23"/>
  <c r="V18" i="23"/>
  <c r="R19" i="23"/>
  <c r="S19" i="23"/>
  <c r="T19" i="23"/>
  <c r="U19" i="23"/>
  <c r="V19" i="23"/>
  <c r="R20" i="23"/>
  <c r="S20" i="23"/>
  <c r="T20" i="23"/>
  <c r="U20" i="23"/>
  <c r="V20" i="23"/>
  <c r="Q21" i="23"/>
  <c r="R21" i="23"/>
  <c r="S21" i="23"/>
  <c r="T21" i="23"/>
  <c r="U21" i="23"/>
  <c r="V21" i="23"/>
  <c r="Q22" i="23"/>
  <c r="R22" i="23"/>
  <c r="S22" i="23"/>
  <c r="T22" i="23"/>
  <c r="U22" i="23"/>
  <c r="V22" i="23"/>
  <c r="R23" i="23"/>
  <c r="S23" i="23"/>
  <c r="T23" i="23"/>
  <c r="U23" i="23"/>
  <c r="V23" i="23"/>
  <c r="Q24" i="23"/>
  <c r="R24" i="23"/>
  <c r="S24" i="23"/>
  <c r="T24" i="23"/>
  <c r="U24" i="23"/>
  <c r="V24" i="23"/>
  <c r="R25" i="23"/>
  <c r="S25" i="23"/>
  <c r="T25" i="23"/>
  <c r="U25" i="23"/>
  <c r="V25" i="23"/>
  <c r="R26" i="23"/>
  <c r="S26" i="23"/>
  <c r="T26" i="23"/>
  <c r="U26" i="23"/>
  <c r="V26" i="23"/>
  <c r="R27" i="23"/>
  <c r="S27" i="23"/>
  <c r="T27" i="23"/>
  <c r="U27" i="23"/>
  <c r="V27" i="23"/>
  <c r="R28" i="23"/>
  <c r="S28" i="23"/>
  <c r="T28" i="23"/>
  <c r="U28" i="23"/>
  <c r="V28" i="23"/>
  <c r="Q29" i="23"/>
  <c r="R29" i="23"/>
  <c r="S29" i="23"/>
  <c r="T29" i="23"/>
  <c r="U29" i="23"/>
  <c r="V29" i="23"/>
  <c r="R30" i="23"/>
  <c r="S30" i="23"/>
  <c r="T30" i="23"/>
  <c r="U30" i="23"/>
  <c r="V30" i="23"/>
  <c r="Q31" i="23"/>
  <c r="R31" i="23"/>
  <c r="S31" i="23"/>
  <c r="T31" i="23"/>
  <c r="U31" i="23"/>
  <c r="V31" i="23"/>
  <c r="R32" i="23"/>
  <c r="S32" i="23"/>
  <c r="T32" i="23"/>
  <c r="U32" i="23"/>
  <c r="V32" i="23"/>
  <c r="R33" i="23"/>
  <c r="S33" i="23"/>
  <c r="T33" i="23"/>
  <c r="U33" i="23"/>
  <c r="V33" i="23"/>
  <c r="R34" i="23"/>
  <c r="S34" i="23"/>
  <c r="T34" i="23"/>
  <c r="U34" i="23"/>
  <c r="V34" i="23"/>
  <c r="R35" i="23"/>
  <c r="S35" i="23"/>
  <c r="T35" i="23"/>
  <c r="U35" i="23"/>
  <c r="V35" i="23"/>
  <c r="R36" i="23"/>
  <c r="S36" i="23"/>
  <c r="T36" i="23"/>
  <c r="U36" i="23"/>
  <c r="V36" i="23"/>
  <c r="Q37" i="23"/>
  <c r="R37" i="23"/>
  <c r="S37" i="23"/>
  <c r="T37" i="23"/>
  <c r="U37" i="23"/>
  <c r="V37" i="23"/>
  <c r="Q38" i="23"/>
  <c r="R38" i="23"/>
  <c r="S38" i="23"/>
  <c r="T38" i="23"/>
  <c r="U38" i="23"/>
  <c r="V38" i="23"/>
  <c r="Q39" i="23"/>
  <c r="R39" i="23"/>
  <c r="S39" i="23"/>
  <c r="T39" i="23"/>
  <c r="U39" i="23"/>
  <c r="V39" i="23"/>
  <c r="R40" i="23"/>
  <c r="S40" i="23"/>
  <c r="T40" i="23"/>
  <c r="U40" i="23"/>
  <c r="V40" i="23"/>
  <c r="Q41" i="23"/>
  <c r="R41" i="23"/>
  <c r="S41" i="23"/>
  <c r="T41" i="23"/>
  <c r="U41" i="23"/>
  <c r="V41" i="23"/>
  <c r="U11" i="23"/>
  <c r="T11" i="23"/>
  <c r="S11" i="23"/>
  <c r="R11" i="23"/>
  <c r="M42" i="21"/>
  <c r="S42" i="21"/>
  <c r="G42" i="21"/>
  <c r="G13" i="21"/>
  <c r="G14" i="21"/>
  <c r="G15" i="21"/>
  <c r="G16" i="21"/>
  <c r="G17" i="21"/>
  <c r="G18" i="21"/>
  <c r="G19" i="21"/>
  <c r="G20" i="21"/>
  <c r="G21" i="21"/>
  <c r="G22" i="21"/>
  <c r="G23" i="21"/>
  <c r="G24" i="21"/>
  <c r="G25" i="21"/>
  <c r="G26" i="21"/>
  <c r="G27" i="21"/>
  <c r="G28" i="21"/>
  <c r="G29" i="21"/>
  <c r="G30" i="21"/>
  <c r="G31" i="21"/>
  <c r="G32" i="21"/>
  <c r="G33" i="21"/>
  <c r="G34" i="21"/>
  <c r="G35" i="21"/>
  <c r="G36" i="21"/>
  <c r="G37" i="21"/>
  <c r="G38" i="21"/>
  <c r="G39" i="21"/>
  <c r="G40" i="21"/>
  <c r="G12" i="21"/>
  <c r="F13" i="21"/>
  <c r="F14" i="21"/>
  <c r="F15" i="21"/>
  <c r="F16" i="21"/>
  <c r="F17" i="21"/>
  <c r="F18" i="21"/>
  <c r="F19" i="21"/>
  <c r="F20" i="21"/>
  <c r="F21" i="21"/>
  <c r="F22" i="21"/>
  <c r="F23" i="21"/>
  <c r="F24" i="21"/>
  <c r="F25" i="21"/>
  <c r="F26" i="21"/>
  <c r="F27" i="21"/>
  <c r="F28" i="21"/>
  <c r="F29" i="21"/>
  <c r="F30" i="21"/>
  <c r="F31" i="21"/>
  <c r="F32" i="21"/>
  <c r="F33" i="21"/>
  <c r="F34" i="21"/>
  <c r="F35" i="21"/>
  <c r="F36" i="21"/>
  <c r="F37" i="21"/>
  <c r="F38" i="21"/>
  <c r="F39" i="21"/>
  <c r="F40" i="21"/>
  <c r="F12" i="21"/>
  <c r="L13" i="21"/>
  <c r="M13" i="21" s="1"/>
  <c r="L14" i="21"/>
  <c r="M14" i="21" s="1"/>
  <c r="L15" i="21"/>
  <c r="M15" i="21" s="1"/>
  <c r="L16" i="21"/>
  <c r="M16" i="21" s="1"/>
  <c r="L17" i="21"/>
  <c r="M17" i="21" s="1"/>
  <c r="L18" i="21"/>
  <c r="M18" i="21" s="1"/>
  <c r="L19" i="21"/>
  <c r="M19" i="21" s="1"/>
  <c r="L20" i="21"/>
  <c r="M20" i="21" s="1"/>
  <c r="L21" i="21"/>
  <c r="M21" i="21" s="1"/>
  <c r="L22" i="21"/>
  <c r="M22" i="21" s="1"/>
  <c r="L23" i="21"/>
  <c r="M23" i="21" s="1"/>
  <c r="L24" i="21"/>
  <c r="M24" i="21" s="1"/>
  <c r="L25" i="21"/>
  <c r="M25" i="21" s="1"/>
  <c r="L26" i="21"/>
  <c r="M26" i="21" s="1"/>
  <c r="L27" i="21"/>
  <c r="M27" i="21" s="1"/>
  <c r="L28" i="21"/>
  <c r="M28" i="21" s="1"/>
  <c r="L29" i="21"/>
  <c r="M29" i="21" s="1"/>
  <c r="L30" i="21"/>
  <c r="M30" i="21" s="1"/>
  <c r="L31" i="21"/>
  <c r="M31" i="21" s="1"/>
  <c r="L32" i="21"/>
  <c r="M32" i="21" s="1"/>
  <c r="L33" i="21"/>
  <c r="M33" i="21" s="1"/>
  <c r="L34" i="21"/>
  <c r="M34" i="21" s="1"/>
  <c r="L35" i="21"/>
  <c r="M35" i="21" s="1"/>
  <c r="L36" i="21"/>
  <c r="L37" i="21"/>
  <c r="L38" i="21"/>
  <c r="L39" i="21"/>
  <c r="L40" i="21"/>
  <c r="M12" i="21"/>
  <c r="L12" i="21"/>
  <c r="Z56" i="55" l="1"/>
  <c r="Z65" i="55" s="1"/>
  <c r="AA39" i="55"/>
  <c r="AW33" i="52"/>
  <c r="AW19" i="52"/>
  <c r="S21" i="52"/>
  <c r="AY29" i="52"/>
  <c r="S37" i="52"/>
  <c r="Q48" i="52"/>
  <c r="AW24" i="52"/>
  <c r="S36" i="52"/>
  <c r="S20" i="52"/>
  <c r="AW41" i="52"/>
  <c r="BC29" i="52"/>
  <c r="AW26" i="52"/>
  <c r="AW45" i="52"/>
  <c r="BC33" i="52"/>
  <c r="AW22" i="52"/>
  <c r="P48" i="52"/>
  <c r="S16" i="52"/>
  <c r="S33" i="52"/>
  <c r="AW37" i="52"/>
  <c r="AW32" i="52"/>
  <c r="AZ25" i="52"/>
  <c r="S25" i="52"/>
  <c r="AU48" i="52"/>
  <c r="AW16" i="52"/>
  <c r="AS48" i="52"/>
  <c r="AW42" i="52"/>
  <c r="AK32" i="52"/>
  <c r="AY32" i="52"/>
  <c r="AW21" i="52"/>
  <c r="AZ38" i="52"/>
  <c r="S38" i="52"/>
  <c r="AZ30" i="52"/>
  <c r="S30" i="52"/>
  <c r="AK46" i="52"/>
  <c r="AY46" i="52"/>
  <c r="AW28" i="52"/>
  <c r="AZ40" i="52"/>
  <c r="S40" i="52"/>
  <c r="BA23" i="52"/>
  <c r="S23" i="52"/>
  <c r="AW27" i="52"/>
  <c r="AZ22" i="52"/>
  <c r="S22" i="52"/>
  <c r="AW34" i="52"/>
  <c r="AK43" i="52"/>
  <c r="AY43" i="52"/>
  <c r="AZ18" i="52"/>
  <c r="S18" i="52"/>
  <c r="AV48" i="52"/>
  <c r="AZ39" i="52"/>
  <c r="S39" i="52"/>
  <c r="AW18" i="52"/>
  <c r="AW46" i="52"/>
  <c r="AZ19" i="52"/>
  <c r="S19" i="52"/>
  <c r="AW30" i="52"/>
  <c r="AZ32" i="52"/>
  <c r="S32" i="52"/>
  <c r="AK27" i="52"/>
  <c r="AY27" i="52"/>
  <c r="AK17" i="52"/>
  <c r="AY17" i="52"/>
  <c r="AK22" i="52"/>
  <c r="AY22" i="52"/>
  <c r="BC22" i="52" s="1"/>
  <c r="AY45" i="52"/>
  <c r="BC45" i="52" s="1"/>
  <c r="R48" i="52"/>
  <c r="BB16" i="52"/>
  <c r="BB48" i="52" s="1"/>
  <c r="AW17" i="52"/>
  <c r="AK35" i="52"/>
  <c r="AY35" i="52"/>
  <c r="AY36" i="52"/>
  <c r="BC36" i="52" s="1"/>
  <c r="AW31" i="52"/>
  <c r="AK19" i="52"/>
  <c r="AY19" i="52"/>
  <c r="AK28" i="52"/>
  <c r="AY28" i="52"/>
  <c r="AE48" i="52"/>
  <c r="AK30" i="52"/>
  <c r="AY30" i="52"/>
  <c r="AK38" i="52"/>
  <c r="AY38" i="52"/>
  <c r="BC38" i="52" s="1"/>
  <c r="AK24" i="52"/>
  <c r="AY24" i="52"/>
  <c r="AZ42" i="52"/>
  <c r="S42" i="52"/>
  <c r="AK44" i="52"/>
  <c r="AY44" i="52"/>
  <c r="AK34" i="52"/>
  <c r="AY34" i="52"/>
  <c r="AW40" i="52"/>
  <c r="S45" i="52"/>
  <c r="AW23" i="52"/>
  <c r="AW39" i="52"/>
  <c r="AK18" i="52"/>
  <c r="AY18" i="52"/>
  <c r="BC18" i="52" s="1"/>
  <c r="AW29" i="52"/>
  <c r="AK25" i="52"/>
  <c r="AY25" i="52"/>
  <c r="BC25" i="52" s="1"/>
  <c r="AG48" i="52"/>
  <c r="AK16" i="52"/>
  <c r="AY16" i="52"/>
  <c r="AZ16" i="52"/>
  <c r="AZ31" i="52"/>
  <c r="S31" i="52"/>
  <c r="BA16" i="52"/>
  <c r="BA48" i="52" s="1"/>
  <c r="AK40" i="52"/>
  <c r="AY40" i="52"/>
  <c r="AK42" i="52"/>
  <c r="AY42" i="52"/>
  <c r="AZ17" i="52"/>
  <c r="S17" i="52"/>
  <c r="AZ35" i="52"/>
  <c r="S35" i="52"/>
  <c r="AZ43" i="52"/>
  <c r="S43" i="52"/>
  <c r="BC26" i="52"/>
  <c r="AK31" i="52"/>
  <c r="AY31" i="52"/>
  <c r="BC31" i="52" s="1"/>
  <c r="AW25" i="52"/>
  <c r="AW20" i="52"/>
  <c r="AK20" i="52"/>
  <c r="AY20" i="52"/>
  <c r="BC20" i="52" s="1"/>
  <c r="M48" i="52"/>
  <c r="S41" i="52"/>
  <c r="AZ27" i="52"/>
  <c r="S27" i="52"/>
  <c r="AW38" i="52"/>
  <c r="AZ46" i="52"/>
  <c r="S46" i="52"/>
  <c r="AZ44" i="52"/>
  <c r="S44" i="52"/>
  <c r="AZ34" i="52"/>
  <c r="S34" i="52"/>
  <c r="AZ24" i="52"/>
  <c r="S24" i="52"/>
  <c r="BC21" i="52"/>
  <c r="AK23" i="52"/>
  <c r="AY23" i="52"/>
  <c r="BC23" i="52" s="1"/>
  <c r="AK39" i="52"/>
  <c r="AY39" i="52"/>
  <c r="BC39" i="52" s="1"/>
  <c r="S26" i="52"/>
  <c r="AZ28" i="52"/>
  <c r="S28" i="52"/>
  <c r="S29" i="52"/>
  <c r="AT48" i="52"/>
  <c r="AY37" i="52"/>
  <c r="BC37" i="52" s="1"/>
  <c r="AY41" i="52"/>
  <c r="BC41" i="52" s="1"/>
  <c r="R44" i="23"/>
  <c r="U44" i="23"/>
  <c r="T44" i="23"/>
  <c r="Q11" i="23"/>
  <c r="C44" i="23"/>
  <c r="S44" i="23"/>
  <c r="J44" i="23"/>
  <c r="V44" i="23"/>
  <c r="Q23" i="23"/>
  <c r="Q30" i="23"/>
  <c r="Q36" i="23"/>
  <c r="Q20" i="23"/>
  <c r="Q12" i="23"/>
  <c r="Q35" i="23"/>
  <c r="Q27" i="23"/>
  <c r="Q19" i="23"/>
  <c r="Q34" i="23"/>
  <c r="Q26" i="23"/>
  <c r="Q18" i="23"/>
  <c r="Q40" i="21"/>
  <c r="Q39" i="21"/>
  <c r="Q38" i="21"/>
  <c r="Q37" i="21"/>
  <c r="Q36" i="21"/>
  <c r="Q35" i="21"/>
  <c r="Q34" i="21"/>
  <c r="Q33" i="21"/>
  <c r="Q32" i="21"/>
  <c r="Q31" i="21"/>
  <c r="Q30" i="21"/>
  <c r="Q29" i="21"/>
  <c r="Q28" i="21"/>
  <c r="Q27" i="21"/>
  <c r="Q26" i="21"/>
  <c r="Q25" i="21"/>
  <c r="Q24" i="21"/>
  <c r="Q23" i="21"/>
  <c r="Q22" i="21"/>
  <c r="Q21" i="21"/>
  <c r="Q20" i="21"/>
  <c r="Q19" i="21"/>
  <c r="Q18" i="21"/>
  <c r="Q17" i="21"/>
  <c r="Q16" i="21"/>
  <c r="Q15" i="21"/>
  <c r="Q14" i="21"/>
  <c r="Q13" i="21"/>
  <c r="Q12" i="21"/>
  <c r="P40" i="21"/>
  <c r="R40" i="21" s="1"/>
  <c r="P39" i="21"/>
  <c r="R39" i="21" s="1"/>
  <c r="S39" i="21" s="1"/>
  <c r="P38" i="21"/>
  <c r="R38" i="21" s="1"/>
  <c r="P37" i="21"/>
  <c r="R37" i="21" s="1"/>
  <c r="P36" i="21"/>
  <c r="P35" i="21"/>
  <c r="R35" i="21" s="1"/>
  <c r="P34" i="21"/>
  <c r="P33" i="21"/>
  <c r="R33" i="21" s="1"/>
  <c r="S33" i="21" s="1"/>
  <c r="P32" i="21"/>
  <c r="R32" i="21" s="1"/>
  <c r="P31" i="21"/>
  <c r="R31" i="21" s="1"/>
  <c r="S31" i="21" s="1"/>
  <c r="P30" i="21"/>
  <c r="R30" i="21" s="1"/>
  <c r="P29" i="21"/>
  <c r="R29" i="21" s="1"/>
  <c r="P28" i="21"/>
  <c r="P27" i="21"/>
  <c r="R27" i="21" s="1"/>
  <c r="P26" i="21"/>
  <c r="P25" i="21"/>
  <c r="R25" i="21" s="1"/>
  <c r="S25" i="21" s="1"/>
  <c r="P24" i="21"/>
  <c r="R24" i="21" s="1"/>
  <c r="P23" i="21"/>
  <c r="R23" i="21" s="1"/>
  <c r="S23" i="21" s="1"/>
  <c r="P22" i="21"/>
  <c r="R22" i="21" s="1"/>
  <c r="P21" i="21"/>
  <c r="R21" i="21" s="1"/>
  <c r="P20" i="21"/>
  <c r="P19" i="21"/>
  <c r="R19" i="21" s="1"/>
  <c r="P18" i="21"/>
  <c r="P17" i="21"/>
  <c r="R17" i="21" s="1"/>
  <c r="S17" i="21" s="1"/>
  <c r="P16" i="21"/>
  <c r="R16" i="21" s="1"/>
  <c r="P15" i="21"/>
  <c r="R15" i="21" s="1"/>
  <c r="S15" i="21" s="1"/>
  <c r="P14" i="21"/>
  <c r="R14" i="21" s="1"/>
  <c r="P13" i="21"/>
  <c r="R13" i="21" s="1"/>
  <c r="P12" i="21"/>
  <c r="O40" i="21"/>
  <c r="O39" i="2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M39" i="29"/>
  <c r="L39" i="29"/>
  <c r="K39" i="29"/>
  <c r="I39" i="29"/>
  <c r="H39" i="29"/>
  <c r="G39" i="29"/>
  <c r="E39" i="29"/>
  <c r="D39" i="29"/>
  <c r="C39" i="29"/>
  <c r="M37" i="29"/>
  <c r="L37" i="29"/>
  <c r="K37" i="29"/>
  <c r="M36" i="29"/>
  <c r="L36" i="29"/>
  <c r="K36" i="29"/>
  <c r="M35" i="29"/>
  <c r="L35" i="29"/>
  <c r="K35" i="29"/>
  <c r="M34" i="29"/>
  <c r="L34" i="29"/>
  <c r="K34" i="29"/>
  <c r="M33" i="29"/>
  <c r="L33" i="29"/>
  <c r="K33" i="29"/>
  <c r="M32" i="29"/>
  <c r="L32" i="29"/>
  <c r="K32" i="29"/>
  <c r="M31" i="29"/>
  <c r="L31" i="29"/>
  <c r="K31" i="29"/>
  <c r="M30" i="29"/>
  <c r="L30" i="29"/>
  <c r="K30" i="29"/>
  <c r="M21" i="29"/>
  <c r="L21" i="29"/>
  <c r="K21" i="29"/>
  <c r="I21" i="29"/>
  <c r="H21" i="29"/>
  <c r="G21" i="29"/>
  <c r="E21" i="29"/>
  <c r="D21" i="29"/>
  <c r="C21" i="29"/>
  <c r="M19" i="29"/>
  <c r="L19" i="29"/>
  <c r="K19" i="29"/>
  <c r="M18" i="29"/>
  <c r="L18" i="29"/>
  <c r="K18" i="29"/>
  <c r="M17" i="29"/>
  <c r="L17" i="29"/>
  <c r="K17" i="29"/>
  <c r="M16" i="29"/>
  <c r="L16" i="29"/>
  <c r="K16" i="29"/>
  <c r="M15" i="29"/>
  <c r="L15" i="29"/>
  <c r="K15" i="29"/>
  <c r="M14" i="29"/>
  <c r="L14" i="29"/>
  <c r="K14" i="29"/>
  <c r="M13" i="29"/>
  <c r="L13" i="29"/>
  <c r="K13" i="29"/>
  <c r="M12" i="29"/>
  <c r="L12" i="29"/>
  <c r="K12" i="29"/>
  <c r="L42" i="21"/>
  <c r="K42" i="21"/>
  <c r="J42" i="21"/>
  <c r="I42" i="21"/>
  <c r="F42" i="21"/>
  <c r="E42" i="21"/>
  <c r="D42" i="21"/>
  <c r="C42" i="21"/>
  <c r="A24" i="23"/>
  <c r="AE42" i="20"/>
  <c r="O42" i="20"/>
  <c r="T41" i="20"/>
  <c r="P38" i="20"/>
  <c r="K32" i="20"/>
  <c r="J32" i="20"/>
  <c r="H31" i="20"/>
  <c r="AE29" i="20"/>
  <c r="O29" i="20"/>
  <c r="AD29" i="20"/>
  <c r="AC29" i="20"/>
  <c r="AA29" i="20"/>
  <c r="Z29" i="20"/>
  <c r="W29" i="20"/>
  <c r="V29" i="20"/>
  <c r="U29" i="20"/>
  <c r="S29" i="20"/>
  <c r="R29" i="20"/>
  <c r="N29" i="20"/>
  <c r="M29" i="20"/>
  <c r="K29" i="20"/>
  <c r="J29" i="20"/>
  <c r="G29" i="20"/>
  <c r="F29" i="20"/>
  <c r="E29" i="20"/>
  <c r="X25" i="20"/>
  <c r="H25" i="20"/>
  <c r="AE32" i="20"/>
  <c r="AD32" i="20"/>
  <c r="AC32" i="20"/>
  <c r="AA32" i="20"/>
  <c r="Z32" i="20"/>
  <c r="Y32" i="20"/>
  <c r="W32" i="20"/>
  <c r="V32" i="20"/>
  <c r="U32" i="20"/>
  <c r="S32" i="20"/>
  <c r="R32" i="20"/>
  <c r="Q32" i="20"/>
  <c r="O32" i="20"/>
  <c r="N32" i="20"/>
  <c r="M32" i="20"/>
  <c r="I32" i="20"/>
  <c r="G32" i="20"/>
  <c r="F32" i="20"/>
  <c r="E32" i="20"/>
  <c r="AF31" i="20"/>
  <c r="AE31" i="20"/>
  <c r="AE33" i="20" s="1"/>
  <c r="AD31" i="20"/>
  <c r="AA31" i="20"/>
  <c r="Z31" i="20"/>
  <c r="Y31" i="20"/>
  <c r="X31" i="20"/>
  <c r="W31" i="20"/>
  <c r="W33" i="20" s="1"/>
  <c r="V31" i="20"/>
  <c r="S31" i="20"/>
  <c r="R31" i="20"/>
  <c r="Q25" i="20"/>
  <c r="P31" i="20"/>
  <c r="O31" i="20"/>
  <c r="N31" i="20"/>
  <c r="K31" i="20"/>
  <c r="J31" i="20"/>
  <c r="I31" i="20"/>
  <c r="I33" i="20" s="1"/>
  <c r="G31" i="20"/>
  <c r="G33" i="20" s="1"/>
  <c r="F31" i="20"/>
  <c r="Y18" i="20"/>
  <c r="I18" i="20"/>
  <c r="N17" i="20"/>
  <c r="U15" i="20"/>
  <c r="L15" i="20"/>
  <c r="E15" i="20"/>
  <c r="AD42" i="20"/>
  <c r="AC42" i="20"/>
  <c r="AA42" i="20"/>
  <c r="Z42" i="20"/>
  <c r="W42" i="20"/>
  <c r="V42" i="20"/>
  <c r="U42" i="20"/>
  <c r="S42" i="20"/>
  <c r="R42" i="20"/>
  <c r="N42" i="20"/>
  <c r="M42" i="20"/>
  <c r="K42" i="20"/>
  <c r="J42" i="20"/>
  <c r="G42" i="20"/>
  <c r="F42" i="20"/>
  <c r="E42" i="20"/>
  <c r="AE41" i="20"/>
  <c r="AE43" i="20" s="1"/>
  <c r="AC15" i="20"/>
  <c r="AB15" i="20"/>
  <c r="AA41" i="20"/>
  <c r="Z41" i="20"/>
  <c r="W41" i="20"/>
  <c r="U41" i="20"/>
  <c r="T15" i="20"/>
  <c r="S41" i="20"/>
  <c r="R41" i="20"/>
  <c r="O41" i="20"/>
  <c r="M15" i="20"/>
  <c r="L41" i="20"/>
  <c r="K41" i="20"/>
  <c r="J41" i="20"/>
  <c r="G41" i="20"/>
  <c r="E41" i="20"/>
  <c r="D15" i="20"/>
  <c r="AE11" i="20"/>
  <c r="V11" i="20"/>
  <c r="O11" i="20"/>
  <c r="AF18" i="20"/>
  <c r="AE38" i="20"/>
  <c r="AD38" i="20"/>
  <c r="AC38" i="20"/>
  <c r="AA38" i="20"/>
  <c r="Y38" i="20"/>
  <c r="X18" i="20"/>
  <c r="W38" i="20"/>
  <c r="V38" i="20"/>
  <c r="U38" i="20"/>
  <c r="S38" i="20"/>
  <c r="Q18" i="20"/>
  <c r="P18" i="20"/>
  <c r="O38" i="20"/>
  <c r="N38" i="20"/>
  <c r="M38" i="20"/>
  <c r="K38" i="20"/>
  <c r="I38" i="20"/>
  <c r="H18" i="20"/>
  <c r="G38" i="20"/>
  <c r="F38" i="20"/>
  <c r="E38" i="20"/>
  <c r="AF37" i="20"/>
  <c r="AE17" i="20"/>
  <c r="AD17" i="20"/>
  <c r="AC37" i="20"/>
  <c r="AB37" i="20"/>
  <c r="AA37" i="20"/>
  <c r="Y37" i="20"/>
  <c r="X37" i="20"/>
  <c r="W37" i="20"/>
  <c r="V17" i="20"/>
  <c r="U37" i="20"/>
  <c r="T37" i="20"/>
  <c r="S37" i="20"/>
  <c r="Q37" i="20"/>
  <c r="P37" i="20"/>
  <c r="O17" i="20"/>
  <c r="N11" i="20"/>
  <c r="M37" i="20"/>
  <c r="L37" i="20"/>
  <c r="K37" i="20"/>
  <c r="I37" i="20"/>
  <c r="H37" i="20"/>
  <c r="G37" i="20"/>
  <c r="F17" i="20"/>
  <c r="E37" i="20"/>
  <c r="AF5" i="20"/>
  <c r="AE5" i="20"/>
  <c r="AD5" i="20"/>
  <c r="AC5" i="20"/>
  <c r="AB5" i="20"/>
  <c r="AA5" i="20"/>
  <c r="Z5" i="20"/>
  <c r="Y5" i="20"/>
  <c r="X5" i="20"/>
  <c r="W5" i="20"/>
  <c r="V5" i="20"/>
  <c r="U5" i="20"/>
  <c r="T5" i="20"/>
  <c r="S5" i="20"/>
  <c r="R5" i="20"/>
  <c r="Q5" i="20"/>
  <c r="P5" i="20"/>
  <c r="O5" i="20"/>
  <c r="N5" i="20"/>
  <c r="M5" i="20"/>
  <c r="L5" i="20"/>
  <c r="K5" i="20"/>
  <c r="J5" i="20"/>
  <c r="I5" i="20"/>
  <c r="H5" i="20"/>
  <c r="G5" i="20"/>
  <c r="F5" i="20"/>
  <c r="E5" i="20"/>
  <c r="D5" i="20"/>
  <c r="CW25" i="18"/>
  <c r="CV25" i="18"/>
  <c r="CU25" i="18"/>
  <c r="CR25" i="18"/>
  <c r="CQ25" i="18"/>
  <c r="CP25" i="18"/>
  <c r="CO25" i="18"/>
  <c r="CN25" i="18"/>
  <c r="CM25" i="18"/>
  <c r="CL25" i="18"/>
  <c r="CK25" i="18"/>
  <c r="CJ25" i="18"/>
  <c r="CI25" i="18"/>
  <c r="CH25" i="18"/>
  <c r="CG25" i="18"/>
  <c r="CD25" i="18"/>
  <c r="CC25" i="18"/>
  <c r="CA25" i="18"/>
  <c r="BZ25" i="18"/>
  <c r="BY25" i="18"/>
  <c r="BX25" i="18"/>
  <c r="BW25" i="18"/>
  <c r="BU25" i="18"/>
  <c r="BT25" i="18"/>
  <c r="BS25" i="18"/>
  <c r="BP25" i="18"/>
  <c r="BO25" i="18"/>
  <c r="BN25" i="18"/>
  <c r="BM25" i="18"/>
  <c r="BL25" i="18"/>
  <c r="BK25" i="18"/>
  <c r="BJ25" i="18"/>
  <c r="BI25" i="18"/>
  <c r="BH25" i="18"/>
  <c r="BG25" i="18"/>
  <c r="BF25" i="18"/>
  <c r="BE25" i="18"/>
  <c r="BC25" i="18"/>
  <c r="BB25" i="18"/>
  <c r="BA25" i="18"/>
  <c r="AZ25" i="18"/>
  <c r="AY25" i="18"/>
  <c r="AX25" i="18"/>
  <c r="AW25" i="18"/>
  <c r="AV25" i="18"/>
  <c r="AU25" i="18"/>
  <c r="AT25" i="18"/>
  <c r="AS25" i="18"/>
  <c r="AR25" i="18"/>
  <c r="AP25" i="18"/>
  <c r="AO25" i="18"/>
  <c r="AN25" i="18"/>
  <c r="AM25" i="18"/>
  <c r="AL25" i="18"/>
  <c r="AK25" i="18"/>
  <c r="AJ25" i="18"/>
  <c r="AI25" i="18"/>
  <c r="AH25" i="18"/>
  <c r="AG25" i="18"/>
  <c r="AF25" i="18"/>
  <c r="AE25" i="18"/>
  <c r="AC25" i="18"/>
  <c r="AB25" i="18"/>
  <c r="AA25" i="18"/>
  <c r="Z25" i="18"/>
  <c r="Y25" i="18"/>
  <c r="X25" i="18"/>
  <c r="W25" i="18"/>
  <c r="V25" i="18"/>
  <c r="U25" i="18"/>
  <c r="T25" i="18"/>
  <c r="S25" i="18"/>
  <c r="R25" i="18"/>
  <c r="P25" i="18"/>
  <c r="O25" i="18"/>
  <c r="N25" i="18"/>
  <c r="M25" i="18"/>
  <c r="L25" i="18"/>
  <c r="K25" i="18"/>
  <c r="J25" i="18"/>
  <c r="I25" i="18"/>
  <c r="H25" i="18"/>
  <c r="G25" i="18"/>
  <c r="F25" i="18"/>
  <c r="E25" i="18"/>
  <c r="CW24" i="18"/>
  <c r="CW26" i="18" s="1"/>
  <c r="CV24" i="18"/>
  <c r="CV26" i="18" s="1"/>
  <c r="CU24" i="18"/>
  <c r="CR24" i="18"/>
  <c r="CQ24" i="18"/>
  <c r="CP24" i="18"/>
  <c r="CP26" i="18" s="1"/>
  <c r="CO24" i="18"/>
  <c r="CO26" i="18" s="1"/>
  <c r="CN24" i="18"/>
  <c r="CN26" i="18" s="1"/>
  <c r="CM24" i="18"/>
  <c r="CM26" i="18" s="1"/>
  <c r="CL24" i="18"/>
  <c r="CL26" i="18" s="1"/>
  <c r="CK24" i="18"/>
  <c r="CJ24" i="18"/>
  <c r="CJ26" i="18" s="1"/>
  <c r="CI24" i="18"/>
  <c r="CH24" i="18"/>
  <c r="CH26" i="18" s="1"/>
  <c r="CG24" i="18"/>
  <c r="CG26" i="18" s="1"/>
  <c r="CD24" i="18"/>
  <c r="CD26" i="18" s="1"/>
  <c r="CC24" i="18"/>
  <c r="CC26" i="18" s="1"/>
  <c r="CA24" i="18"/>
  <c r="CA26" i="18" s="1"/>
  <c r="BZ24" i="18"/>
  <c r="BY24" i="18"/>
  <c r="BY26" i="18" s="1"/>
  <c r="BX24" i="18"/>
  <c r="BW24" i="18"/>
  <c r="BW26" i="18" s="1"/>
  <c r="BU24" i="18"/>
  <c r="BU26" i="18" s="1"/>
  <c r="BT24" i="18"/>
  <c r="BT26" i="18" s="1"/>
  <c r="BS24" i="18"/>
  <c r="BS26" i="18" s="1"/>
  <c r="BP24" i="18"/>
  <c r="BP26" i="18" s="1"/>
  <c r="BO24" i="18"/>
  <c r="BN24" i="18"/>
  <c r="BN26" i="18" s="1"/>
  <c r="BM24" i="18"/>
  <c r="BL24" i="18"/>
  <c r="BL26" i="18" s="1"/>
  <c r="BK24" i="18"/>
  <c r="BK26" i="18" s="1"/>
  <c r="BJ24" i="18"/>
  <c r="BJ26" i="18" s="1"/>
  <c r="BI24" i="18"/>
  <c r="BI26" i="18" s="1"/>
  <c r="BH24" i="18"/>
  <c r="BH26" i="18" s="1"/>
  <c r="BG24" i="18"/>
  <c r="BF24" i="18"/>
  <c r="BF26" i="18" s="1"/>
  <c r="BE24" i="18"/>
  <c r="BC24" i="18"/>
  <c r="BC26" i="18" s="1"/>
  <c r="BB24" i="18"/>
  <c r="BB26" i="18" s="1"/>
  <c r="BA24" i="18"/>
  <c r="BA26" i="18" s="1"/>
  <c r="AZ24" i="18"/>
  <c r="AZ26" i="18" s="1"/>
  <c r="AY24" i="18"/>
  <c r="AY26" i="18" s="1"/>
  <c r="AX24" i="18"/>
  <c r="AW24" i="18"/>
  <c r="AW26" i="18" s="1"/>
  <c r="AV24" i="18"/>
  <c r="AU24" i="18"/>
  <c r="AU26" i="18" s="1"/>
  <c r="AT24" i="18"/>
  <c r="AT26" i="18" s="1"/>
  <c r="AS24" i="18"/>
  <c r="AS26" i="18" s="1"/>
  <c r="AR24" i="18"/>
  <c r="AR26" i="18" s="1"/>
  <c r="AP24" i="18"/>
  <c r="AP26" i="18" s="1"/>
  <c r="AO24" i="18"/>
  <c r="AN24" i="18"/>
  <c r="AN26" i="18" s="1"/>
  <c r="AM24" i="18"/>
  <c r="AL24" i="18"/>
  <c r="AL26" i="18" s="1"/>
  <c r="AK24" i="18"/>
  <c r="AK26" i="18" s="1"/>
  <c r="AJ24" i="18"/>
  <c r="AJ26" i="18" s="1"/>
  <c r="AI24" i="18"/>
  <c r="AI26" i="18" s="1"/>
  <c r="AH24" i="18"/>
  <c r="AH26" i="18" s="1"/>
  <c r="AG24" i="18"/>
  <c r="AF24" i="18"/>
  <c r="AF26" i="18" s="1"/>
  <c r="AE24" i="18"/>
  <c r="AC24" i="18"/>
  <c r="AC26" i="18" s="1"/>
  <c r="AB24" i="18"/>
  <c r="AB26" i="18" s="1"/>
  <c r="AA24" i="18"/>
  <c r="AA26" i="18" s="1"/>
  <c r="Z24" i="18"/>
  <c r="Z26" i="18" s="1"/>
  <c r="Y24" i="18"/>
  <c r="Y26" i="18" s="1"/>
  <c r="X24" i="18"/>
  <c r="W24" i="18"/>
  <c r="W26" i="18" s="1"/>
  <c r="V24" i="18"/>
  <c r="U24" i="18"/>
  <c r="U26" i="18" s="1"/>
  <c r="T24" i="18"/>
  <c r="T26" i="18" s="1"/>
  <c r="S24" i="18"/>
  <c r="S26" i="18" s="1"/>
  <c r="R24" i="18"/>
  <c r="R26" i="18" s="1"/>
  <c r="P24" i="18"/>
  <c r="P26" i="18" s="1"/>
  <c r="O24" i="18"/>
  <c r="N24" i="18"/>
  <c r="N26" i="18" s="1"/>
  <c r="M24" i="18"/>
  <c r="L24" i="18"/>
  <c r="L26" i="18" s="1"/>
  <c r="K24" i="18"/>
  <c r="K26" i="18" s="1"/>
  <c r="J24" i="18"/>
  <c r="J26" i="18" s="1"/>
  <c r="I24" i="18"/>
  <c r="I26" i="18" s="1"/>
  <c r="H24" i="18"/>
  <c r="H26" i="18" s="1"/>
  <c r="G24" i="18"/>
  <c r="F24" i="18"/>
  <c r="F26" i="18" s="1"/>
  <c r="E24" i="18"/>
  <c r="CW22" i="18"/>
  <c r="CV22" i="18"/>
  <c r="CU22" i="18"/>
  <c r="CR22" i="18"/>
  <c r="CQ22" i="18"/>
  <c r="CP22" i="18"/>
  <c r="CO22" i="18"/>
  <c r="CN22" i="18"/>
  <c r="CM22" i="18"/>
  <c r="CL22" i="18"/>
  <c r="CK22" i="18"/>
  <c r="CJ22" i="18"/>
  <c r="CI22" i="18"/>
  <c r="CH22" i="18"/>
  <c r="CG22" i="18"/>
  <c r="CD22" i="18"/>
  <c r="CC22" i="18"/>
  <c r="CB22" i="18"/>
  <c r="CA22" i="18"/>
  <c r="BZ22" i="18"/>
  <c r="BY22" i="18"/>
  <c r="BX22" i="18"/>
  <c r="BW22" i="18"/>
  <c r="BV22" i="18"/>
  <c r="BU22" i="18"/>
  <c r="BT22" i="18"/>
  <c r="BS22" i="18"/>
  <c r="BP22" i="18"/>
  <c r="BO22" i="18"/>
  <c r="BN22" i="18"/>
  <c r="BM22" i="18"/>
  <c r="BL22" i="18"/>
  <c r="BK22" i="18"/>
  <c r="BJ22" i="18"/>
  <c r="BI22" i="18"/>
  <c r="BH22" i="18"/>
  <c r="BG22" i="18"/>
  <c r="BF22" i="18"/>
  <c r="BE22" i="18"/>
  <c r="BC22" i="18"/>
  <c r="BB22" i="18"/>
  <c r="BA22" i="18"/>
  <c r="AZ22" i="18"/>
  <c r="AY22" i="18"/>
  <c r="AX22" i="18"/>
  <c r="AW22" i="18"/>
  <c r="AV22" i="18"/>
  <c r="AU22" i="18"/>
  <c r="AT22" i="18"/>
  <c r="AS22" i="18"/>
  <c r="AR22" i="18"/>
  <c r="AP22" i="18"/>
  <c r="AO22" i="18"/>
  <c r="AN22" i="18"/>
  <c r="AM22" i="18"/>
  <c r="AL22" i="18"/>
  <c r="AK22" i="18"/>
  <c r="AJ22" i="18"/>
  <c r="AI22" i="18"/>
  <c r="AH22" i="18"/>
  <c r="AG22" i="18"/>
  <c r="AF22" i="18"/>
  <c r="AE22" i="18"/>
  <c r="AC22" i="18"/>
  <c r="AB22" i="18"/>
  <c r="AA22" i="18"/>
  <c r="Z22" i="18"/>
  <c r="Y22" i="18"/>
  <c r="X22" i="18"/>
  <c r="W22" i="18"/>
  <c r="V22" i="18"/>
  <c r="U22" i="18"/>
  <c r="T22" i="18"/>
  <c r="S22" i="18"/>
  <c r="R22" i="18"/>
  <c r="P22" i="18"/>
  <c r="O22" i="18"/>
  <c r="N22" i="18"/>
  <c r="M22" i="18"/>
  <c r="L22" i="18"/>
  <c r="K22" i="18"/>
  <c r="J22" i="18"/>
  <c r="I22" i="18"/>
  <c r="H22" i="18"/>
  <c r="G22" i="18"/>
  <c r="F22" i="18"/>
  <c r="E22" i="18"/>
  <c r="CS21" i="18"/>
  <c r="CE21" i="18"/>
  <c r="BQ21" i="18"/>
  <c r="BD21" i="18"/>
  <c r="AQ21" i="18"/>
  <c r="AD21" i="18"/>
  <c r="Q21" i="18"/>
  <c r="CS20" i="18"/>
  <c r="CE20" i="18"/>
  <c r="BQ20" i="18"/>
  <c r="BQ22" i="18" s="1"/>
  <c r="BD20" i="18"/>
  <c r="AQ20" i="18"/>
  <c r="AQ22" i="18" s="1"/>
  <c r="AD20" i="18"/>
  <c r="AD22" i="18" s="1"/>
  <c r="Q20" i="18"/>
  <c r="CW18" i="18"/>
  <c r="CV18" i="18"/>
  <c r="CU18" i="18"/>
  <c r="CR18" i="18"/>
  <c r="CQ18" i="18"/>
  <c r="CP18" i="18"/>
  <c r="CO18" i="18"/>
  <c r="CN18" i="18"/>
  <c r="CM18" i="18"/>
  <c r="CL18" i="18"/>
  <c r="CK18" i="18"/>
  <c r="CJ18" i="18"/>
  <c r="CI18" i="18"/>
  <c r="CH18" i="18"/>
  <c r="CG18" i="18"/>
  <c r="CD18" i="18"/>
  <c r="CC18" i="18"/>
  <c r="CA18" i="18"/>
  <c r="BZ18" i="18"/>
  <c r="BY18" i="18"/>
  <c r="BX18" i="18"/>
  <c r="BW18" i="18"/>
  <c r="BU18" i="18"/>
  <c r="BT18" i="18"/>
  <c r="BS18" i="18"/>
  <c r="BP18" i="18"/>
  <c r="BO18" i="18"/>
  <c r="BN18" i="18"/>
  <c r="BM18" i="18"/>
  <c r="BL18" i="18"/>
  <c r="BK18" i="18"/>
  <c r="BJ18" i="18"/>
  <c r="BI18" i="18"/>
  <c r="BH18" i="18"/>
  <c r="BG18" i="18"/>
  <c r="BF18" i="18"/>
  <c r="BE18" i="18"/>
  <c r="BC18" i="18"/>
  <c r="BB18" i="18"/>
  <c r="BA18" i="18"/>
  <c r="AZ18" i="18"/>
  <c r="AY18" i="18"/>
  <c r="AX18" i="18"/>
  <c r="AW18" i="18"/>
  <c r="AV18" i="18"/>
  <c r="AU18" i="18"/>
  <c r="AT18" i="18"/>
  <c r="AS18" i="18"/>
  <c r="AR18" i="18"/>
  <c r="AP18" i="18"/>
  <c r="AO18" i="18"/>
  <c r="AN18" i="18"/>
  <c r="AM18" i="18"/>
  <c r="AL18" i="18"/>
  <c r="AK18" i="18"/>
  <c r="AJ18" i="18"/>
  <c r="AI18" i="18"/>
  <c r="AH18" i="18"/>
  <c r="AG18" i="18"/>
  <c r="AF18" i="18"/>
  <c r="AE18" i="18"/>
  <c r="AC18" i="18"/>
  <c r="AB18" i="18"/>
  <c r="AA18" i="18"/>
  <c r="Z18" i="18"/>
  <c r="Y18" i="18"/>
  <c r="X18" i="18"/>
  <c r="W18" i="18"/>
  <c r="V18" i="18"/>
  <c r="U18" i="18"/>
  <c r="T18" i="18"/>
  <c r="S18" i="18"/>
  <c r="R18" i="18"/>
  <c r="P18" i="18"/>
  <c r="O18" i="18"/>
  <c r="N18" i="18"/>
  <c r="M18" i="18"/>
  <c r="L18" i="18"/>
  <c r="K18" i="18"/>
  <c r="J18" i="18"/>
  <c r="I18" i="18"/>
  <c r="H18" i="18"/>
  <c r="G18" i="18"/>
  <c r="F18" i="18"/>
  <c r="E18" i="18"/>
  <c r="CS17" i="18"/>
  <c r="CE17" i="18"/>
  <c r="BQ17" i="18"/>
  <c r="BD17" i="18"/>
  <c r="AQ17" i="18"/>
  <c r="AD17" i="18"/>
  <c r="Q17" i="18"/>
  <c r="CS16" i="18"/>
  <c r="CE16" i="18"/>
  <c r="CE18" i="18" s="1"/>
  <c r="BQ16" i="18"/>
  <c r="BD16" i="18"/>
  <c r="BD18" i="18" s="1"/>
  <c r="AQ16" i="18"/>
  <c r="AD16" i="18"/>
  <c r="AD18" i="18" s="1"/>
  <c r="Q16" i="18"/>
  <c r="CW14" i="18"/>
  <c r="CV14" i="18"/>
  <c r="CU14" i="18"/>
  <c r="CR14" i="18"/>
  <c r="CQ14" i="18"/>
  <c r="CP14" i="18"/>
  <c r="CO14" i="18"/>
  <c r="CN14" i="18"/>
  <c r="CM14" i="18"/>
  <c r="CL14" i="18"/>
  <c r="CK14" i="18"/>
  <c r="CJ14" i="18"/>
  <c r="CI14" i="18"/>
  <c r="CH14" i="18"/>
  <c r="CG14" i="18"/>
  <c r="CD14" i="18"/>
  <c r="CC14" i="18"/>
  <c r="CA14" i="18"/>
  <c r="BZ14" i="18"/>
  <c r="BY14" i="18"/>
  <c r="BX14" i="18"/>
  <c r="BW14" i="18"/>
  <c r="BU14" i="18"/>
  <c r="BT14" i="18"/>
  <c r="BS14" i="18"/>
  <c r="BP14" i="18"/>
  <c r="BO14" i="18"/>
  <c r="BN14" i="18"/>
  <c r="BM14" i="18"/>
  <c r="BL14" i="18"/>
  <c r="BK14" i="18"/>
  <c r="BJ14" i="18"/>
  <c r="BI14" i="18"/>
  <c r="BH14" i="18"/>
  <c r="BG14" i="18"/>
  <c r="BF14" i="18"/>
  <c r="BE14" i="18"/>
  <c r="BC14" i="18"/>
  <c r="BB14" i="18"/>
  <c r="BA14" i="18"/>
  <c r="AZ14" i="18"/>
  <c r="AY14" i="18"/>
  <c r="AX14" i="18"/>
  <c r="AW14" i="18"/>
  <c r="AV14" i="18"/>
  <c r="AU14" i="18"/>
  <c r="AT14" i="18"/>
  <c r="AS14" i="18"/>
  <c r="AR14" i="18"/>
  <c r="AP14" i="18"/>
  <c r="AO14" i="18"/>
  <c r="AN14" i="18"/>
  <c r="AM14" i="18"/>
  <c r="AL14" i="18"/>
  <c r="AK14" i="18"/>
  <c r="AJ14" i="18"/>
  <c r="AI14" i="18"/>
  <c r="AH14" i="18"/>
  <c r="AG14" i="18"/>
  <c r="AF14" i="18"/>
  <c r="AE14" i="18"/>
  <c r="AC14" i="18"/>
  <c r="AB14" i="18"/>
  <c r="AA14" i="18"/>
  <c r="Z14" i="18"/>
  <c r="Y14" i="18"/>
  <c r="X14" i="18"/>
  <c r="W14" i="18"/>
  <c r="V14" i="18"/>
  <c r="U14" i="18"/>
  <c r="T14" i="18"/>
  <c r="S14" i="18"/>
  <c r="R14" i="18"/>
  <c r="P14" i="18"/>
  <c r="O14" i="18"/>
  <c r="N14" i="18"/>
  <c r="M14" i="18"/>
  <c r="L14" i="18"/>
  <c r="K14" i="18"/>
  <c r="J14" i="18"/>
  <c r="I14" i="18"/>
  <c r="H14" i="18"/>
  <c r="G14" i="18"/>
  <c r="F14" i="18"/>
  <c r="E14" i="18"/>
  <c r="CS13" i="18"/>
  <c r="CE13" i="18"/>
  <c r="BQ13" i="18"/>
  <c r="BD13" i="18"/>
  <c r="AQ13" i="18"/>
  <c r="AD13" i="18"/>
  <c r="Q13" i="18"/>
  <c r="CS12" i="18"/>
  <c r="CE12" i="18"/>
  <c r="BQ12" i="18"/>
  <c r="BD12" i="18"/>
  <c r="AQ12" i="18"/>
  <c r="AQ14" i="18" s="1"/>
  <c r="AD12" i="18"/>
  <c r="Q12" i="18"/>
  <c r="Q14" i="18" s="1"/>
  <c r="CW10" i="18"/>
  <c r="CV10" i="18"/>
  <c r="CU10" i="18"/>
  <c r="CR10" i="18"/>
  <c r="CQ10" i="18"/>
  <c r="CP10" i="18"/>
  <c r="CO10" i="18"/>
  <c r="CN10" i="18"/>
  <c r="CM10" i="18"/>
  <c r="CL10" i="18"/>
  <c r="CK10" i="18"/>
  <c r="CJ10" i="18"/>
  <c r="CI10" i="18"/>
  <c r="CH10" i="18"/>
  <c r="CG10" i="18"/>
  <c r="CD10" i="18"/>
  <c r="CC10" i="18"/>
  <c r="CA10" i="18"/>
  <c r="BZ10" i="18"/>
  <c r="BY10" i="18"/>
  <c r="BX10" i="18"/>
  <c r="BW10" i="18"/>
  <c r="BU10" i="18"/>
  <c r="BT10" i="18"/>
  <c r="BS10" i="18"/>
  <c r="BP10" i="18"/>
  <c r="BO10" i="18"/>
  <c r="BN10" i="18"/>
  <c r="BM10" i="18"/>
  <c r="BL10" i="18"/>
  <c r="BK10" i="18"/>
  <c r="BJ10" i="18"/>
  <c r="BI10" i="18"/>
  <c r="BH10" i="18"/>
  <c r="BG10" i="18"/>
  <c r="BF10" i="18"/>
  <c r="BE10" i="18"/>
  <c r="BD10" i="18"/>
  <c r="BC10" i="18"/>
  <c r="BB10" i="18"/>
  <c r="BA10" i="18"/>
  <c r="AZ10" i="18"/>
  <c r="AY10" i="18"/>
  <c r="AX10" i="18"/>
  <c r="AW10" i="18"/>
  <c r="AV10" i="18"/>
  <c r="AU10" i="18"/>
  <c r="AT10" i="18"/>
  <c r="AS10" i="18"/>
  <c r="AR10" i="18"/>
  <c r="AP10" i="18"/>
  <c r="AO10" i="18"/>
  <c r="AN10" i="18"/>
  <c r="AM10" i="18"/>
  <c r="AL10" i="18"/>
  <c r="AK10" i="18"/>
  <c r="AJ10" i="18"/>
  <c r="AI10" i="18"/>
  <c r="AH10" i="18"/>
  <c r="AG10" i="18"/>
  <c r="AF10" i="18"/>
  <c r="AE10" i="18"/>
  <c r="AC10" i="18"/>
  <c r="AB10" i="18"/>
  <c r="AA10" i="18"/>
  <c r="Z10" i="18"/>
  <c r="Y10" i="18"/>
  <c r="X10" i="18"/>
  <c r="W10" i="18"/>
  <c r="V10" i="18"/>
  <c r="U10" i="18"/>
  <c r="T10" i="18"/>
  <c r="S10" i="18"/>
  <c r="R10" i="18"/>
  <c r="P10" i="18"/>
  <c r="O10" i="18"/>
  <c r="N10" i="18"/>
  <c r="M10" i="18"/>
  <c r="L10" i="18"/>
  <c r="K10" i="18"/>
  <c r="J10" i="18"/>
  <c r="I10" i="18"/>
  <c r="H10" i="18"/>
  <c r="G10" i="18"/>
  <c r="F10" i="18"/>
  <c r="E10" i="18"/>
  <c r="CS9" i="18"/>
  <c r="CE9" i="18"/>
  <c r="BQ9" i="18"/>
  <c r="BD9" i="18"/>
  <c r="AQ9" i="18"/>
  <c r="AD9" i="18"/>
  <c r="Q9" i="18"/>
  <c r="CS8" i="18"/>
  <c r="CE8" i="18"/>
  <c r="BQ8" i="18"/>
  <c r="BQ10" i="18" s="1"/>
  <c r="BD8" i="18"/>
  <c r="AQ8" i="18"/>
  <c r="AD8" i="18"/>
  <c r="Q8" i="18"/>
  <c r="BD5" i="18"/>
  <c r="AQ5" i="18"/>
  <c r="AD5" i="18" s="1"/>
  <c r="Q5" i="18" s="1"/>
  <c r="L15" i="50"/>
  <c r="J15" i="50"/>
  <c r="H15" i="50"/>
  <c r="F15" i="50"/>
  <c r="D15" i="50"/>
  <c r="V12" i="50"/>
  <c r="V9" i="50"/>
  <c r="V8" i="50"/>
  <c r="N16" i="28"/>
  <c r="L16" i="28"/>
  <c r="J16" i="28"/>
  <c r="H16" i="28"/>
  <c r="F16" i="28"/>
  <c r="CE24" i="18" l="1"/>
  <c r="CS25" i="18"/>
  <c r="AD14" i="18"/>
  <c r="CS18" i="18"/>
  <c r="BD22" i="18"/>
  <c r="Q25" i="18"/>
  <c r="Q18" i="18"/>
  <c r="CE22" i="18"/>
  <c r="E26" i="18"/>
  <c r="M26" i="18"/>
  <c r="V26" i="18"/>
  <c r="AE26" i="18"/>
  <c r="AM26" i="18"/>
  <c r="AV26" i="18"/>
  <c r="BE26" i="18"/>
  <c r="BM26" i="18"/>
  <c r="BX26" i="18"/>
  <c r="CI26" i="18"/>
  <c r="G26" i="18"/>
  <c r="O26" i="18"/>
  <c r="X26" i="18"/>
  <c r="AG26" i="18"/>
  <c r="AO26" i="18"/>
  <c r="AX26" i="18"/>
  <c r="BG26" i="18"/>
  <c r="BO26" i="18"/>
  <c r="BZ26" i="18"/>
  <c r="CK26" i="18"/>
  <c r="CS14" i="18"/>
  <c r="CS10" i="18"/>
  <c r="BQ18" i="18"/>
  <c r="CS22" i="18"/>
  <c r="AD25" i="18"/>
  <c r="BD14" i="18"/>
  <c r="AQ25" i="18"/>
  <c r="AQ24" i="18"/>
  <c r="AQ26" i="18" s="1"/>
  <c r="BD25" i="18"/>
  <c r="CE14" i="18"/>
  <c r="Q24" i="18"/>
  <c r="Q26" i="18" s="1"/>
  <c r="BD24" i="18"/>
  <c r="BQ25" i="18"/>
  <c r="AQ18" i="18"/>
  <c r="BQ24" i="18"/>
  <c r="CE25" i="18"/>
  <c r="CE26" i="18" s="1"/>
  <c r="CQ26" i="18"/>
  <c r="CR26" i="18"/>
  <c r="CU26" i="18"/>
  <c r="Q22" i="18"/>
  <c r="AD10" i="18"/>
  <c r="BQ14" i="18"/>
  <c r="BQ26" i="18"/>
  <c r="Q10" i="18"/>
  <c r="CS24" i="18"/>
  <c r="CS26" i="18" s="1"/>
  <c r="CE10" i="18"/>
  <c r="AD24" i="18"/>
  <c r="AQ10" i="18"/>
  <c r="V15" i="50"/>
  <c r="AA43" i="55"/>
  <c r="M46" i="20"/>
  <c r="O33" i="20"/>
  <c r="U46" i="20"/>
  <c r="E46" i="20"/>
  <c r="BC30" i="52"/>
  <c r="BC28" i="52"/>
  <c r="BC27" i="52"/>
  <c r="BC32" i="52"/>
  <c r="BC24" i="52"/>
  <c r="BC19" i="52"/>
  <c r="S48" i="52"/>
  <c r="AY48" i="52"/>
  <c r="BC16" i="52"/>
  <c r="BC34" i="52"/>
  <c r="BC46" i="52"/>
  <c r="BC42" i="52"/>
  <c r="AW48" i="52"/>
  <c r="BC44" i="52"/>
  <c r="AK48" i="52"/>
  <c r="BC40" i="52"/>
  <c r="AZ48" i="52"/>
  <c r="BC35" i="52"/>
  <c r="BC17" i="52"/>
  <c r="BC43" i="52"/>
  <c r="Q44" i="23"/>
  <c r="W45" i="20"/>
  <c r="O43" i="20"/>
  <c r="AC46" i="20"/>
  <c r="G43" i="20"/>
  <c r="G17" i="20"/>
  <c r="N37" i="20"/>
  <c r="N39" i="20" s="1"/>
  <c r="O37" i="20"/>
  <c r="O45" i="20" s="1"/>
  <c r="Q38" i="20"/>
  <c r="Q39" i="20" s="1"/>
  <c r="F46" i="20"/>
  <c r="N46" i="20"/>
  <c r="V46" i="20"/>
  <c r="AD46" i="20"/>
  <c r="W11" i="20"/>
  <c r="I41" i="20"/>
  <c r="I45" i="20" s="1"/>
  <c r="Q41" i="20"/>
  <c r="Y41" i="20"/>
  <c r="Y45" i="20" s="1"/>
  <c r="L42" i="20"/>
  <c r="L43" i="20" s="1"/>
  <c r="T42" i="20"/>
  <c r="T43" i="20" s="1"/>
  <c r="AB42" i="20"/>
  <c r="P25" i="20"/>
  <c r="V37" i="20"/>
  <c r="V39" i="20" s="1"/>
  <c r="X38" i="20"/>
  <c r="I25" i="20"/>
  <c r="AG9" i="20"/>
  <c r="D52" i="20" s="1"/>
  <c r="G46" i="20"/>
  <c r="O46" i="20"/>
  <c r="W46" i="20"/>
  <c r="AE46" i="20"/>
  <c r="AD11" i="20"/>
  <c r="AG24" i="20"/>
  <c r="L32" i="20"/>
  <c r="T32" i="20"/>
  <c r="AB32" i="20"/>
  <c r="H29" i="20"/>
  <c r="P29" i="20"/>
  <c r="X29" i="20"/>
  <c r="AF29" i="20"/>
  <c r="AB41" i="20"/>
  <c r="AB43" i="20" s="1"/>
  <c r="W43" i="20"/>
  <c r="K43" i="20"/>
  <c r="J33" i="20"/>
  <c r="Z33" i="20"/>
  <c r="Q29" i="20"/>
  <c r="Q31" i="20"/>
  <c r="Q33" i="20" s="1"/>
  <c r="AF38" i="20"/>
  <c r="AF39" i="20" s="1"/>
  <c r="F11" i="20"/>
  <c r="K33" i="20"/>
  <c r="S33" i="20"/>
  <c r="AA33" i="20"/>
  <c r="Y25" i="20"/>
  <c r="AE37" i="20"/>
  <c r="D41" i="20"/>
  <c r="M41" i="20"/>
  <c r="AA43" i="20"/>
  <c r="AG28" i="20"/>
  <c r="AD37" i="20"/>
  <c r="AC41" i="20"/>
  <c r="AC45" i="20" s="1"/>
  <c r="AC47" i="20" s="1"/>
  <c r="J38" i="20"/>
  <c r="J46" i="20" s="1"/>
  <c r="R38" i="20"/>
  <c r="R46" i="20" s="1"/>
  <c r="Z38" i="20"/>
  <c r="Z46" i="20" s="1"/>
  <c r="G11" i="20"/>
  <c r="H42" i="20"/>
  <c r="P42" i="20"/>
  <c r="P46" i="20" s="1"/>
  <c r="X42" i="20"/>
  <c r="AF42" i="20"/>
  <c r="AF25" i="20"/>
  <c r="F37" i="20"/>
  <c r="H38" i="20"/>
  <c r="H39" i="20" s="1"/>
  <c r="S43" i="20"/>
  <c r="W17" i="20"/>
  <c r="R33" i="20"/>
  <c r="I29" i="20"/>
  <c r="Y29" i="20"/>
  <c r="K46" i="20"/>
  <c r="S46" i="20"/>
  <c r="AA46" i="20"/>
  <c r="F41" i="20"/>
  <c r="F43" i="20" s="1"/>
  <c r="N41" i="20"/>
  <c r="N43" i="20" s="1"/>
  <c r="V41" i="20"/>
  <c r="V43" i="20" s="1"/>
  <c r="AD41" i="20"/>
  <c r="AD43" i="20" s="1"/>
  <c r="I42" i="20"/>
  <c r="Q42" i="20"/>
  <c r="Y42" i="20"/>
  <c r="Y46" i="20" s="1"/>
  <c r="E31" i="20"/>
  <c r="E33" i="20" s="1"/>
  <c r="M31" i="20"/>
  <c r="U31" i="20"/>
  <c r="U33" i="20" s="1"/>
  <c r="AC31" i="20"/>
  <c r="AC33" i="20" s="1"/>
  <c r="H32" i="20"/>
  <c r="H33" i="20" s="1"/>
  <c r="P32" i="20"/>
  <c r="P33" i="20" s="1"/>
  <c r="X32" i="20"/>
  <c r="AF32" i="20"/>
  <c r="AF33" i="20" s="1"/>
  <c r="S16" i="21"/>
  <c r="S24" i="21"/>
  <c r="S32" i="21"/>
  <c r="S40" i="21"/>
  <c r="R18" i="21"/>
  <c r="S18" i="21" s="1"/>
  <c r="R26" i="21"/>
  <c r="S26" i="21" s="1"/>
  <c r="R34" i="21"/>
  <c r="S34" i="21" s="1"/>
  <c r="S19" i="21"/>
  <c r="S27" i="21"/>
  <c r="S35" i="21"/>
  <c r="R20" i="21"/>
  <c r="S20" i="21" s="1"/>
  <c r="R28" i="21"/>
  <c r="S28" i="21" s="1"/>
  <c r="R36" i="21"/>
  <c r="S36" i="21" s="1"/>
  <c r="S13" i="21"/>
  <c r="S21" i="21"/>
  <c r="S29" i="21"/>
  <c r="S37" i="21"/>
  <c r="S14" i="21"/>
  <c r="S22" i="21"/>
  <c r="S30" i="21"/>
  <c r="S38" i="21"/>
  <c r="R12" i="21"/>
  <c r="S12" i="21" s="1"/>
  <c r="P42" i="21"/>
  <c r="Q42" i="21"/>
  <c r="O42" i="21"/>
  <c r="E45" i="20"/>
  <c r="E47" i="20" s="1"/>
  <c r="E39" i="20"/>
  <c r="M45" i="20"/>
  <c r="M39" i="20"/>
  <c r="U45" i="20"/>
  <c r="U39" i="20"/>
  <c r="AC39" i="20"/>
  <c r="U43" i="20"/>
  <c r="P39" i="20"/>
  <c r="X39" i="20"/>
  <c r="Y39" i="20"/>
  <c r="AG10" i="20"/>
  <c r="E52" i="20" s="1"/>
  <c r="D38" i="20"/>
  <c r="D18" i="20"/>
  <c r="L38" i="20"/>
  <c r="L18" i="20"/>
  <c r="T38" i="20"/>
  <c r="T18" i="20"/>
  <c r="AB38" i="20"/>
  <c r="AB46" i="20" s="1"/>
  <c r="AB18" i="20"/>
  <c r="X33" i="20"/>
  <c r="AE45" i="20"/>
  <c r="I39" i="20"/>
  <c r="J37" i="20"/>
  <c r="J17" i="20"/>
  <c r="J11" i="20"/>
  <c r="R37" i="20"/>
  <c r="R17" i="20"/>
  <c r="R11" i="20"/>
  <c r="Z37" i="20"/>
  <c r="Z17" i="20"/>
  <c r="Z11" i="20"/>
  <c r="H41" i="20"/>
  <c r="H15" i="20"/>
  <c r="AG13" i="20"/>
  <c r="D53" i="20" s="1"/>
  <c r="D55" i="20" s="1"/>
  <c r="P41" i="20"/>
  <c r="P15" i="20"/>
  <c r="X41" i="20"/>
  <c r="X15" i="20"/>
  <c r="AF41" i="20"/>
  <c r="AF15" i="20"/>
  <c r="AG23" i="20"/>
  <c r="D31" i="20"/>
  <c r="D25" i="20"/>
  <c r="L31" i="20"/>
  <c r="L25" i="20"/>
  <c r="T31" i="20"/>
  <c r="T33" i="20" s="1"/>
  <c r="T25" i="20"/>
  <c r="AB31" i="20"/>
  <c r="AB25" i="20"/>
  <c r="Y33" i="20"/>
  <c r="F45" i="20"/>
  <c r="E43" i="20"/>
  <c r="K39" i="20"/>
  <c r="K45" i="20"/>
  <c r="S39" i="20"/>
  <c r="S45" i="20"/>
  <c r="AA45" i="20"/>
  <c r="AA39" i="20"/>
  <c r="AG14" i="20"/>
  <c r="E53" i="20" s="1"/>
  <c r="M33" i="20"/>
  <c r="AG27" i="20"/>
  <c r="L29" i="20"/>
  <c r="T29" i="20"/>
  <c r="AB29" i="20"/>
  <c r="G45" i="20"/>
  <c r="L45" i="20"/>
  <c r="T45" i="20"/>
  <c r="J43" i="20"/>
  <c r="R43" i="20"/>
  <c r="Z43" i="20"/>
  <c r="F33" i="20"/>
  <c r="N33" i="20"/>
  <c r="V33" i="20"/>
  <c r="AD33" i="20"/>
  <c r="M43" i="20"/>
  <c r="H11" i="20"/>
  <c r="P11" i="20"/>
  <c r="X11" i="20"/>
  <c r="AF11" i="20"/>
  <c r="F15" i="20"/>
  <c r="N15" i="20"/>
  <c r="V15" i="20"/>
  <c r="AD15" i="20"/>
  <c r="H17" i="20"/>
  <c r="H19" i="20" s="1"/>
  <c r="P17" i="20"/>
  <c r="P19" i="20" s="1"/>
  <c r="X17" i="20"/>
  <c r="X19" i="20" s="1"/>
  <c r="AF17" i="20"/>
  <c r="AF19" i="20" s="1"/>
  <c r="J18" i="20"/>
  <c r="R18" i="20"/>
  <c r="Z18" i="20"/>
  <c r="J25" i="20"/>
  <c r="R25" i="20"/>
  <c r="Z25" i="20"/>
  <c r="D32" i="20"/>
  <c r="I11" i="20"/>
  <c r="Q11" i="20"/>
  <c r="Y11" i="20"/>
  <c r="G15" i="20"/>
  <c r="O15" i="20"/>
  <c r="W15" i="20"/>
  <c r="AE15" i="20"/>
  <c r="I17" i="20"/>
  <c r="I19" i="20" s="1"/>
  <c r="Q17" i="20"/>
  <c r="Q19" i="20" s="1"/>
  <c r="Y17" i="20"/>
  <c r="Y19" i="20" s="1"/>
  <c r="K18" i="20"/>
  <c r="S18" i="20"/>
  <c r="AA18" i="20"/>
  <c r="K25" i="20"/>
  <c r="S25" i="20"/>
  <c r="AA25" i="20"/>
  <c r="F39" i="20"/>
  <c r="AD39" i="20"/>
  <c r="K11" i="20"/>
  <c r="S11" i="20"/>
  <c r="AA11" i="20"/>
  <c r="I15" i="20"/>
  <c r="Q15" i="20"/>
  <c r="Y15" i="20"/>
  <c r="K17" i="20"/>
  <c r="S17" i="20"/>
  <c r="AA17" i="20"/>
  <c r="E18" i="20"/>
  <c r="M18" i="20"/>
  <c r="U18" i="20"/>
  <c r="AC18" i="20"/>
  <c r="E25" i="20"/>
  <c r="M25" i="20"/>
  <c r="U25" i="20"/>
  <c r="AC25" i="20"/>
  <c r="G39" i="20"/>
  <c r="W39" i="20"/>
  <c r="AE39" i="20"/>
  <c r="D11" i="20"/>
  <c r="L11" i="20"/>
  <c r="T11" i="20"/>
  <c r="AB11" i="20"/>
  <c r="J15" i="20"/>
  <c r="R15" i="20"/>
  <c r="Z15" i="20"/>
  <c r="D17" i="20"/>
  <c r="L17" i="20"/>
  <c r="T17" i="20"/>
  <c r="AB17" i="20"/>
  <c r="F18" i="20"/>
  <c r="F19" i="20" s="1"/>
  <c r="N18" i="20"/>
  <c r="N19" i="20" s="1"/>
  <c r="V18" i="20"/>
  <c r="V19" i="20" s="1"/>
  <c r="AD18" i="20"/>
  <c r="AD19" i="20" s="1"/>
  <c r="F25" i="20"/>
  <c r="N25" i="20"/>
  <c r="V25" i="20"/>
  <c r="AD25" i="20"/>
  <c r="D29" i="20"/>
  <c r="D37" i="20"/>
  <c r="D42" i="20"/>
  <c r="E11" i="20"/>
  <c r="M11" i="20"/>
  <c r="U11" i="20"/>
  <c r="AC11" i="20"/>
  <c r="K15" i="20"/>
  <c r="S15" i="20"/>
  <c r="AA15" i="20"/>
  <c r="E17" i="20"/>
  <c r="M17" i="20"/>
  <c r="M19" i="20" s="1"/>
  <c r="U17" i="20"/>
  <c r="U19" i="20" s="1"/>
  <c r="AC17" i="20"/>
  <c r="G18" i="20"/>
  <c r="G19" i="20" s="1"/>
  <c r="O18" i="20"/>
  <c r="O19" i="20" s="1"/>
  <c r="W18" i="20"/>
  <c r="AE18" i="20"/>
  <c r="AE19" i="20" s="1"/>
  <c r="G25" i="20"/>
  <c r="O25" i="20"/>
  <c r="W25" i="20"/>
  <c r="AE25" i="20"/>
  <c r="AD26" i="18" l="1"/>
  <c r="BD26" i="18"/>
  <c r="AA56" i="55"/>
  <c r="AF46" i="20"/>
  <c r="M47" i="20"/>
  <c r="U47" i="20"/>
  <c r="AG32" i="20"/>
  <c r="L33" i="20"/>
  <c r="T19" i="20"/>
  <c r="I43" i="20"/>
  <c r="X46" i="20"/>
  <c r="AD45" i="20"/>
  <c r="AD47" i="20" s="1"/>
  <c r="F52" i="20"/>
  <c r="AB45" i="20"/>
  <c r="AB47" i="20" s="1"/>
  <c r="X43" i="20"/>
  <c r="Y43" i="20"/>
  <c r="L19" i="20"/>
  <c r="AC43" i="20"/>
  <c r="BC48" i="52"/>
  <c r="S47" i="20"/>
  <c r="I46" i="20"/>
  <c r="I47" i="20" s="1"/>
  <c r="F47" i="20"/>
  <c r="D43" i="20"/>
  <c r="AB33" i="20"/>
  <c r="P43" i="20"/>
  <c r="K19" i="20"/>
  <c r="O47" i="20"/>
  <c r="N45" i="20"/>
  <c r="N47" i="20" s="1"/>
  <c r="AF43" i="20"/>
  <c r="T46" i="20"/>
  <c r="T47" i="20" s="1"/>
  <c r="Q43" i="20"/>
  <c r="K47" i="20"/>
  <c r="G47" i="20"/>
  <c r="L46" i="20"/>
  <c r="V45" i="20"/>
  <c r="V47" i="20" s="1"/>
  <c r="W47" i="20"/>
  <c r="AC19" i="20"/>
  <c r="AB39" i="20"/>
  <c r="AA47" i="20"/>
  <c r="AG15" i="20"/>
  <c r="H43" i="20"/>
  <c r="J19" i="20"/>
  <c r="Y47" i="20"/>
  <c r="O39" i="20"/>
  <c r="Q45" i="20"/>
  <c r="AG42" i="20"/>
  <c r="L53" i="20" s="1"/>
  <c r="W19" i="20"/>
  <c r="P45" i="20"/>
  <c r="P47" i="20" s="1"/>
  <c r="H46" i="20"/>
  <c r="AE47" i="20"/>
  <c r="Q46" i="20"/>
  <c r="R42" i="21"/>
  <c r="AG11" i="20"/>
  <c r="J45" i="20"/>
  <c r="J47" i="20" s="1"/>
  <c r="J39" i="20"/>
  <c r="H45" i="20"/>
  <c r="Z45" i="20"/>
  <c r="Z47" i="20" s="1"/>
  <c r="Z39" i="20"/>
  <c r="E19" i="20"/>
  <c r="T39" i="20"/>
  <c r="AG25" i="20"/>
  <c r="AG41" i="20"/>
  <c r="K53" i="20" s="1"/>
  <c r="AF45" i="20"/>
  <c r="AF47" i="20" s="1"/>
  <c r="E55" i="20"/>
  <c r="AG37" i="20"/>
  <c r="K52" i="20" s="1"/>
  <c r="D45" i="20"/>
  <c r="D39" i="20"/>
  <c r="R19" i="20"/>
  <c r="AG29" i="20"/>
  <c r="AA19" i="20"/>
  <c r="L39" i="20"/>
  <c r="F53" i="20"/>
  <c r="R39" i="20"/>
  <c r="R45" i="20"/>
  <c r="R47" i="20" s="1"/>
  <c r="AG18" i="20"/>
  <c r="X45" i="20"/>
  <c r="AG17" i="20"/>
  <c r="D19" i="20"/>
  <c r="Z19" i="20"/>
  <c r="AG31" i="20"/>
  <c r="D33" i="20"/>
  <c r="AG33" i="20" s="1"/>
  <c r="AB19" i="20"/>
  <c r="S19" i="20"/>
  <c r="L47" i="20"/>
  <c r="AG38" i="20"/>
  <c r="L52" i="20" s="1"/>
  <c r="D46" i="20"/>
  <c r="AA65" i="55" l="1"/>
  <c r="X47" i="20"/>
  <c r="L55" i="20"/>
  <c r="F55" i="20"/>
  <c r="AG43" i="20"/>
  <c r="M53" i="20"/>
  <c r="AG46" i="20"/>
  <c r="H47" i="20"/>
  <c r="Q47" i="20"/>
  <c r="AG45" i="20"/>
  <c r="D47" i="20"/>
  <c r="M52" i="20"/>
  <c r="K55" i="20"/>
  <c r="AG19" i="20"/>
  <c r="AG39" i="20"/>
  <c r="M55" i="20" l="1"/>
  <c r="AG47" i="20"/>
  <c r="Z20" i="57" l="1"/>
  <c r="Z19" i="57"/>
  <c r="V22" i="57"/>
  <c r="Z8" i="57" l="1"/>
  <c r="Z28" i="57"/>
  <c r="Z10" i="57"/>
  <c r="Z18" i="57"/>
  <c r="Z11" i="57"/>
  <c r="Z4" i="57"/>
  <c r="Z3" i="57"/>
  <c r="X13" i="57"/>
  <c r="T13" i="57"/>
  <c r="Z9" i="57"/>
  <c r="V13" i="57"/>
  <c r="R30" i="57"/>
  <c r="Z25" i="57"/>
  <c r="X22" i="57"/>
  <c r="Z17" i="57"/>
  <c r="Z6" i="57"/>
  <c r="Z7" i="57"/>
  <c r="Z16" i="57"/>
  <c r="T22" i="57"/>
  <c r="Z5" i="57"/>
  <c r="T30" i="57" l="1"/>
  <c r="Z13" i="57"/>
  <c r="X30" i="57"/>
  <c r="Z22" i="57"/>
  <c r="Z30" i="57" s="1"/>
  <c r="V30" i="57"/>
  <c r="F48" i="57" l="1"/>
  <c r="AF9" i="54" l="1"/>
  <c r="AI29" i="54"/>
  <c r="AH29" i="54"/>
  <c r="AH9" i="54"/>
  <c r="AG9" i="54"/>
  <c r="AG16" i="54"/>
  <c r="AJ29" i="54"/>
  <c r="AG29" i="54" l="1"/>
  <c r="AH16" i="54"/>
  <c r="AH18" i="54" s="1"/>
  <c r="AH23" i="54" s="1"/>
  <c r="AH31" i="54" s="1"/>
  <c r="AE16" i="54"/>
  <c r="AG18" i="54"/>
  <c r="AG23" i="54" s="1"/>
  <c r="AI16" i="54"/>
  <c r="AJ16" i="54"/>
  <c r="AI9" i="54"/>
  <c r="AJ9" i="54"/>
  <c r="AJ18" i="54" s="1"/>
  <c r="AJ23" i="54" s="1"/>
  <c r="AJ31" i="54" s="1"/>
  <c r="AF16" i="54"/>
  <c r="AF18" i="54" s="1"/>
  <c r="AF23" i="54" s="1"/>
  <c r="AE29" i="54"/>
  <c r="AE9" i="54"/>
  <c r="AF29" i="54"/>
  <c r="AE18" i="54" l="1"/>
  <c r="AE23" i="54" s="1"/>
  <c r="AE31" i="54" s="1"/>
  <c r="AF31" i="54"/>
  <c r="AG31" i="54"/>
  <c r="AI18" i="54"/>
  <c r="AI23" i="54" s="1"/>
  <c r="AI31" i="54" s="1"/>
  <c r="AJ70" i="56" l="1"/>
  <c r="AH46" i="56"/>
  <c r="AG70" i="56"/>
  <c r="AG61" i="56"/>
  <c r="AI70" i="56" l="1"/>
  <c r="AF46" i="56"/>
  <c r="AE61" i="56"/>
  <c r="AG38" i="56"/>
  <c r="AF61" i="56"/>
  <c r="AE38" i="56"/>
  <c r="AE70" i="56"/>
  <c r="AJ38" i="56"/>
  <c r="AF38" i="56"/>
  <c r="AE46" i="56"/>
  <c r="AI46" i="56"/>
  <c r="AH61" i="56"/>
  <c r="AJ46" i="56"/>
  <c r="AI61" i="56"/>
  <c r="AH38" i="56"/>
  <c r="AH70" i="56"/>
  <c r="AG46" i="56"/>
  <c r="AF70" i="56"/>
  <c r="AI38" i="56"/>
  <c r="AJ61" i="56"/>
  <c r="AG65" i="56" l="1"/>
  <c r="AH65" i="56"/>
  <c r="AF65" i="56"/>
  <c r="AE65" i="56"/>
  <c r="AI65" i="56"/>
  <c r="AJ65" i="56"/>
  <c r="AE12" i="55" l="1"/>
  <c r="AI54" i="55"/>
  <c r="AE54" i="55" l="1"/>
  <c r="AH12" i="55"/>
  <c r="AF54" i="55"/>
  <c r="AH63" i="55"/>
  <c r="AF63" i="55"/>
  <c r="AI12" i="55"/>
  <c r="AF12" i="55"/>
  <c r="AG12" i="55"/>
  <c r="AJ22" i="55"/>
  <c r="AJ12" i="55"/>
  <c r="AE37" i="55"/>
  <c r="AI37" i="55"/>
  <c r="AH22" i="55"/>
  <c r="AG37" i="55"/>
  <c r="AI63" i="55"/>
  <c r="AF22" i="55"/>
  <c r="AG22" i="55"/>
  <c r="AJ37" i="55"/>
  <c r="AJ54" i="55"/>
  <c r="AE63" i="55"/>
  <c r="AH37" i="55"/>
  <c r="AH39" i="55" s="1"/>
  <c r="AH43" i="55" s="1"/>
  <c r="AF37" i="55"/>
  <c r="AI22" i="55"/>
  <c r="AG63" i="55"/>
  <c r="AE22" i="55"/>
  <c r="AJ63" i="55"/>
  <c r="AJ39" i="55" l="1"/>
  <c r="AJ43" i="55" s="1"/>
  <c r="AJ56" i="55" s="1"/>
  <c r="AJ65" i="55" s="1"/>
  <c r="AE39" i="55"/>
  <c r="AE43" i="55" s="1"/>
  <c r="AE56" i="55" s="1"/>
  <c r="AE65" i="55" s="1"/>
  <c r="AH56" i="55"/>
  <c r="AH65" i="55" s="1"/>
  <c r="AG39" i="55"/>
  <c r="AG43" i="55" s="1"/>
  <c r="AG56" i="55" s="1"/>
  <c r="AG65" i="55" s="1"/>
  <c r="AF39" i="55"/>
  <c r="AF43" i="55" s="1"/>
  <c r="AF56" i="55" s="1"/>
  <c r="AF65" i="55" s="1"/>
  <c r="AI39" i="55"/>
  <c r="AI43" i="55" s="1"/>
  <c r="AI56" i="55" s="1"/>
  <c r="AI65" i="55" s="1"/>
  <c r="V49" i="53" l="1"/>
  <c r="X17" i="53"/>
  <c r="X64" i="53"/>
  <c r="W17" i="53"/>
  <c r="W64" i="53"/>
  <c r="X49" i="53"/>
  <c r="X79" i="53"/>
  <c r="X30" i="53"/>
  <c r="W30" i="53"/>
  <c r="V30" i="53"/>
  <c r="V17" i="53"/>
  <c r="W79" i="53"/>
  <c r="W49" i="53"/>
  <c r="V64" i="53"/>
  <c r="V79" i="53"/>
  <c r="V32" i="53" l="1"/>
  <c r="V66" i="53"/>
  <c r="V81" i="53" s="1"/>
  <c r="W32" i="53"/>
  <c r="W66" i="53"/>
  <c r="X66" i="53"/>
  <c r="X81" i="53" s="1"/>
  <c r="X32" i="53"/>
  <c r="W81" i="53" l="1"/>
  <c r="AM34" i="49" l="1"/>
  <c r="AM12" i="49" l="1"/>
</calcChain>
</file>

<file path=xl/sharedStrings.xml><?xml version="1.0" encoding="utf-8"?>
<sst xmlns="http://schemas.openxmlformats.org/spreadsheetml/2006/main" count="1965" uniqueCount="1305">
  <si>
    <t>Caixa e equivalentes de caixa</t>
  </si>
  <si>
    <r>
      <t>Aplicações financeiras</t>
    </r>
    <r>
      <rPr>
        <sz val="10"/>
        <color theme="0"/>
        <rFont val="Calibri"/>
        <family val="2"/>
        <scheme val="minor"/>
      </rPr>
      <t xml:space="preserve"> acp</t>
    </r>
  </si>
  <si>
    <t>Contas a receber de clientes</t>
  </si>
  <si>
    <t>Estoques</t>
  </si>
  <si>
    <t>Outros ativos</t>
  </si>
  <si>
    <r>
      <t>Aplicações financeiras</t>
    </r>
    <r>
      <rPr>
        <sz val="10"/>
        <color theme="0"/>
        <rFont val="Calibri"/>
        <family val="2"/>
        <scheme val="minor"/>
      </rPr>
      <t xml:space="preserve"> alp</t>
    </r>
  </si>
  <si>
    <r>
      <t>Instrumentos financeiros derivativos</t>
    </r>
    <r>
      <rPr>
        <sz val="10"/>
        <color theme="0"/>
        <rFont val="Calibri"/>
        <family val="2"/>
        <scheme val="minor"/>
      </rPr>
      <t xml:space="preserve"> alp</t>
    </r>
  </si>
  <si>
    <t>Depósitos judiciais</t>
  </si>
  <si>
    <r>
      <t>Outros ativos</t>
    </r>
    <r>
      <rPr>
        <sz val="10"/>
        <color theme="0"/>
        <rFont val="Calibri"/>
        <family val="2"/>
        <scheme val="minor"/>
      </rPr>
      <t xml:space="preserve"> LP</t>
    </r>
  </si>
  <si>
    <t>Investimentos</t>
  </si>
  <si>
    <t>Direito de uso em arrendamento</t>
  </si>
  <si>
    <t>Fornecedores</t>
  </si>
  <si>
    <t>Salários e encargos sociais</t>
  </si>
  <si>
    <t>Tributos a recolher</t>
  </si>
  <si>
    <t>Empréstimos e financiamentos</t>
  </si>
  <si>
    <t>Valores a pagar de arrendamentos</t>
  </si>
  <si>
    <r>
      <t>Instrumentos financeiros derivativos</t>
    </r>
    <r>
      <rPr>
        <sz val="10"/>
        <color theme="0"/>
        <rFont val="Calibri"/>
        <family val="2"/>
        <scheme val="minor"/>
      </rPr>
      <t xml:space="preserve"> pcp</t>
    </r>
  </si>
  <si>
    <t>Provisão para abandono de poços</t>
  </si>
  <si>
    <t>Outras contas a pagar</t>
  </si>
  <si>
    <t>Patrimônio Líquido</t>
  </si>
  <si>
    <t>Capital social</t>
  </si>
  <si>
    <t>Ações em tesouraria</t>
  </si>
  <si>
    <t>Reserva de capital</t>
  </si>
  <si>
    <t>Reservas de lucros</t>
  </si>
  <si>
    <t>Ajustes de avaliação patrimonial</t>
  </si>
  <si>
    <t>Transação de capital</t>
  </si>
  <si>
    <t>Adiantamento para futuro aumento de capital</t>
  </si>
  <si>
    <t>Em milhares de reais</t>
  </si>
  <si>
    <t>Fev</t>
  </si>
  <si>
    <t>Mar</t>
  </si>
  <si>
    <t>Abr</t>
  </si>
  <si>
    <t>Mai</t>
  </si>
  <si>
    <t>Jun</t>
  </si>
  <si>
    <t>Jul</t>
  </si>
  <si>
    <t>Ago</t>
  </si>
  <si>
    <t>Set</t>
  </si>
  <si>
    <t>Out</t>
  </si>
  <si>
    <t>Nov</t>
  </si>
  <si>
    <t>Dez</t>
  </si>
  <si>
    <t>Potiguar</t>
  </si>
  <si>
    <t>Miranga</t>
  </si>
  <si>
    <t>Lucro Bruto</t>
  </si>
  <si>
    <t>Receitas (Despesas)</t>
  </si>
  <si>
    <t>Outras Receitas (Despesas), Líquidas</t>
  </si>
  <si>
    <t>Resultado Financeiro</t>
  </si>
  <si>
    <t>Receitas Financeiras</t>
  </si>
  <si>
    <t xml:space="preserve">Despesas Financeiras </t>
  </si>
  <si>
    <t>Variação Cambial, Líquida</t>
  </si>
  <si>
    <t>Total das Despesas</t>
  </si>
  <si>
    <t>Lucro (Prejuízo) Antes Dos Impostos</t>
  </si>
  <si>
    <t>Total do Resultado Financeiro</t>
  </si>
  <si>
    <t>Corrente</t>
  </si>
  <si>
    <t>Diferido</t>
  </si>
  <si>
    <t>Total Imposto De Renda e Contribuição Social</t>
  </si>
  <si>
    <t>Imposto De Renda e Contribuição Social</t>
  </si>
  <si>
    <t>Gás</t>
  </si>
  <si>
    <t>Variações cambiais sobre caixa e equivalentes de caixa</t>
  </si>
  <si>
    <t xml:space="preserve">Ajustes para reconciliar o lucro (prejuízo) antes dos impostos do </t>
  </si>
  <si>
    <t>Variações Nos Ativos</t>
  </si>
  <si>
    <t>Variações Nos Passivos</t>
  </si>
  <si>
    <t>Impostos a recolher</t>
  </si>
  <si>
    <t>Juros pagos</t>
  </si>
  <si>
    <t>Imposto de renda e contribuição social pagos</t>
  </si>
  <si>
    <t>Pagamentos de financiamentos</t>
  </si>
  <si>
    <t>Exercício de opção de ações</t>
  </si>
  <si>
    <t>Amortização de arrendamento mercantil - principal</t>
  </si>
  <si>
    <t>Fluxo de Caixa das Atividades de Investimentos</t>
  </si>
  <si>
    <t>Fluxo de Caixa Proveniente das Atividades de Financiamento</t>
  </si>
  <si>
    <t>Fluxo de Caixa Proveniente das Operações</t>
  </si>
  <si>
    <t>Ativo</t>
  </si>
  <si>
    <t>Circulante</t>
  </si>
  <si>
    <t>Total dos Ativos Circulantes</t>
  </si>
  <si>
    <t>Não Circulante</t>
  </si>
  <si>
    <t>Total dos Ativos Não Circulantes</t>
  </si>
  <si>
    <t>Passivo</t>
  </si>
  <si>
    <t>Total do Ativo</t>
  </si>
  <si>
    <t>Total do Patrimônio Líquido</t>
  </si>
  <si>
    <t>Total do Passivo e Patrimônio Líquido</t>
  </si>
  <si>
    <t>Total do Passivo</t>
  </si>
  <si>
    <t>Total do Passivo Circulante</t>
  </si>
  <si>
    <t>Total do Passivo Não Circulante</t>
  </si>
  <si>
    <t>Custos dos Serviços Prestados e dos Produtos Vendidos</t>
  </si>
  <si>
    <t xml:space="preserve">Royalties </t>
  </si>
  <si>
    <t>Depleção, Depreciação e Amortização</t>
  </si>
  <si>
    <t>Instrumentos financeiros derivativos</t>
  </si>
  <si>
    <t>Receita Bruta</t>
  </si>
  <si>
    <t>Impostos sobre faturamento</t>
  </si>
  <si>
    <t xml:space="preserve">Pessoal </t>
  </si>
  <si>
    <t>Outros custos e despesas</t>
  </si>
  <si>
    <t>Custos e Despesas</t>
  </si>
  <si>
    <t>EBITDA</t>
  </si>
  <si>
    <t>Total dos Custos e Despesas</t>
  </si>
  <si>
    <t>Eletricidade</t>
  </si>
  <si>
    <t xml:space="preserve">Receita Líquida </t>
  </si>
  <si>
    <t xml:space="preserve">Total </t>
  </si>
  <si>
    <t xml:space="preserve">Jan </t>
  </si>
  <si>
    <t>COMMODITY NAME</t>
  </si>
  <si>
    <t>CONTRACT MONTH</t>
  </si>
  <si>
    <t>DAILY PRICE RANGE</t>
  </si>
  <si>
    <t>SETTLE</t>
  </si>
  <si>
    <t>VOLUME AND OI TOTALS</t>
  </si>
  <si>
    <t>OPEN#</t>
  </si>
  <si>
    <t>HIGH</t>
  </si>
  <si>
    <t>LOW</t>
  </si>
  <si>
    <t>CLOSE#</t>
  </si>
  <si>
    <t>PRICE</t>
  </si>
  <si>
    <t>CHANGE</t>
  </si>
  <si>
    <t>TOTAL VOLUME</t>
  </si>
  <si>
    <t>OI</t>
  </si>
  <si>
    <t>EFP</t>
  </si>
  <si>
    <t>EFS</t>
  </si>
  <si>
    <t>BLOCK VOLUME</t>
  </si>
  <si>
    <t>SPREAD VOLUME</t>
  </si>
  <si>
    <t>B-Brent Crude Future</t>
  </si>
  <si>
    <t>B</t>
  </si>
  <si>
    <t>Mar23</t>
  </si>
  <si>
    <t>Apr23</t>
  </si>
  <si>
    <t>May23</t>
  </si>
  <si>
    <t>Jun23</t>
  </si>
  <si>
    <t>Jul23</t>
  </si>
  <si>
    <t>Aug23</t>
  </si>
  <si>
    <t>Sep23</t>
  </si>
  <si>
    <t>Oct23</t>
  </si>
  <si>
    <t>Nov23</t>
  </si>
  <si>
    <t>Dec23</t>
  </si>
  <si>
    <t>Jan24</t>
  </si>
  <si>
    <t>Feb24</t>
  </si>
  <si>
    <t>Mar24</t>
  </si>
  <si>
    <t>Apr24</t>
  </si>
  <si>
    <t>May24</t>
  </si>
  <si>
    <t>Jun24</t>
  </si>
  <si>
    <t>Jul24</t>
  </si>
  <si>
    <t>Aug24</t>
  </si>
  <si>
    <t>Sep24</t>
  </si>
  <si>
    <t>Oct24</t>
  </si>
  <si>
    <t>Nov24</t>
  </si>
  <si>
    <t>Dec24</t>
  </si>
  <si>
    <t>Jan25</t>
  </si>
  <si>
    <t>Feb25</t>
  </si>
  <si>
    <t>Mar25</t>
  </si>
  <si>
    <t>Apr25</t>
  </si>
  <si>
    <t>May25</t>
  </si>
  <si>
    <t>Jun25</t>
  </si>
  <si>
    <t>Jul25</t>
  </si>
  <si>
    <t>Aug25</t>
  </si>
  <si>
    <t>Sep25</t>
  </si>
  <si>
    <t>Oct25</t>
  </si>
  <si>
    <t>Nov25</t>
  </si>
  <si>
    <t>Dec25</t>
  </si>
  <si>
    <t>Jan26</t>
  </si>
  <si>
    <t>Feb26</t>
  </si>
  <si>
    <t>Mar26</t>
  </si>
  <si>
    <t>Apr26</t>
  </si>
  <si>
    <t>May26</t>
  </si>
  <si>
    <t>Jun26</t>
  </si>
  <si>
    <t>Jul26</t>
  </si>
  <si>
    <t>Aug26</t>
  </si>
  <si>
    <t>Sep26</t>
  </si>
  <si>
    <t>Oct26</t>
  </si>
  <si>
    <t>Nov26</t>
  </si>
  <si>
    <t>Dec26</t>
  </si>
  <si>
    <t>Jan27</t>
  </si>
  <si>
    <t>Feb27</t>
  </si>
  <si>
    <t>Mar27</t>
  </si>
  <si>
    <t>Apr27</t>
  </si>
  <si>
    <t>May27</t>
  </si>
  <si>
    <t>Jun27</t>
  </si>
  <si>
    <t>Jul27</t>
  </si>
  <si>
    <t>Aug27</t>
  </si>
  <si>
    <t>Sep27</t>
  </si>
  <si>
    <t>Oct27</t>
  </si>
  <si>
    <t>Nov27</t>
  </si>
  <si>
    <t>Dec27</t>
  </si>
  <si>
    <t>Jan28</t>
  </si>
  <si>
    <t>Feb28</t>
  </si>
  <si>
    <t>Mar28</t>
  </si>
  <si>
    <t>Apr28</t>
  </si>
  <si>
    <t>May28</t>
  </si>
  <si>
    <t>Jun28</t>
  </si>
  <si>
    <t>Jul28</t>
  </si>
  <si>
    <t>Aug28</t>
  </si>
  <si>
    <t>Sep28</t>
  </si>
  <si>
    <t>Oct28</t>
  </si>
  <si>
    <t>Nov28</t>
  </si>
  <si>
    <t>Dec28</t>
  </si>
  <si>
    <t>Jan29</t>
  </si>
  <si>
    <t>Feb29</t>
  </si>
  <si>
    <t>Mar29</t>
  </si>
  <si>
    <t>Totals for B:</t>
  </si>
  <si>
    <r>
      <rPr>
        <sz val="10"/>
        <color rgb="FF989898"/>
        <rFont val="Calibri"/>
        <family val="2"/>
        <scheme val="minor"/>
      </rPr>
      <t>NOTE:  The information contained in this report is compiled for the convenience of subscribers and is furnished without responsibility for accuracy and is accepted by the subscriber on the condition that errors or omissions shall not be made the basis for any claim, demand or cause of action.
NOTE:  OI information is not available until the next business day.
NOTE:  Volume is aggregated and representative of each Futures market strip including applicable TAS and Minute Marker(s) trading activity. NOTE:  Spread Volume includes futures/options combinations, spreads, and defined strategies.</t>
    </r>
  </si>
  <si>
    <r>
      <rPr>
        <sz val="10"/>
        <color rgb="FF989898"/>
        <rFont val="Calibri"/>
        <family val="2"/>
        <scheme val="minor"/>
      </rPr>
      <t>#      Open and Close prices reflect the first and last trade in the market and do not correlate to any opening or closing periods.</t>
    </r>
  </si>
  <si>
    <t>Total Imposto de Renda e Contribuição Social</t>
  </si>
  <si>
    <t>Lucro (Prejuízo) Antes dos Impostos</t>
  </si>
  <si>
    <t>Receita Líquida</t>
  </si>
  <si>
    <t>https://www.theice.com/marketdata/reports/10</t>
  </si>
  <si>
    <t>No link abaixo você pode buscar curva de contratos futuros de Petróleo. A Companhia usa a opção "B- Brent Crude Future"</t>
  </si>
  <si>
    <t>https://www.eia.gov/dnav/pet/hist/LeafHandler.ashx?n=PET&amp;s=RBRTE&amp;f=M</t>
  </si>
  <si>
    <t>No link abaixo você pode buscar preços históricos do Brent .</t>
  </si>
  <si>
    <t>Europe Brent Spot Price FOB (Dollars per Barrel)</t>
  </si>
  <si>
    <t>Year</t>
  </si>
  <si>
    <t>Jan</t>
  </si>
  <si>
    <t>Feb</t>
  </si>
  <si>
    <t>Apr</t>
  </si>
  <si>
    <t>May</t>
  </si>
  <si>
    <t>Aug</t>
  </si>
  <si>
    <t>Sep</t>
  </si>
  <si>
    <t>Oct</t>
  </si>
  <si>
    <t>Dec</t>
  </si>
  <si>
    <t>  1987</t>
  </si>
  <si>
    <t>18.58</t>
  </si>
  <si>
    <t>18.86</t>
  </si>
  <si>
    <t>19.86</t>
  </si>
  <si>
    <t>18.98</t>
  </si>
  <si>
    <t>18.31</t>
  </si>
  <si>
    <t>18.76</t>
  </si>
  <si>
    <t>17.78</t>
  </si>
  <si>
    <t>17.05</t>
  </si>
  <si>
    <t>  1988</t>
  </si>
  <si>
    <t>16.75</t>
  </si>
  <si>
    <t>15.73</t>
  </si>
  <si>
    <t>14.73</t>
  </si>
  <si>
    <t>16.60</t>
  </si>
  <si>
    <t>16.31</t>
  </si>
  <si>
    <t>15.54</t>
  </si>
  <si>
    <t>14.91</t>
  </si>
  <si>
    <t>14.89</t>
  </si>
  <si>
    <t>13.18</t>
  </si>
  <si>
    <t>12.41</t>
  </si>
  <si>
    <t>13.02</t>
  </si>
  <si>
    <t>15.31</t>
  </si>
  <si>
    <t>  1989</t>
  </si>
  <si>
    <t>17.17</t>
  </si>
  <si>
    <t>16.89</t>
  </si>
  <si>
    <t>18.70</t>
  </si>
  <si>
    <t>20.32</t>
  </si>
  <si>
    <t>18.63</t>
  </si>
  <si>
    <t>17.67</t>
  </si>
  <si>
    <t>17.62</t>
  </si>
  <si>
    <t>16.77</t>
  </si>
  <si>
    <t>17.77</t>
  </si>
  <si>
    <t>18.91</t>
  </si>
  <si>
    <t>18.73</t>
  </si>
  <si>
    <t>19.84</t>
  </si>
  <si>
    <t>  1990</t>
  </si>
  <si>
    <t>21.25</t>
  </si>
  <si>
    <t>19.81</t>
  </si>
  <si>
    <t>18.39</t>
  </si>
  <si>
    <t>16.61</t>
  </si>
  <si>
    <t>16.35</t>
  </si>
  <si>
    <t>15.10</t>
  </si>
  <si>
    <t>27.17</t>
  </si>
  <si>
    <t>34.90</t>
  </si>
  <si>
    <t>36.02</t>
  </si>
  <si>
    <t>33.07</t>
  </si>
  <si>
    <t>28.27</t>
  </si>
  <si>
    <t>  1991</t>
  </si>
  <si>
    <t>23.57</t>
  </si>
  <si>
    <t>19.54</t>
  </si>
  <si>
    <t>19.08</t>
  </si>
  <si>
    <t>19.18</t>
  </si>
  <si>
    <t>19.19</t>
  </si>
  <si>
    <t>18.17</t>
  </si>
  <si>
    <t>19.40</t>
  </si>
  <si>
    <t>19.77</t>
  </si>
  <si>
    <t>20.50</t>
  </si>
  <si>
    <t>22.21</t>
  </si>
  <si>
    <t>21.11</t>
  </si>
  <si>
    <t>18.41</t>
  </si>
  <si>
    <t>  1992</t>
  </si>
  <si>
    <t>18.16</t>
  </si>
  <si>
    <t>18.05</t>
  </si>
  <si>
    <t>17.63</t>
  </si>
  <si>
    <t>18.92</t>
  </si>
  <si>
    <t>19.89</t>
  </si>
  <si>
    <t>21.16</t>
  </si>
  <si>
    <t>20.24</t>
  </si>
  <si>
    <t>19.74</t>
  </si>
  <si>
    <t>20.27</t>
  </si>
  <si>
    <t>20.26</t>
  </si>
  <si>
    <t>19.21</t>
  </si>
  <si>
    <t>18.14</t>
  </si>
  <si>
    <t>  1993</t>
  </si>
  <si>
    <t>17.39</t>
  </si>
  <si>
    <t>18.47</t>
  </si>
  <si>
    <t>18.79</t>
  </si>
  <si>
    <t>18.67</t>
  </si>
  <si>
    <t>18.51</t>
  </si>
  <si>
    <t>17.65</t>
  </si>
  <si>
    <t>16.78</t>
  </si>
  <si>
    <t>16.70</t>
  </si>
  <si>
    <t>16.01</t>
  </si>
  <si>
    <t>15.20</t>
  </si>
  <si>
    <t>13.73</t>
  </si>
  <si>
    <t>  1994</t>
  </si>
  <si>
    <t>14.29</t>
  </si>
  <si>
    <t>13.80</t>
  </si>
  <si>
    <t>13.82</t>
  </si>
  <si>
    <t>15.23</t>
  </si>
  <si>
    <t>16.19</t>
  </si>
  <si>
    <t>16.76</t>
  </si>
  <si>
    <t>17.60</t>
  </si>
  <si>
    <t>15.90</t>
  </si>
  <si>
    <t>16.49</t>
  </si>
  <si>
    <t>17.19</t>
  </si>
  <si>
    <t>15.93</t>
  </si>
  <si>
    <t>  1995</t>
  </si>
  <si>
    <t>16.55</t>
  </si>
  <si>
    <t>17.11</t>
  </si>
  <si>
    <t>17.01</t>
  </si>
  <si>
    <t>18.65</t>
  </si>
  <si>
    <t>18.35</t>
  </si>
  <si>
    <t>17.31</t>
  </si>
  <si>
    <t>15.85</t>
  </si>
  <si>
    <t>16.10</t>
  </si>
  <si>
    <t>16.11</t>
  </si>
  <si>
    <t>16.86</t>
  </si>
  <si>
    <t>17.93</t>
  </si>
  <si>
    <t>  1996</t>
  </si>
  <si>
    <t>17.85</t>
  </si>
  <si>
    <t>18.00</t>
  </si>
  <si>
    <t>19.85</t>
  </si>
  <si>
    <t>20.90</t>
  </si>
  <si>
    <t>19.15</t>
  </si>
  <si>
    <t>18.46</t>
  </si>
  <si>
    <t>19.57</t>
  </si>
  <si>
    <t>20.51</t>
  </si>
  <si>
    <t>22.63</t>
  </si>
  <si>
    <t>24.16</t>
  </si>
  <si>
    <t>22.76</t>
  </si>
  <si>
    <t>23.78</t>
  </si>
  <si>
    <t>  1997</t>
  </si>
  <si>
    <t>23.54</t>
  </si>
  <si>
    <t>20.85</t>
  </si>
  <si>
    <t>19.13</t>
  </si>
  <si>
    <t>17.56</t>
  </si>
  <si>
    <t>19.02</t>
  </si>
  <si>
    <t>17.58</t>
  </si>
  <si>
    <t>18.60</t>
  </si>
  <si>
    <t>19.87</t>
  </si>
  <si>
    <t>19.17</t>
  </si>
  <si>
    <t>17.18</t>
  </si>
  <si>
    <t>  1998</t>
  </si>
  <si>
    <t>15.19</t>
  </si>
  <si>
    <t>14.07</t>
  </si>
  <si>
    <t>13.10</t>
  </si>
  <si>
    <t>13.53</t>
  </si>
  <si>
    <t>14.36</t>
  </si>
  <si>
    <t>12.21</t>
  </si>
  <si>
    <t>12.08</t>
  </si>
  <si>
    <t>11.91</t>
  </si>
  <si>
    <t>13.34</t>
  </si>
  <si>
    <t>12.70</t>
  </si>
  <si>
    <t>11.04</t>
  </si>
  <si>
    <t>9.82</t>
  </si>
  <si>
    <t>  1999</t>
  </si>
  <si>
    <t>11.11</t>
  </si>
  <si>
    <t>10.27</t>
  </si>
  <si>
    <t>12.51</t>
  </si>
  <si>
    <t>15.29</t>
  </si>
  <si>
    <t>15.86</t>
  </si>
  <si>
    <t>20.22</t>
  </si>
  <si>
    <t>22.54</t>
  </si>
  <si>
    <t>22.00</t>
  </si>
  <si>
    <t>24.58</t>
  </si>
  <si>
    <t>25.47</t>
  </si>
  <si>
    <t>  2000</t>
  </si>
  <si>
    <t>25.51</t>
  </si>
  <si>
    <t>27.78</t>
  </si>
  <si>
    <t>27.49</t>
  </si>
  <si>
    <t>27.74</t>
  </si>
  <si>
    <t>29.80</t>
  </si>
  <si>
    <t>28.68</t>
  </si>
  <si>
    <t>30.20</t>
  </si>
  <si>
    <t>33.14</t>
  </si>
  <si>
    <t>30.96</t>
  </si>
  <si>
    <t>32.55</t>
  </si>
  <si>
    <t>25.66</t>
  </si>
  <si>
    <t>  2001</t>
  </si>
  <si>
    <t>25.62</t>
  </si>
  <si>
    <t>27.50</t>
  </si>
  <si>
    <t>24.50</t>
  </si>
  <si>
    <t>28.31</t>
  </si>
  <si>
    <t>27.85</t>
  </si>
  <si>
    <t>24.61</t>
  </si>
  <si>
    <t>25.68</t>
  </si>
  <si>
    <t>20.54</t>
  </si>
  <si>
    <t>18.80</t>
  </si>
  <si>
    <t>18.71</t>
  </si>
  <si>
    <t>  2002</t>
  </si>
  <si>
    <t>19.42</t>
  </si>
  <si>
    <t>20.28</t>
  </si>
  <si>
    <t>23.70</t>
  </si>
  <si>
    <t>25.73</t>
  </si>
  <si>
    <t>25.35</t>
  </si>
  <si>
    <t>24.08</t>
  </si>
  <si>
    <t>25.74</t>
  </si>
  <si>
    <t>26.65</t>
  </si>
  <si>
    <t>28.40</t>
  </si>
  <si>
    <t>27.54</t>
  </si>
  <si>
    <t>24.34</t>
  </si>
  <si>
    <t>28.33</t>
  </si>
  <si>
    <t>  2003</t>
  </si>
  <si>
    <t>31.18</t>
  </si>
  <si>
    <t>32.77</t>
  </si>
  <si>
    <t>30.61</t>
  </si>
  <si>
    <t>25.00</t>
  </si>
  <si>
    <t>25.86</t>
  </si>
  <si>
    <t>27.65</t>
  </si>
  <si>
    <t>28.35</t>
  </si>
  <si>
    <t>29.89</t>
  </si>
  <si>
    <t>27.11</t>
  </si>
  <si>
    <t>29.61</t>
  </si>
  <si>
    <t>28.75</t>
  </si>
  <si>
    <t>29.81</t>
  </si>
  <si>
    <t>  2004</t>
  </si>
  <si>
    <t>31.28</t>
  </si>
  <si>
    <t>30.86</t>
  </si>
  <si>
    <t>33.63</t>
  </si>
  <si>
    <t>33.59</t>
  </si>
  <si>
    <t>37.57</t>
  </si>
  <si>
    <t>35.18</t>
  </si>
  <si>
    <t>38.22</t>
  </si>
  <si>
    <t>42.74</t>
  </si>
  <si>
    <t>43.20</t>
  </si>
  <si>
    <t>49.78</t>
  </si>
  <si>
    <t>43.11</t>
  </si>
  <si>
    <t>39.60</t>
  </si>
  <si>
    <t>  2005</t>
  </si>
  <si>
    <t>44.51</t>
  </si>
  <si>
    <t>45.48</t>
  </si>
  <si>
    <t>53.10</t>
  </si>
  <si>
    <t>51.88</t>
  </si>
  <si>
    <t>48.65</t>
  </si>
  <si>
    <t>54.35</t>
  </si>
  <si>
    <t>57.52</t>
  </si>
  <si>
    <t>63.98</t>
  </si>
  <si>
    <t>62.91</t>
  </si>
  <si>
    <t>58.54</t>
  </si>
  <si>
    <t>55.24</t>
  </si>
  <si>
    <t>56.86</t>
  </si>
  <si>
    <t>  2006</t>
  </si>
  <si>
    <t>62.99</t>
  </si>
  <si>
    <t>60.21</t>
  </si>
  <si>
    <t>62.06</t>
  </si>
  <si>
    <t>70.26</t>
  </si>
  <si>
    <t>69.78</t>
  </si>
  <si>
    <t>68.56</t>
  </si>
  <si>
    <t>73.67</t>
  </si>
  <si>
    <t>73.23</t>
  </si>
  <si>
    <t>61.96</t>
  </si>
  <si>
    <t>57.81</t>
  </si>
  <si>
    <t>58.76</t>
  </si>
  <si>
    <t>62.47</t>
  </si>
  <si>
    <t>  2007</t>
  </si>
  <si>
    <t>53.68</t>
  </si>
  <si>
    <t>57.56</t>
  </si>
  <si>
    <t>62.05</t>
  </si>
  <si>
    <t>67.49</t>
  </si>
  <si>
    <t>67.21</t>
  </si>
  <si>
    <t>71.05</t>
  </si>
  <si>
    <t>76.93</t>
  </si>
  <si>
    <t>70.76</t>
  </si>
  <si>
    <t>77.17</t>
  </si>
  <si>
    <t>82.34</t>
  </si>
  <si>
    <t>92.41</t>
  </si>
  <si>
    <t>90.93</t>
  </si>
  <si>
    <t>  2008</t>
  </si>
  <si>
    <t>92.18</t>
  </si>
  <si>
    <t>94.99</t>
  </si>
  <si>
    <t>103.64</t>
  </si>
  <si>
    <t>109.07</t>
  </si>
  <si>
    <t>122.80</t>
  </si>
  <si>
    <t>132.32</t>
  </si>
  <si>
    <t>132.72</t>
  </si>
  <si>
    <t>113.24</t>
  </si>
  <si>
    <t>97.23</t>
  </si>
  <si>
    <t>71.58</t>
  </si>
  <si>
    <t>52.45</t>
  </si>
  <si>
    <t>39.95</t>
  </si>
  <si>
    <t>  2009</t>
  </si>
  <si>
    <t>43.44</t>
  </si>
  <si>
    <t>43.32</t>
  </si>
  <si>
    <t>46.54</t>
  </si>
  <si>
    <t>50.18</t>
  </si>
  <si>
    <t>57.30</t>
  </si>
  <si>
    <t>68.61</t>
  </si>
  <si>
    <t>64.44</t>
  </si>
  <si>
    <t>72.51</t>
  </si>
  <si>
    <t>67.65</t>
  </si>
  <si>
    <t>72.77</t>
  </si>
  <si>
    <t>76.66</t>
  </si>
  <si>
    <t>74.46</t>
  </si>
  <si>
    <t>  2010</t>
  </si>
  <si>
    <t>76.17</t>
  </si>
  <si>
    <t>73.75</t>
  </si>
  <si>
    <t>78.83</t>
  </si>
  <si>
    <t>84.82</t>
  </si>
  <si>
    <t>75.95</t>
  </si>
  <si>
    <t>74.76</t>
  </si>
  <si>
    <t>75.58</t>
  </si>
  <si>
    <t>77.04</t>
  </si>
  <si>
    <t>77.84</t>
  </si>
  <si>
    <t>82.67</t>
  </si>
  <si>
    <t>85.28</t>
  </si>
  <si>
    <t>91.45</t>
  </si>
  <si>
    <t>  2011</t>
  </si>
  <si>
    <t>96.52</t>
  </si>
  <si>
    <t>103.72</t>
  </si>
  <si>
    <t>114.64</t>
  </si>
  <si>
    <t>123.26</t>
  </si>
  <si>
    <t>114.99</t>
  </si>
  <si>
    <t>113.83</t>
  </si>
  <si>
    <t>116.97</t>
  </si>
  <si>
    <t>110.22</t>
  </si>
  <si>
    <t>112.83</t>
  </si>
  <si>
    <t>109.55</t>
  </si>
  <si>
    <t>110.77</t>
  </si>
  <si>
    <t>107.87</t>
  </si>
  <si>
    <t>  2012</t>
  </si>
  <si>
    <t>110.69</t>
  </si>
  <si>
    <t>119.33</t>
  </si>
  <si>
    <t>125.45</t>
  </si>
  <si>
    <t>119.75</t>
  </si>
  <si>
    <t>110.34</t>
  </si>
  <si>
    <t>95.16</t>
  </si>
  <si>
    <t>102.62</t>
  </si>
  <si>
    <t>113.36</t>
  </si>
  <si>
    <t>112.86</t>
  </si>
  <si>
    <t>111.71</t>
  </si>
  <si>
    <t>109.06</t>
  </si>
  <si>
    <t>109.49</t>
  </si>
  <si>
    <t>  2013</t>
  </si>
  <si>
    <t>112.96</t>
  </si>
  <si>
    <t>116.05</t>
  </si>
  <si>
    <t>108.47</t>
  </si>
  <si>
    <t>102.25</t>
  </si>
  <si>
    <t>102.56</t>
  </si>
  <si>
    <t>102.92</t>
  </si>
  <si>
    <t>107.93</t>
  </si>
  <si>
    <t>111.28</t>
  </si>
  <si>
    <t>111.60</t>
  </si>
  <si>
    <t>109.08</t>
  </si>
  <si>
    <t>107.79</t>
  </si>
  <si>
    <t>110.76</t>
  </si>
  <si>
    <t>  2014</t>
  </si>
  <si>
    <t>108.12</t>
  </si>
  <si>
    <t>108.90</t>
  </si>
  <si>
    <t>107.48</t>
  </si>
  <si>
    <t>107.76</t>
  </si>
  <si>
    <t>109.54</t>
  </si>
  <si>
    <t>111.80</t>
  </si>
  <si>
    <t>106.77</t>
  </si>
  <si>
    <t>101.61</t>
  </si>
  <si>
    <t>97.09</t>
  </si>
  <si>
    <t>87.43</t>
  </si>
  <si>
    <t>79.44</t>
  </si>
  <si>
    <t>62.34</t>
  </si>
  <si>
    <t>  2015</t>
  </si>
  <si>
    <t>47.76</t>
  </si>
  <si>
    <t>58.10</t>
  </si>
  <si>
    <t>55.89</t>
  </si>
  <si>
    <t>59.52</t>
  </si>
  <si>
    <t>64.08</t>
  </si>
  <si>
    <t>61.48</t>
  </si>
  <si>
    <t>56.56</t>
  </si>
  <si>
    <t>46.52</t>
  </si>
  <si>
    <t>47.62</t>
  </si>
  <si>
    <t>48.43</t>
  </si>
  <si>
    <t>44.27</t>
  </si>
  <si>
    <t>38.01</t>
  </si>
  <si>
    <t>  2016</t>
  </si>
  <si>
    <t>30.70</t>
  </si>
  <si>
    <t>32.18</t>
  </si>
  <si>
    <t>38.21</t>
  </si>
  <si>
    <t>41.58</t>
  </si>
  <si>
    <t>46.74</t>
  </si>
  <si>
    <t>48.25</t>
  </si>
  <si>
    <t>44.95</t>
  </si>
  <si>
    <t>45.84</t>
  </si>
  <si>
    <t>46.57</t>
  </si>
  <si>
    <t>49.52</t>
  </si>
  <si>
    <t>44.73</t>
  </si>
  <si>
    <t>53.31</t>
  </si>
  <si>
    <t>  2017</t>
  </si>
  <si>
    <t>54.58</t>
  </si>
  <si>
    <t>54.87</t>
  </si>
  <si>
    <t>51.59</t>
  </si>
  <si>
    <t>52.31</t>
  </si>
  <si>
    <t>50.33</t>
  </si>
  <si>
    <t>46.37</t>
  </si>
  <si>
    <t>48.48</t>
  </si>
  <si>
    <t>51.70</t>
  </si>
  <si>
    <t>56.15</t>
  </si>
  <si>
    <t>57.51</t>
  </si>
  <si>
    <t>62.71</t>
  </si>
  <si>
    <t>64.37</t>
  </si>
  <si>
    <t>  2018</t>
  </si>
  <si>
    <t>69.08</t>
  </si>
  <si>
    <t>65.32</t>
  </si>
  <si>
    <t>66.02</t>
  </si>
  <si>
    <t>72.11</t>
  </si>
  <si>
    <t>76.98</t>
  </si>
  <si>
    <t>74.41</t>
  </si>
  <si>
    <t>74.25</t>
  </si>
  <si>
    <t>72.53</t>
  </si>
  <si>
    <t>78.89</t>
  </si>
  <si>
    <t>81.03</t>
  </si>
  <si>
    <t>64.75</t>
  </si>
  <si>
    <t>57.36</t>
  </si>
  <si>
    <t>  2019</t>
  </si>
  <si>
    <t>59.41</t>
  </si>
  <si>
    <t>63.96</t>
  </si>
  <si>
    <t>66.14</t>
  </si>
  <si>
    <t>71.23</t>
  </si>
  <si>
    <t>71.32</t>
  </si>
  <si>
    <t>64.22</t>
  </si>
  <si>
    <t>63.92</t>
  </si>
  <si>
    <t>59.04</t>
  </si>
  <si>
    <t>62.83</t>
  </si>
  <si>
    <t>59.71</t>
  </si>
  <si>
    <t>63.21</t>
  </si>
  <si>
    <t>67.31</t>
  </si>
  <si>
    <t>  2020</t>
  </si>
  <si>
    <t>63.65</t>
  </si>
  <si>
    <t>55.66</t>
  </si>
  <si>
    <t>32.01</t>
  </si>
  <si>
    <t>18.38</t>
  </si>
  <si>
    <t>29.38</t>
  </si>
  <si>
    <t>40.27</t>
  </si>
  <si>
    <t>43.24</t>
  </si>
  <si>
    <t>44.74</t>
  </si>
  <si>
    <t>40.91</t>
  </si>
  <si>
    <t>40.19</t>
  </si>
  <si>
    <t>42.69</t>
  </si>
  <si>
    <t>49.99</t>
  </si>
  <si>
    <t>  2021</t>
  </si>
  <si>
    <t>54.77</t>
  </si>
  <si>
    <t>62.28</t>
  </si>
  <si>
    <t>65.41</t>
  </si>
  <si>
    <t>64.81</t>
  </si>
  <si>
    <t>68.53</t>
  </si>
  <si>
    <t>73.16</t>
  </si>
  <si>
    <t>75.17</t>
  </si>
  <si>
    <t>70.75</t>
  </si>
  <si>
    <t>74.49</t>
  </si>
  <si>
    <t>83.54</t>
  </si>
  <si>
    <t>81.05</t>
  </si>
  <si>
    <t>74.17</t>
  </si>
  <si>
    <t>  2022</t>
  </si>
  <si>
    <t>86.51</t>
  </si>
  <si>
    <t>Total</t>
  </si>
  <si>
    <r>
      <t xml:space="preserve">Gás
</t>
    </r>
    <r>
      <rPr>
        <b/>
        <sz val="8"/>
        <color theme="0"/>
        <rFont val="Calibri"/>
        <family val="2"/>
      </rPr>
      <t>MMBOE</t>
    </r>
  </si>
  <si>
    <r>
      <t xml:space="preserve">Total
</t>
    </r>
    <r>
      <rPr>
        <b/>
        <sz val="8"/>
        <color theme="0"/>
        <rFont val="Calibri"/>
        <family val="2"/>
      </rPr>
      <t>MMBOE</t>
    </r>
  </si>
  <si>
    <t>Remanso + BTREC</t>
  </si>
  <si>
    <t>Total 1P Gross WI</t>
  </si>
  <si>
    <t>Total 2P Gross WI</t>
  </si>
  <si>
    <t>Ano</t>
  </si>
  <si>
    <t>TOTAL</t>
  </si>
  <si>
    <t>MBOE</t>
  </si>
  <si>
    <t>(US$ 000)</t>
  </si>
  <si>
    <t>(US$/bbl)</t>
  </si>
  <si>
    <t>Opex</t>
  </si>
  <si>
    <t>Midstream</t>
  </si>
  <si>
    <t>LOE</t>
  </si>
  <si>
    <t>Remanso+BTREC*</t>
  </si>
  <si>
    <t>Jan'22</t>
  </si>
  <si>
    <t>Produto</t>
  </si>
  <si>
    <t>Comentários</t>
  </si>
  <si>
    <t>Pis / Cofins</t>
  </si>
  <si>
    <t xml:space="preserve">  Óleo </t>
  </si>
  <si>
    <t>N/A</t>
  </si>
  <si>
    <t>ICMS</t>
  </si>
  <si>
    <t>Com exclusão do ICMS na Base de Cálculo do Pis/ Cofins</t>
  </si>
  <si>
    <t>Royalty Cost</t>
  </si>
  <si>
    <t>Revenue Tax</t>
  </si>
  <si>
    <t>Capital Cost</t>
  </si>
  <si>
    <t>Abdnmnt Cost</t>
  </si>
  <si>
    <t xml:space="preserve">2P Equiv. Gross WI </t>
  </si>
  <si>
    <t>Imobilizado e Intangível</t>
  </si>
  <si>
    <t>Fev'22</t>
  </si>
  <si>
    <t>Mar'22</t>
  </si>
  <si>
    <t>97.13</t>
  </si>
  <si>
    <t>117.25</t>
  </si>
  <si>
    <t>104.58</t>
  </si>
  <si>
    <t>exercício / período com o caixa gerado pelas atividades operacionais</t>
  </si>
  <si>
    <t>Lucro Operacional</t>
  </si>
  <si>
    <t>Lucro (Prejuízo) Líquido Do Exercício / Período</t>
  </si>
  <si>
    <t>Abr'22</t>
  </si>
  <si>
    <t>In thousands of reais</t>
  </si>
  <si>
    <t>Assets</t>
  </si>
  <si>
    <t xml:space="preserve">Balanço Patrimonial Consolidado | Consolidated Balance Sheet </t>
  </si>
  <si>
    <t>1T21 / 1Q21</t>
  </si>
  <si>
    <t>2T21 / 2Q21</t>
  </si>
  <si>
    <t>3T21/3Q21</t>
  </si>
  <si>
    <t>1T22 / 1Q22</t>
  </si>
  <si>
    <t>Cash and cash equivalents</t>
  </si>
  <si>
    <t>Taxes to be recovered</t>
  </si>
  <si>
    <t>Other assets</t>
  </si>
  <si>
    <t>Total Current Assets</t>
  </si>
  <si>
    <t>Judicial deposits</t>
  </si>
  <si>
    <t>Investments</t>
  </si>
  <si>
    <t>Total Non-Current Assets</t>
  </si>
  <si>
    <t>Suppliers</t>
  </si>
  <si>
    <t>Salaries and social charges</t>
  </si>
  <si>
    <t>Loans and financing</t>
  </si>
  <si>
    <t>Dividends payable</t>
  </si>
  <si>
    <t>Amounts payable for acquisitions</t>
  </si>
  <si>
    <t>Other accounts payable</t>
  </si>
  <si>
    <t>Total Current Liabilities</t>
  </si>
  <si>
    <t>Total Non-Current Liabilities</t>
  </si>
  <si>
    <t>Total Liabilities</t>
  </si>
  <si>
    <t>Share capital</t>
  </si>
  <si>
    <t>Treasury shares</t>
  </si>
  <si>
    <t>Capital reserve</t>
  </si>
  <si>
    <t>Retained earnings</t>
  </si>
  <si>
    <t>Equity valuation adjustments</t>
  </si>
  <si>
    <t>Capital transaction</t>
  </si>
  <si>
    <t>Advance for future capital increase</t>
  </si>
  <si>
    <t>Total Assets</t>
  </si>
  <si>
    <t>Net Revenue</t>
  </si>
  <si>
    <t>Total Expenses</t>
  </si>
  <si>
    <t>Financial Revenues</t>
  </si>
  <si>
    <t xml:space="preserve">Financial Expenses </t>
  </si>
  <si>
    <t>Exchange Variation, Net</t>
  </si>
  <si>
    <t>Profit (Loss) Before Taxes</t>
  </si>
  <si>
    <t>Income Tax and Social Contribution</t>
  </si>
  <si>
    <t>Current</t>
  </si>
  <si>
    <t>Deferred</t>
  </si>
  <si>
    <t>Total Income Tax and Social Contribution</t>
  </si>
  <si>
    <t>Net Income (Loss) For the Year / Period</t>
  </si>
  <si>
    <t>1T20 / 1Q20</t>
  </si>
  <si>
    <t>2T20 /2Q20</t>
  </si>
  <si>
    <t>3T20 / 3Q20</t>
  </si>
  <si>
    <t>4T20 / 4Q20</t>
  </si>
  <si>
    <t>2T21 /2Q21</t>
  </si>
  <si>
    <t>3T21 / 3Q21</t>
  </si>
  <si>
    <t>4T21 / 4Q21</t>
  </si>
  <si>
    <t>Demonstração de Resultados (Detalhada) |  Income Statement (Detailed)</t>
  </si>
  <si>
    <t>Derivative financial instruments</t>
  </si>
  <si>
    <t>Costs and Expenses</t>
  </si>
  <si>
    <t>Electricity</t>
  </si>
  <si>
    <t>Provision for well abandonment</t>
  </si>
  <si>
    <t>Other costs and expenses</t>
  </si>
  <si>
    <t>Total Costs and Expenses</t>
  </si>
  <si>
    <t>Personnel</t>
  </si>
  <si>
    <t>Depletion, Depreciation and Amortization</t>
  </si>
  <si>
    <t>Operating Income (Loss)</t>
  </si>
  <si>
    <t>Preço Futuro  Future Price</t>
  </si>
  <si>
    <t>Referências de Preço de Petróleo | Oil Price Reference</t>
  </si>
  <si>
    <t>In the link below you can look for curve of oil futures contracts. The Company uses the option "B- Brent Crude Future"</t>
  </si>
  <si>
    <t>Preço Histórico  Historical Price</t>
  </si>
  <si>
    <t>At the link below you can search for historical Brent prices.</t>
  </si>
  <si>
    <t>Fluxo de Caixa | Cash Flow</t>
  </si>
  <si>
    <t>Changes in Assets</t>
  </si>
  <si>
    <t>Changes in Liabilities</t>
  </si>
  <si>
    <t>Taxes to be collected</t>
  </si>
  <si>
    <t>Payment of tax, civil, labor and regulatory contingencies</t>
  </si>
  <si>
    <t>Payment of hedge contracts</t>
  </si>
  <si>
    <t>Interest paid</t>
  </si>
  <si>
    <t>Income tax and social contribution paid</t>
  </si>
  <si>
    <t>Net Cash Generated by Operating Activities</t>
  </si>
  <si>
    <t>Cash Flow from Investment Activities</t>
  </si>
  <si>
    <t>Cash Flow From Financing Activities</t>
  </si>
  <si>
    <t>Financing payments</t>
  </si>
  <si>
    <t>Stock option exercise</t>
  </si>
  <si>
    <t>Amortization of leasing - principal</t>
  </si>
  <si>
    <t>Exchange variations on cash and cash equivalents</t>
  </si>
  <si>
    <t>Increase (Decrease) in Cash Balance and Cash Equivalents</t>
  </si>
  <si>
    <t>Cash and cash equivalents at the beginning of the period /fiscal year</t>
  </si>
  <si>
    <t>Cash and cash equivalents at the end of the period /fiscal year</t>
  </si>
  <si>
    <t>Produção de Titularidade da Companhia | Working Interest Production</t>
  </si>
  <si>
    <t>Petróleo | Oil</t>
  </si>
  <si>
    <t>Gás | Gas</t>
  </si>
  <si>
    <r>
      <rPr>
        <b/>
        <sz val="8"/>
        <color theme="0"/>
        <rFont val="Calibri"/>
        <family val="2"/>
        <scheme val="minor"/>
      </rPr>
      <t xml:space="preserve">Petróleo |Oil
</t>
    </r>
    <r>
      <rPr>
        <b/>
        <sz val="8"/>
        <color theme="0"/>
        <rFont val="Calibri"/>
        <family val="2"/>
      </rPr>
      <t>MMBOE</t>
    </r>
  </si>
  <si>
    <t>1P - Reservas Provadas | Proved Reserves</t>
  </si>
  <si>
    <t>Total 1P</t>
  </si>
  <si>
    <t>Reservas Prováveis | Probable Reserves</t>
  </si>
  <si>
    <t>Certificação de Reservas de Participação Bruta | Reserve Certification Gross Working Interest</t>
  </si>
  <si>
    <t>Para detalhamento completo, os Relatórios e Planilhas da Certificação de Reservas estão disponíveis em:  https://ri.petroreconcavo.com.br/informacoes-financeiras/relatorios-de-certificacao-de-reservas/</t>
  </si>
  <si>
    <t>For full detail, Reserve Report documents and Sheets are available at: https://ri.petroreconcavo.com.br/en/financial-information/reserves-reports/</t>
  </si>
  <si>
    <t>2P - Reservas Provadas + Prováveis | Proved + Probable Reserves</t>
  </si>
  <si>
    <t>Total 2P</t>
  </si>
  <si>
    <t>1P - Provada | Proved</t>
  </si>
  <si>
    <t>2P - Provadas + Prováveis | Proved + Probable</t>
  </si>
  <si>
    <r>
      <t xml:space="preserve">Gás | Gas
</t>
    </r>
    <r>
      <rPr>
        <b/>
        <sz val="8"/>
        <color theme="0"/>
        <rFont val="Calibri"/>
        <family val="2"/>
      </rPr>
      <t>MMBOE</t>
    </r>
  </si>
  <si>
    <t>Considera 2P Participação Bruta | Considers 2P Gross Working Interest</t>
  </si>
  <si>
    <t>Suporte a Modelagem | Modelling Support</t>
  </si>
  <si>
    <t>Ativo Potiguar 
Potiguar Asset</t>
  </si>
  <si>
    <t xml:space="preserve">Oil </t>
  </si>
  <si>
    <t>Product</t>
  </si>
  <si>
    <t>Comments</t>
  </si>
  <si>
    <t>Current Assets</t>
  </si>
  <si>
    <t>Short-therm investments</t>
  </si>
  <si>
    <t>Trade receivables</t>
  </si>
  <si>
    <t>Inventories</t>
  </si>
  <si>
    <t>Recoverable taxes</t>
  </si>
  <si>
    <t xml:space="preserve">Derivative financial instruments </t>
  </si>
  <si>
    <t xml:space="preserve">Short-term investments </t>
  </si>
  <si>
    <t xml:space="preserve">Deferred taxes </t>
  </si>
  <si>
    <t>PP&amp;E and Intangible assets</t>
  </si>
  <si>
    <t>Lease right-of- use assets</t>
  </si>
  <si>
    <t>Current Liabilities</t>
  </si>
  <si>
    <t>Liabilities</t>
  </si>
  <si>
    <t>Non-Current Liabilities</t>
  </si>
  <si>
    <t>Non-Current Assets</t>
  </si>
  <si>
    <t>Payroll and related charges</t>
  </si>
  <si>
    <t>Lease amounts payable</t>
  </si>
  <si>
    <t>Other payables</t>
  </si>
  <si>
    <t xml:space="preserve">Loans and financing </t>
  </si>
  <si>
    <t>Net Equity</t>
  </si>
  <si>
    <t>Profit reserve</t>
  </si>
  <si>
    <t xml:space="preserve">Costs of Sales and Services </t>
  </si>
  <si>
    <t>Gross Profit</t>
  </si>
  <si>
    <t>Income (Expenses)</t>
  </si>
  <si>
    <t>Operating Income</t>
  </si>
  <si>
    <t>Financial Income</t>
  </si>
  <si>
    <r>
      <t>Total Financial I</t>
    </r>
    <r>
      <rPr>
        <b/>
        <sz val="10"/>
        <rFont val="Calibri"/>
        <family val="2"/>
      </rPr>
      <t>ncome</t>
    </r>
  </si>
  <si>
    <t>Taxes on Income</t>
  </si>
  <si>
    <t>Other net income (expenses)</t>
  </si>
  <si>
    <t>Cash Flow Operation Activities</t>
  </si>
  <si>
    <t>Income (loss) before taxes on income</t>
  </si>
  <si>
    <t>with cash from  operating activities</t>
  </si>
  <si>
    <t xml:space="preserve">Adjustments to reconcile income (loss) before taxes in the period </t>
  </si>
  <si>
    <t>Net Interest and foreign exchange variations</t>
  </si>
  <si>
    <t>Provision for inventories loss</t>
  </si>
  <si>
    <t xml:space="preserve">Fair value of settled hedge </t>
  </si>
  <si>
    <t>Adjustment of provision for well abandonment</t>
  </si>
  <si>
    <t>Write-off of property, plant and equipment and leases</t>
  </si>
  <si>
    <t xml:space="preserve">Trade receivables </t>
  </si>
  <si>
    <t>Demonstração de Resultados (Resumida) |  Income Statement (Summary)</t>
  </si>
  <si>
    <t>Mai'22</t>
  </si>
  <si>
    <t>Jun'22</t>
  </si>
  <si>
    <t>113.34</t>
  </si>
  <si>
    <t>122.71</t>
  </si>
  <si>
    <t>2T22 / 2Q22</t>
  </si>
  <si>
    <t>Lifting Cost Consolidado | Consolidated Lifting Cost</t>
  </si>
  <si>
    <t>Contratos Firmes - Quantidade diária contratual Mm³</t>
  </si>
  <si>
    <t>1S23</t>
  </si>
  <si>
    <t>Bahiagás</t>
  </si>
  <si>
    <t>Potigás</t>
  </si>
  <si>
    <t>Pbgás</t>
  </si>
  <si>
    <t>Cegás</t>
  </si>
  <si>
    <t>Tributos diferidos</t>
  </si>
  <si>
    <t>Deferred taxes</t>
  </si>
  <si>
    <t>Total Net Equity</t>
  </si>
  <si>
    <t>Total Liabilities and Net Equity</t>
  </si>
  <si>
    <t>Atualização da provisão  para abandono de poços</t>
  </si>
  <si>
    <t># Projects- Workover</t>
  </si>
  <si>
    <t># Projects- Drillwells</t>
  </si>
  <si>
    <t>#</t>
  </si>
  <si>
    <t>Capex- Gross WI</t>
  </si>
  <si>
    <t>Jul'22</t>
  </si>
  <si>
    <t xml:space="preserve">Taxes to collect </t>
  </si>
  <si>
    <t>Cash generated by (invested in) Investment activities</t>
  </si>
  <si>
    <t>Cash generated by (invested in) Financing Activities</t>
  </si>
  <si>
    <t>Caixa e equivalentes de caixa no início do período / exercício</t>
  </si>
  <si>
    <t>Caixa e equivalentes de caixa no fim do período / exercício</t>
  </si>
  <si>
    <t>111.93</t>
  </si>
  <si>
    <t>Contratos Firmes Gás Seco | Dry Gas Firm Contracts</t>
  </si>
  <si>
    <t>3T22 / 3Q22</t>
  </si>
  <si>
    <t>100.45</t>
  </si>
  <si>
    <t>89.76</t>
  </si>
  <si>
    <t>Ago'22</t>
  </si>
  <si>
    <t>Set'22</t>
  </si>
  <si>
    <t>TAG</t>
  </si>
  <si>
    <t>Unigel</t>
  </si>
  <si>
    <t>3T22</t>
  </si>
  <si>
    <t>4T22</t>
  </si>
  <si>
    <t>Out'22</t>
  </si>
  <si>
    <t>Nov'22</t>
  </si>
  <si>
    <t>Dez'22</t>
  </si>
  <si>
    <t>Perdas de crédito esperadas</t>
  </si>
  <si>
    <t>Ativo Potiguar</t>
  </si>
  <si>
    <t>R$ MM</t>
  </si>
  <si>
    <t>M Bbl</t>
  </si>
  <si>
    <t>US$ / Bbl</t>
  </si>
  <si>
    <t>US$ / MMBTU</t>
  </si>
  <si>
    <t>Oil</t>
  </si>
  <si>
    <t xml:space="preserve">Petróleo </t>
  </si>
  <si>
    <t>Gas</t>
  </si>
  <si>
    <t>Preço de Realização | Realization Price</t>
  </si>
  <si>
    <t>93.33</t>
  </si>
  <si>
    <t>Expected credit losses</t>
  </si>
  <si>
    <t>Adições ao imobilizado e intangível</t>
  </si>
  <si>
    <t>Additions to assets and intangible</t>
  </si>
  <si>
    <t>Sergas</t>
  </si>
  <si>
    <t>2027-2032</t>
  </si>
  <si>
    <t>  2023</t>
  </si>
  <si>
    <t>82.50</t>
  </si>
  <si>
    <t>91.42</t>
  </si>
  <si>
    <t>80.92</t>
  </si>
  <si>
    <t>Futures Daily Market Report for ICE Brent Futures -  31-Dec-2022</t>
  </si>
  <si>
    <t>Abaixo Referência de Preços em 31/Dezembro/20212, base do  Relatório de Certificação de Reservas</t>
  </si>
  <si>
    <t>Below Price Reference on December 31, 2022, basis of the Reserves Certification Report</t>
  </si>
  <si>
    <t>Apr29</t>
  </si>
  <si>
    <t>May29</t>
  </si>
  <si>
    <t>Jun29</t>
  </si>
  <si>
    <t>Jul29</t>
  </si>
  <si>
    <t>Aug29</t>
  </si>
  <si>
    <t>Sep29</t>
  </si>
  <si>
    <t>Oct29</t>
  </si>
  <si>
    <t>Nov29</t>
  </si>
  <si>
    <t>Dec29</t>
  </si>
  <si>
    <t>Jan30</t>
  </si>
  <si>
    <t>Feb30</t>
  </si>
  <si>
    <t>Mar30</t>
  </si>
  <si>
    <t>Jan'23</t>
  </si>
  <si>
    <t>Fev'23</t>
  </si>
  <si>
    <t>Mar'23</t>
  </si>
  <si>
    <t>Abr'23</t>
  </si>
  <si>
    <t>Mai'23</t>
  </si>
  <si>
    <t>Jun'23</t>
  </si>
  <si>
    <t>Jul'23</t>
  </si>
  <si>
    <t>Ago'23</t>
  </si>
  <si>
    <t>Set'23</t>
  </si>
  <si>
    <t>Out'23</t>
  </si>
  <si>
    <t>Nov'23</t>
  </si>
  <si>
    <t>Dez'23</t>
  </si>
  <si>
    <t>Preço fixo + % variável brent</t>
  </si>
  <si>
    <t>Preço Fixo reajustado por CPI</t>
  </si>
  <si>
    <t>Percentual de Brent</t>
  </si>
  <si>
    <t>Percentual de Brent / Piso e teto fixados / reajustados anualmente por CPI</t>
  </si>
  <si>
    <t>Dividendos e juros sobre capital próprio a pagar</t>
  </si>
  <si>
    <t>4T22 / 4Q22</t>
  </si>
  <si>
    <t>2022</t>
  </si>
  <si>
    <t>Variação do caixa resultante das atividades operacionais</t>
  </si>
  <si>
    <t>Variação do caixa resultante das atividades de investimento</t>
  </si>
  <si>
    <t>Variação do caixa resultante das atividades de financiamento</t>
  </si>
  <si>
    <t>Variação do Saldo de Caixa e Equivalentes de Caixa</t>
  </si>
  <si>
    <t>Dividendos e juros sobre capital próprio pagos</t>
  </si>
  <si>
    <t>Resultado antes dos impostos sobre o lucro</t>
  </si>
  <si>
    <t>Impostos sobre Receita</t>
  </si>
  <si>
    <t>Tiêta</t>
  </si>
  <si>
    <t>1T23 / 1Q23</t>
  </si>
  <si>
    <t>Serviços e Materiais</t>
  </si>
  <si>
    <t>Services and Materials</t>
  </si>
  <si>
    <t>Escoamento de gás</t>
  </si>
  <si>
    <t>Processamento de gás</t>
  </si>
  <si>
    <t>Transporte de gás</t>
  </si>
  <si>
    <t>78.43</t>
  </si>
  <si>
    <t>84.64</t>
  </si>
  <si>
    <t>Aquisição da SPE Tieta, líquida do caixa recebido</t>
  </si>
  <si>
    <t>Receita Bruta de Venda de Petróleo</t>
  </si>
  <si>
    <t>Receita Bruta de Venda de Gás e subprodutos</t>
  </si>
  <si>
    <t>Receita Bruta de Produtos Vendidos</t>
  </si>
  <si>
    <t>Gross Revenue from Products Sold</t>
  </si>
  <si>
    <t>Receita Líquida de Venda de Petróleo</t>
  </si>
  <si>
    <t>Receita Líquida de Venda de Gás e subprodutos</t>
  </si>
  <si>
    <t>Impostos sobre Venda de Petróleo</t>
  </si>
  <si>
    <t>Impostos sobre  Venda de Gás e subprodutos</t>
  </si>
  <si>
    <t>Taxes on Oil Sales Income</t>
  </si>
  <si>
    <t>Taxes on Gas and by-products Income</t>
  </si>
  <si>
    <t xml:space="preserve">Gross Revenue from Oil Sales </t>
  </si>
  <si>
    <t>Gross Revenue from Gas and by-products Sales</t>
  </si>
  <si>
    <t>Gross Revenue from Services Provided</t>
  </si>
  <si>
    <t xml:space="preserve">Net Revenue from Oil Sales </t>
  </si>
  <si>
    <t>Net Revenue from Gas and by-products Sales</t>
  </si>
  <si>
    <t>1. Demonstrações Financeiras</t>
  </si>
  <si>
    <t>1.1. Balanço Patrimonial | Balance Sheet</t>
  </si>
  <si>
    <t>1.2. Demonstração de Resultados (Resumida) |  Income Statement (Summary)</t>
  </si>
  <si>
    <t>1.3. Demonstração de Resultados (Detalhada) |  Income Statement (Detailed)</t>
  </si>
  <si>
    <t>1.4. Fluxo de Caixa | Cash Flow</t>
  </si>
  <si>
    <t>2. Outras referência financeiras</t>
  </si>
  <si>
    <t>2.1 Preço de Realização | Realization Price</t>
  </si>
  <si>
    <t>2.2. Custo Operacional | Lifting Cost</t>
  </si>
  <si>
    <t xml:space="preserve">2.3. Referências de Preço de Petróleo | Oil Price Reference </t>
  </si>
  <si>
    <t>2.5. Contratos Firmes Gás Seco | Dry Gas Firm Contracts</t>
  </si>
  <si>
    <t xml:space="preserve">3. Produção </t>
  </si>
  <si>
    <t>3.1. Produção de Titularidade da Companhia | Working Interest Production</t>
  </si>
  <si>
    <t>4.1. Reservas de Participação Bruta | Gross Working Interest Reserves</t>
  </si>
  <si>
    <t>4.3. Deduções e Despesas Líquidas | Deductions and Net Expenses</t>
  </si>
  <si>
    <t>4.4. Detalhamento do Opex | Opex Breakdown</t>
  </si>
  <si>
    <t>75.47</t>
  </si>
  <si>
    <t>74.84</t>
  </si>
  <si>
    <t>Em milhões de boe | In millions of boe</t>
  </si>
  <si>
    <t>Em boe por dia | In boe per day</t>
  </si>
  <si>
    <t>4.5. Capex por Ativo | Capex by Asset</t>
  </si>
  <si>
    <t>Gas Purchase</t>
  </si>
  <si>
    <t>Gas Outflow</t>
  </si>
  <si>
    <t>Gas Processing</t>
  </si>
  <si>
    <t>Gas Transport</t>
  </si>
  <si>
    <t>2T23 / 2Q23</t>
  </si>
  <si>
    <t>Copergás</t>
  </si>
  <si>
    <t>Fórmula de Preço</t>
  </si>
  <si>
    <t>Caixa líquido da compra e venda de ações em tesouraria</t>
  </si>
  <si>
    <t>Integralização de capital social subscrito</t>
  </si>
  <si>
    <t>Aplicações financeiras</t>
  </si>
  <si>
    <t>80.11</t>
  </si>
  <si>
    <t>Gás Natural de Combustivel</t>
  </si>
  <si>
    <t xml:space="preserve">Gás Natural C3+ </t>
  </si>
  <si>
    <t>Natural Gas C3+</t>
  </si>
  <si>
    <t xml:space="preserve">Gás Natural C5+ </t>
  </si>
  <si>
    <t>Natural Gas C5+</t>
  </si>
  <si>
    <t>Pis e Cofins Monofásico 0%</t>
  </si>
  <si>
    <t>Pis and Cofins Monophasic 0%</t>
  </si>
  <si>
    <t>Combustible Natural Gas</t>
  </si>
  <si>
    <t>Gás Liquefeito de Petróleo – GLP e GLP (P13)</t>
  </si>
  <si>
    <t>Liquefied Petroleum Gas - LPG and LPG (P13)</t>
  </si>
  <si>
    <t>ICMS Monofásico</t>
  </si>
  <si>
    <t>ICMS Monophasic</t>
  </si>
  <si>
    <t xml:space="preserve">Gás Natural de Combustivel </t>
  </si>
  <si>
    <t>Gás Rico</t>
  </si>
  <si>
    <t>Rich Gas</t>
  </si>
  <si>
    <t>Gás Natural Seco</t>
  </si>
  <si>
    <t>Dry Natural Gas</t>
  </si>
  <si>
    <t>1T22</t>
  </si>
  <si>
    <t>2T22</t>
  </si>
  <si>
    <t>1T23</t>
  </si>
  <si>
    <t>2T23</t>
  </si>
  <si>
    <t>Gás Rico Produzido - Upstream</t>
  </si>
  <si>
    <t>Potiguar Asset</t>
  </si>
  <si>
    <t>Mm3</t>
  </si>
  <si>
    <t>Ativo Bahia / Sergipe</t>
  </si>
  <si>
    <t>Bahia / Sergipe Asset</t>
  </si>
  <si>
    <t>Total Gás Rico Produzido</t>
  </si>
  <si>
    <t>Total Rich Gas Produced</t>
  </si>
  <si>
    <t>Aproveitamento</t>
  </si>
  <si>
    <t>%</t>
  </si>
  <si>
    <r>
      <t>Mm</t>
    </r>
    <r>
      <rPr>
        <vertAlign val="superscript"/>
        <sz val="8.1"/>
        <color theme="0" tint="-0.499984740745262"/>
        <rFont val="Calibri"/>
        <family val="2"/>
      </rPr>
      <t>3</t>
    </r>
  </si>
  <si>
    <t>Preço de Realização</t>
  </si>
  <si>
    <t>Preço de Realização incl. Transporte</t>
  </si>
  <si>
    <t>Realization Price incl. Transport</t>
  </si>
  <si>
    <t>R$ / m3</t>
  </si>
  <si>
    <t>Taxa dólar médio</t>
  </si>
  <si>
    <t>Average dollar rate</t>
  </si>
  <si>
    <t>R$ / US$</t>
  </si>
  <si>
    <t>Premissas</t>
  </si>
  <si>
    <t>Brent médio</t>
  </si>
  <si>
    <t>Average Brent Oil</t>
  </si>
  <si>
    <t>US$ / bbl</t>
  </si>
  <si>
    <t xml:space="preserve">Excluding ICMS in the Pis/Cofins Calculation Base </t>
  </si>
  <si>
    <t xml:space="preserve">12% / 19% </t>
  </si>
  <si>
    <t xml:space="preserve">Os impostos sobre a receita são “grossapados” e as alíquotas podem variar de acordo com o Estado onde os produtos são comercializados| Revenue taxes are gross up and rates may vary depending on the State where the products are marketed.  </t>
  </si>
  <si>
    <t>Conversion m3 to MMBTU*</t>
  </si>
  <si>
    <t>Conversão m3 para MMBTU*</t>
  </si>
  <si>
    <t>* Conversão pode variar conforme poder calorifico do gás natural | Conversion may vary from natural gas calorific value</t>
  </si>
  <si>
    <t>Receita Líquida excluindo efeito do hedge</t>
  </si>
  <si>
    <t xml:space="preserve">Net Revenue excluding hedge effect </t>
  </si>
  <si>
    <r>
      <t>Preço médio de Venda</t>
    </r>
    <r>
      <rPr>
        <vertAlign val="superscript"/>
        <sz val="10"/>
        <rFont val="Calibri"/>
        <family val="2"/>
        <scheme val="minor"/>
      </rPr>
      <t xml:space="preserve"> </t>
    </r>
  </si>
  <si>
    <t>Average Sales Price</t>
  </si>
  <si>
    <t xml:space="preserve">Preço de Realização excluindo efeito do hedge </t>
  </si>
  <si>
    <t xml:space="preserve">Realization Price excluding hedge effect </t>
  </si>
  <si>
    <t>SPE Tieta Aquisition, net of cash received</t>
  </si>
  <si>
    <t>Financial aplications</t>
  </si>
  <si>
    <t>Payments of aquisitions to be paid</t>
  </si>
  <si>
    <t>Between Feb/2000 and December 23, 2021, the production of the Remanso Asset was governed by CPRC risk clause contract with Petrobras</t>
  </si>
  <si>
    <t>Entre Fev/2000 e 23/Dezembro/2021 a produção do Ativo Remanso era regida pelo Contrato CPRC com a Petrobrás</t>
  </si>
  <si>
    <t>Impostos e Benefícios | Taxes &amp; Benefits</t>
  </si>
  <si>
    <t>SUDENE</t>
  </si>
  <si>
    <t>Benefício Fiscal</t>
  </si>
  <si>
    <t>As alíquotas médias refletidas nos resultados trimestrais da Companhia poderão variar de acordo com os volumes de produção destinados para cada contrato da Companhia. | The average rates reflected in the Company's quarterly results may vary according to the production</t>
  </si>
  <si>
    <t xml:space="preserve"> volumes allocated to each company's contract.</t>
  </si>
  <si>
    <t>Subsidiária</t>
  </si>
  <si>
    <t>Prazo</t>
  </si>
  <si>
    <t>86.15</t>
  </si>
  <si>
    <t>PetroReconcavo S.A.</t>
  </si>
  <si>
    <t xml:space="preserve"> até o exercício de 2032</t>
  </si>
  <si>
    <t>2.4. Impostos e Benefícios | Taxes &amp; Benefits</t>
  </si>
  <si>
    <t>3T23 / 3Q23</t>
  </si>
  <si>
    <t>9M23</t>
  </si>
  <si>
    <t>Gerais, vendas e administrativas</t>
  </si>
  <si>
    <t>93.72</t>
  </si>
  <si>
    <t>90.60</t>
  </si>
  <si>
    <r>
      <t>SPE TIETA</t>
    </r>
    <r>
      <rPr>
        <sz val="11"/>
        <color theme="1"/>
        <rFont val="Calibri"/>
        <family val="2"/>
        <scheme val="minor"/>
      </rPr>
      <t xml:space="preserve"> (Tiê) </t>
    </r>
  </si>
  <si>
    <r>
      <t>SPE TIETA</t>
    </r>
    <r>
      <rPr>
        <sz val="11"/>
        <color theme="1"/>
        <rFont val="Calibri"/>
        <family val="2"/>
        <scheme val="minor"/>
      </rPr>
      <t xml:space="preserve"> (Tartaruga) </t>
    </r>
  </si>
  <si>
    <t>Juros, amortização de captação e variações cambiais líquidas</t>
  </si>
  <si>
    <t>Baixas do imobilizado, de arrendamentos e outras</t>
  </si>
  <si>
    <t>Pagamento de valores a pagar por aquisições</t>
  </si>
  <si>
    <t>Compra/"Swap" de gás</t>
  </si>
  <si>
    <t>Vendas</t>
  </si>
  <si>
    <t>Sales</t>
  </si>
  <si>
    <t>3T23</t>
  </si>
  <si>
    <t>Adições</t>
  </si>
  <si>
    <t>Transferências</t>
  </si>
  <si>
    <t>Subtotal</t>
  </si>
  <si>
    <t>Baixas</t>
  </si>
  <si>
    <t>Gastos exploratórios</t>
  </si>
  <si>
    <t>Demais ativos fixos e intangíveis</t>
  </si>
  <si>
    <t>Máquinas e equipamentos</t>
  </si>
  <si>
    <t>Depreciação, amortização e depleção</t>
  </si>
  <si>
    <t>Direito de produção de óleo e gás - Amortização</t>
  </si>
  <si>
    <t>Custo - Intangível</t>
  </si>
  <si>
    <t>Amortização</t>
  </si>
  <si>
    <t>Total do imobilizado e intangível</t>
  </si>
  <si>
    <t>Capex | Ativo Imobilizado e Intangível</t>
  </si>
  <si>
    <t>Tabela de Conversão | Conversion Table</t>
  </si>
  <si>
    <t xml:space="preserve">De MMBTU p/ m³: multiplica por </t>
  </si>
  <si>
    <t xml:space="preserve">De MMCF p/ MBOE: divide por </t>
  </si>
  <si>
    <t>De Mm³ p/ MMBTU divide por</t>
  </si>
  <si>
    <t>2.6. Tabela de Conversão | Conversion Table</t>
  </si>
  <si>
    <t>Jan'24</t>
  </si>
  <si>
    <t>Tributos a recuperar</t>
  </si>
  <si>
    <t>Valores a pagar de aquisições</t>
  </si>
  <si>
    <t>Provisão para processos judiciais</t>
  </si>
  <si>
    <t>Provision for legal proceedings</t>
  </si>
  <si>
    <t>82.94</t>
  </si>
  <si>
    <t>77.63</t>
  </si>
  <si>
    <t>  2024</t>
  </si>
  <si>
    <t>80.12</t>
  </si>
  <si>
    <t>82.59</t>
  </si>
  <si>
    <t xml:space="preserve">De m³ p/ BOE (Óleo) : multiplica por </t>
  </si>
  <si>
    <t xml:space="preserve">De Mm³ p/ BOE (Gás): multiplica por </t>
  </si>
  <si>
    <t>4T23 / 4Q23</t>
  </si>
  <si>
    <r>
      <t>Financial I</t>
    </r>
    <r>
      <rPr>
        <sz val="10"/>
        <rFont val="Calibri"/>
        <family val="2"/>
      </rPr>
      <t>ncome</t>
    </r>
  </si>
  <si>
    <t>Depreciation, amortization and depletion</t>
  </si>
  <si>
    <t>Perdas de Crédito Esperada</t>
  </si>
  <si>
    <t>Valor justo dos instrumentos financeiros derivativos no resultado</t>
  </si>
  <si>
    <t>Provisões, perdas estimadas e outros</t>
  </si>
  <si>
    <t>Provisions, estimated losses and others</t>
  </si>
  <si>
    <t>Pagamento de processos judicias</t>
  </si>
  <si>
    <t>Adições, líquidas dos custos de captação</t>
  </si>
  <si>
    <t>Additions, net of funding costs</t>
  </si>
  <si>
    <t>Payment of subscribed share capital</t>
  </si>
  <si>
    <t>Dividends and interest on equity paid</t>
  </si>
  <si>
    <t>Custo para emissão de ações</t>
  </si>
  <si>
    <t>Net cash from the purchase and sale of treasury shares</t>
  </si>
  <si>
    <t>4T23</t>
  </si>
  <si>
    <t>2023</t>
  </si>
  <si>
    <t>Imobilizado</t>
  </si>
  <si>
    <t>Outros</t>
  </si>
  <si>
    <t>Desenvolvimento de campos</t>
  </si>
  <si>
    <t>Abandono de poço</t>
  </si>
  <si>
    <t>Adiantamentos</t>
  </si>
  <si>
    <t>Máquinas e equipamentos - depreciação</t>
  </si>
  <si>
    <t>Desenvolvimento de campos - Amortização</t>
  </si>
  <si>
    <t>Software</t>
  </si>
  <si>
    <t>Software - amortização</t>
  </si>
  <si>
    <t>Desenvolvimento de Reservas</t>
  </si>
  <si>
    <t>Almoxarifado para inversões fixas</t>
  </si>
  <si>
    <t>Valores a Pagar por Aquisições | Acquisitions Paybles</t>
  </si>
  <si>
    <t>1T24</t>
  </si>
  <si>
    <t>2T24</t>
  </si>
  <si>
    <t>3T24</t>
  </si>
  <si>
    <t>4T24</t>
  </si>
  <si>
    <t>1T25</t>
  </si>
  <si>
    <t>(US$ MM)</t>
  </si>
  <si>
    <t xml:space="preserve">Miranga - Earnouts </t>
  </si>
  <si>
    <t xml:space="preserve">Tiêta </t>
  </si>
  <si>
    <t>Tiêta  - Earnouts</t>
  </si>
  <si>
    <t>Earn Outs</t>
  </si>
  <si>
    <t>Pagamentos contingentes de acordo com o valor médio do petróleo Brent ICE datado em cada ano, conforme tabela, a pagar em março do ano seguinte.</t>
  </si>
  <si>
    <t>Brent Médio</t>
  </si>
  <si>
    <t>Abaixo de $50</t>
  </si>
  <si>
    <t xml:space="preserve">             -   </t>
  </si>
  <si>
    <t>Entre $50 e $55</t>
  </si>
  <si>
    <t>Entre $55 e $60</t>
  </si>
  <si>
    <t>Entre $60 e $65</t>
  </si>
  <si>
    <t>Acima de $65</t>
  </si>
  <si>
    <t>Histórico de Hedge | Hedge History</t>
  </si>
  <si>
    <t>Volume</t>
  </si>
  <si>
    <t>Preço | Price</t>
  </si>
  <si>
    <t>Mbbl</t>
  </si>
  <si>
    <t>(US$/ bbl)</t>
  </si>
  <si>
    <t>1Q21</t>
  </si>
  <si>
    <t>2Q21</t>
  </si>
  <si>
    <t>3Q21</t>
  </si>
  <si>
    <t>4Q21</t>
  </si>
  <si>
    <t>1Q22</t>
  </si>
  <si>
    <t>2Q22</t>
  </si>
  <si>
    <t>3Q22</t>
  </si>
  <si>
    <t>4Q22</t>
  </si>
  <si>
    <t>1Q23</t>
  </si>
  <si>
    <t>2Q23</t>
  </si>
  <si>
    <t>3Q23</t>
  </si>
  <si>
    <t>4Q23</t>
  </si>
  <si>
    <t>1Q24</t>
  </si>
  <si>
    <t>2Q24</t>
  </si>
  <si>
    <t>3Q24</t>
  </si>
  <si>
    <t>4Q24</t>
  </si>
  <si>
    <t>2.7. Histórico de Hedge | Hedge History</t>
  </si>
  <si>
    <t>2.8. Valores a Pagar por Aquisições | Acquisitions Paybles</t>
  </si>
  <si>
    <t>NDF</t>
  </si>
  <si>
    <t>ZCC</t>
  </si>
  <si>
    <t>Preço | Price (US$ / bbl)</t>
  </si>
  <si>
    <t>Put</t>
  </si>
  <si>
    <t>Call</t>
  </si>
  <si>
    <t>Fev'24</t>
  </si>
  <si>
    <t>Mar'24</t>
  </si>
  <si>
    <t>Bahia</t>
  </si>
  <si>
    <t>Netherland, Sewell and Associates, Inc. -  data base 31/dez/2023</t>
  </si>
  <si>
    <t>1P</t>
  </si>
  <si>
    <t>2P</t>
  </si>
  <si>
    <t>1P - 2023 Reserve Report</t>
  </si>
  <si>
    <t>2P - 2023 Reserve Report</t>
  </si>
  <si>
    <t>Notas</t>
  </si>
  <si>
    <t>1- Reservas Brutas de participação da Companhia em Milhões de BOE conforme relatório da NSAI</t>
  </si>
  <si>
    <t>2- Relação de conversão do gás natural - 6 mil pés cúbicos para 1 barril equivalente, conforme relatório da NSAI</t>
  </si>
  <si>
    <t>3 - Contempla 54 concessões operadas e participação em 2 concessões operadas por parceiros nos estados da Bahia e Rio Grande do Norte. Não inclui o campo de Tartaruga.</t>
  </si>
  <si>
    <t>Total - 2023 Reserve Report</t>
  </si>
  <si>
    <t>Opex - Certificação de Reservas Dez'23  | Opex - Reserve Certification Dec'23</t>
  </si>
  <si>
    <t>Deduções e Despesas Líquidas- Certificação de Reservas Dez'23 | Deductions and Net Expenses- Reserve Certification Dec'23</t>
  </si>
  <si>
    <t>4. Certificação de Reservas | Reserve Certification (NSAI data base 31/12/2023)</t>
  </si>
  <si>
    <t>Receita Bruta e Líquida por Produto | Gross and Net Revenue by Product</t>
  </si>
  <si>
    <t>Considera 2P Participação Bruta (Working Interest) da Certificação de Reservas de Dez'23</t>
  </si>
  <si>
    <t>Considers 2P Working Interest of Reserve Certification	 data base Dec'23</t>
  </si>
  <si>
    <t xml:space="preserve">Receita Bruta </t>
  </si>
  <si>
    <t>Receita Bruta 
Total</t>
  </si>
  <si>
    <t>Impostos s/ Receita  Total</t>
  </si>
  <si>
    <t>Receita Líquida  Total</t>
  </si>
  <si>
    <t>Óleo</t>
  </si>
  <si>
    <t>NGL</t>
  </si>
  <si>
    <t>C5+</t>
  </si>
  <si>
    <t>Pis/Cofins</t>
  </si>
  <si>
    <t xml:space="preserve">4.2. Receita Bruta e Líquida por Produto | Gross and Net Revenue by Product </t>
  </si>
  <si>
    <t>83.48</t>
  </si>
  <si>
    <t>85.41</t>
  </si>
  <si>
    <t>1T24 / 1Q24</t>
  </si>
  <si>
    <t>Sales, general and administrative</t>
  </si>
  <si>
    <t>Receita Bruta de Prestação de Serviços</t>
  </si>
  <si>
    <t>Receita Líquida  de Prestação de Serviços</t>
  </si>
  <si>
    <t>Contraprestação de parcela contingente de valores a pagar de aquisições</t>
  </si>
  <si>
    <t>Consideration of contingent portion of amounts payable for acquisitions</t>
  </si>
  <si>
    <t>Pagamento de contratos de hedge</t>
  </si>
  <si>
    <t>Cost for issuing shares</t>
  </si>
  <si>
    <t>1.5. Capex | Ativo Imobilizado e Intangível</t>
  </si>
  <si>
    <r>
      <t>Capex</t>
    </r>
    <r>
      <rPr>
        <b/>
        <sz val="10"/>
        <color theme="2" tint="-0.499984740745262"/>
        <rFont val="Source Sans Pro"/>
        <family val="2"/>
      </rPr>
      <t xml:space="preserve"> </t>
    </r>
    <r>
      <rPr>
        <sz val="9"/>
        <color theme="2" tint="-0.499984740745262"/>
        <rFont val="Source Sans Pro"/>
        <family val="2"/>
      </rPr>
      <t>(R$ Mil)</t>
    </r>
  </si>
  <si>
    <t xml:space="preserve">Almoxarifado para inversões fixas </t>
  </si>
  <si>
    <t>Capex Total</t>
  </si>
  <si>
    <t>Perfuração</t>
  </si>
  <si>
    <t>Workovers</t>
  </si>
  <si>
    <t>Facilidades</t>
  </si>
  <si>
    <t>Abandono de poços - Amortização</t>
  </si>
  <si>
    <t>89.94</t>
  </si>
  <si>
    <t xml:space="preserve">Tiêta - Earnouts </t>
  </si>
  <si>
    <t>Entre $80 e $85</t>
  </si>
  <si>
    <t>Entre $85 e $90</t>
  </si>
  <si>
    <t>Acima de $90</t>
  </si>
  <si>
    <t>1T26</t>
  </si>
  <si>
    <t>2T25</t>
  </si>
  <si>
    <t>3T25</t>
  </si>
  <si>
    <t>4T25</t>
  </si>
  <si>
    <t>1T24 (Pago)</t>
  </si>
  <si>
    <t>Total a Pagar</t>
  </si>
  <si>
    <t>Produção Entregue</t>
  </si>
  <si>
    <t xml:space="preserve">Delivered Production </t>
  </si>
  <si>
    <t>Gás Rico Entregue</t>
  </si>
  <si>
    <t>Total Gás Rico Entregue</t>
  </si>
  <si>
    <t>Total Rich Gas Delivered</t>
  </si>
  <si>
    <t>Abr'24</t>
  </si>
  <si>
    <t>Mai'24</t>
  </si>
  <si>
    <t>2T24 / 2Q24</t>
  </si>
  <si>
    <t>1S24/1H24</t>
  </si>
  <si>
    <t>3T24 / 3Q24</t>
  </si>
  <si>
    <t>9M24/9M24</t>
  </si>
  <si>
    <t>4T24 / 4Q24</t>
  </si>
  <si>
    <t>Contas a receber de clientes LP</t>
  </si>
  <si>
    <r>
      <t xml:space="preserve">Tributos a Recuperar </t>
    </r>
    <r>
      <rPr>
        <sz val="10"/>
        <color theme="0"/>
        <rFont val="Calibri"/>
        <family val="2"/>
        <scheme val="minor"/>
      </rPr>
      <t>alp</t>
    </r>
  </si>
  <si>
    <t>Debêntures cp</t>
  </si>
  <si>
    <t>Debentures</t>
  </si>
  <si>
    <t>Debêntures LP</t>
  </si>
  <si>
    <t>Fornecedores LP</t>
  </si>
  <si>
    <t>Empréstimos e financiamentos lp</t>
  </si>
  <si>
    <t>Valores a pagar de arrendamentos lp</t>
  </si>
  <si>
    <t>Instrumentos financeiros derivativos plp</t>
  </si>
  <si>
    <t>Provisão para abandono de poços lp</t>
  </si>
  <si>
    <t>Imobilizados em andamento (iv)</t>
  </si>
  <si>
    <t>Direito de produção de óleo e gás (i)</t>
  </si>
  <si>
    <t>Blocos exploratórios (ii)</t>
  </si>
  <si>
    <t>9M24</t>
  </si>
  <si>
    <t>1S24</t>
  </si>
  <si>
    <t>Jun'24</t>
  </si>
  <si>
    <t>Jul'24</t>
  </si>
  <si>
    <t>81.75</t>
  </si>
  <si>
    <t>82.25</t>
  </si>
  <si>
    <t>85.15</t>
  </si>
  <si>
    <t>Ativo Bahia / Sergipe
BA / SE Asset</t>
  </si>
  <si>
    <t xml:space="preserve">Com exclusão do ICMS na Base de Cálculo do Pis/ Cofins </t>
  </si>
  <si>
    <t xml:space="preserve">Excluding ICMS in the Pis/Cofins Calculation Base
</t>
  </si>
  <si>
    <t>Pis e Cofins Monofásico</t>
  </si>
  <si>
    <t>Pis and Cofins Monophasic</t>
  </si>
  <si>
    <t>Gás Liquefeito de Petróleo – GLP (P13)</t>
  </si>
  <si>
    <t>Liquefied Petroleum Gas - LPG (P13)</t>
  </si>
  <si>
    <t>Gás Liquefeito de Petróleo – GLP</t>
  </si>
  <si>
    <t>Liquefied Petroleum Gas - LPG</t>
  </si>
  <si>
    <t>R$ 167,70 por Ton</t>
  </si>
  <si>
    <t>Pis e Cofins Monofásico R$ 167,70/Ton</t>
  </si>
  <si>
    <t>Pis and Cofins Monophasic R$ 167,70/Ton</t>
  </si>
  <si>
    <t>ICMS Diferido na BA e RN / SE venda interestadual</t>
  </si>
  <si>
    <t>ICMS Deferred in BA and RN / interstate sell from SE</t>
  </si>
  <si>
    <t>12%  Bahia e SE venda interestadual, 19% SE  | 
Potiguar: Potigás 0% / Interestadual 12% / Venda RN 18%</t>
  </si>
  <si>
    <t>12%  Bahia ou SE venda interestadual, 19% SE  | 
Potiguar: Potigás 0% / Interestadual 12% / Venda RN 18%</t>
  </si>
  <si>
    <t>0% / 12% / 18%</t>
  </si>
  <si>
    <t>R$ 1,4139 por Kg</t>
  </si>
  <si>
    <t>SWAP</t>
  </si>
  <si>
    <t>Collar</t>
  </si>
  <si>
    <t>Total Instrumentos Financeiros</t>
  </si>
  <si>
    <t>Emissão de debêntures, líquidas dos custos de captação</t>
  </si>
  <si>
    <t>Consolidado</t>
  </si>
  <si>
    <t>USD/boe</t>
  </si>
  <si>
    <t>Consolidated</t>
  </si>
  <si>
    <t>Bahia Asset</t>
  </si>
  <si>
    <t>Ativo Bahia</t>
  </si>
  <si>
    <t>Lucros (Prejuízos) acumulados</t>
  </si>
  <si>
    <t>Capex 1T24 (em R$ MM)</t>
  </si>
  <si>
    <t>Baixas*</t>
  </si>
  <si>
    <t>Capex 2T24 (em R$ MM)</t>
  </si>
  <si>
    <r>
      <t>Capex 9M24</t>
    </r>
    <r>
      <rPr>
        <b/>
        <sz val="10"/>
        <color theme="2" tint="-0.499984740745262"/>
        <rFont val="Source Sans Pro"/>
        <family val="2"/>
      </rPr>
      <t xml:space="preserve"> </t>
    </r>
    <r>
      <rPr>
        <sz val="9"/>
        <color theme="2" tint="-0.499984740745262"/>
        <rFont val="Source Sans Pro"/>
        <family val="2"/>
      </rPr>
      <t>(R$ Mil)</t>
    </r>
  </si>
  <si>
    <t>80.36</t>
  </si>
  <si>
    <t>74.02</t>
  </si>
  <si>
    <t>Ago-24</t>
  </si>
  <si>
    <t>Set-24</t>
  </si>
  <si>
    <t>Oct-24</t>
  </si>
  <si>
    <t>Capex 3T24 (em R$ MM)</t>
  </si>
  <si>
    <t>Consolidado em 31/12/2023</t>
  </si>
  <si>
    <t>Consolidado em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</si>
</sst>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5">
    <numFmt numFmtId="42" formatCode="_-&quot;R$&quot;\ * #,##0_-;\-&quot;R$&quot;\ * #,##0_-;_-&quot;R$&quot;\ * &quot;-&quot;_-;_-@_-"/>
    <numFmt numFmtId="41" formatCode="_-* #,##0_-;\-* #,##0_-;_-* &quot;-&quot;_-;_-@_-"/>
    <numFmt numFmtId="44" formatCode="_-&quot;R$&quot;\ * #,##0.00_-;\-&quot;R$&quot;\ * #,##0.00_-;_-&quot;R$&quot;\ * &quot;-&quot;??_-;_-@_-"/>
    <numFmt numFmtId="43" formatCode="_-* #,##0.00_-;\-* #,##0.00_-;_-* &quot;-&quot;??_-;_-@_-"/>
    <numFmt numFmtId="164" formatCode="_(* #,##0_);_(* \(#,##0\);_(* &quot;-&quot;_);_(@_)"/>
    <numFmt numFmtId="165" formatCode="_(&quot;$&quot;* #,##0.00_);_(&quot;$&quot;* \(#,##0.00\);_(&quot;$&quot;* &quot;-&quot;??_);_(@_)"/>
    <numFmt numFmtId="166" formatCode="_(* #,##0.00_);_(* \(#,##0.00\);_(* &quot;-&quot;??_);_(@_)"/>
    <numFmt numFmtId="167" formatCode="_(&quot;R$&quot;\ * #,##0.00_);_(&quot;R$&quot;\ * \(#,##0.00\);_(&quot;R$&quot;\ * &quot;-&quot;??_);_(@_)"/>
    <numFmt numFmtId="168" formatCode="_-&quot;R$&quot;* #,##0_-;\-&quot;R$&quot;* #,##0_-;_-&quot;R$&quot;* &quot;-&quot;??_-;_-@_-"/>
    <numFmt numFmtId="169" formatCode="_(* #,##0_);_(* \(##,##0\);_(* &quot; - &quot;_);_(@_)"/>
    <numFmt numFmtId="170" formatCode="0.0%"/>
    <numFmt numFmtId="171" formatCode="_(* #,##0_);_(* \(#,##0\);_(* &quot;-&quot;??_);_(@_)"/>
    <numFmt numFmtId="172" formatCode="_ * #,##0.00_ ;_ * \-#,##0.00_ ;_ * &quot;-&quot;??_ ;_ @_ "/>
    <numFmt numFmtId="173" formatCode="_(* #,##0.00_);_(* \(##,##0.00\);_(* &quot; - &quot;_);_(@_)"/>
    <numFmt numFmtId="174" formatCode="_(* #,##0.0_);_(* \(#,##0.0\);_(* &quot;-&quot;??_);_(@_)"/>
    <numFmt numFmtId="175" formatCode="_ * #,##0_ ;_ * \-#,##0_ ;_ * &quot;-&quot;_ ;_ @_ "/>
    <numFmt numFmtId="176" formatCode="#,##0.0_);\(#,##0.0\)"/>
    <numFmt numFmtId="177" formatCode="_([$€-2]* #,##0.00_);_([$€-2]* \(#,##0.00\);_([$€-2]* &quot;-&quot;??_)"/>
    <numFmt numFmtId="178" formatCode="#0.000000"/>
    <numFmt numFmtId="179" formatCode="#,"/>
    <numFmt numFmtId="180" formatCode="_._.* #,##0.0_)_%;_._.* \(#,##0.0\)_%;_._.* \ .0_)_%"/>
    <numFmt numFmtId="181" formatCode="_._.* #,##0.000_)_%;_._.* \(#,##0.000\)_%;_._.* \ .000_)_%"/>
    <numFmt numFmtId="182" formatCode="_._.&quot;$&quot;* #,##0.0_)_%;_._.&quot;$&quot;* \(#,##0.0\)_%;_._.&quot;$&quot;* \ .0_)_%"/>
    <numFmt numFmtId="183" formatCode="&quot;$&quot;* #,##0.00_);&quot;$&quot;* \(#,##0.00\)"/>
    <numFmt numFmtId="184" formatCode="_._.&quot;$&quot;* #,##0.000_)_%;_._.&quot;$&quot;* \(#,##0.000\)_%;_._.&quot;$&quot;* \ .000_)_%"/>
    <numFmt numFmtId="185" formatCode="[$-416]mmm\-yy;@"/>
    <numFmt numFmtId="186" formatCode="&quot;$&quot;#,##0\ ;\(&quot;$&quot;#,##0\)"/>
    <numFmt numFmtId="187" formatCode="_(0_)%;\(0\)%;\ \ _)\%"/>
    <numFmt numFmtId="188" formatCode="_._._(* 0_)%;_._.\(* 0\)%;_._._(* \ _)\%"/>
    <numFmt numFmtId="189" formatCode="0%_);\(0%\)"/>
    <numFmt numFmtId="190" formatCode="_(0.0_)%;\(0.0\)%;\ \ .0_)%"/>
    <numFmt numFmtId="191" formatCode="_._._(* 0.0_)%;_._.\(* 0.0\)%;_._._(* \ .0_)%"/>
    <numFmt numFmtId="192" formatCode="_(0.00_)%;\(0.00\)%;\ \ .00_)%"/>
    <numFmt numFmtId="193" formatCode="_._._(* 0.00_)%;_._.\(* 0.00\)%;_._._(* \ .00_)%"/>
    <numFmt numFmtId="194" formatCode="_(0.000_)%;\(0.000\)%;\ \ .000_)%"/>
    <numFmt numFmtId="195" formatCode="_._._(* 0.000_)%;_._.\(* 0.000\)%;_._._(* \ .000_)%"/>
    <numFmt numFmtId="196" formatCode="_(* #,##0_);_(* \(#,##0\);_(* \ _)"/>
    <numFmt numFmtId="197" formatCode="_(* #,##0.0_);_(* \(#,##0.0\);_(* \ .0_)"/>
    <numFmt numFmtId="198" formatCode="_(* #,##0.00_);_(* \(#,##0.00\);_(* \ .00_)"/>
    <numFmt numFmtId="199" formatCode="_(* #,##0.000_);_(* \(#,##0.000\);_(* \ .000_)"/>
    <numFmt numFmtId="200" formatCode="_(&quot;$&quot;* #,##0_);_(&quot;$&quot;* \(#,##0\);_(&quot;$&quot;* \ _)"/>
    <numFmt numFmtId="201" formatCode="_(&quot;$&quot;* #,##0.0_);_(&quot;$&quot;* \(#,##0.0\);_(&quot;$&quot;* \ .0_)"/>
    <numFmt numFmtId="202" formatCode="_(&quot;$&quot;* #,##0.00_);_(&quot;$&quot;* \(#,##0.00\);_(&quot;$&quot;* \ .00_)"/>
    <numFmt numFmtId="203" formatCode="_(&quot;$&quot;* #,##0.000_);_(&quot;$&quot;* \(#,##0.000\);_(&quot;$&quot;* \ .000_)"/>
    <numFmt numFmtId="204" formatCode="#,##0.0"/>
    <numFmt numFmtId="205" formatCode="#,##0;\(#,##0\);&quot;-&quot;"/>
    <numFmt numFmtId="206" formatCode="#,##0.00;\(#,##0.00\);&quot;-&quot;"/>
    <numFmt numFmtId="207" formatCode="_(* #,##0.000_);_(* \(#,##0.000\);_(* &quot;-&quot;?_);_(@_)"/>
    <numFmt numFmtId="208" formatCode="_-* #,##0_-;\-* #,##0_-;_-* &quot;-&quot;??_-;_-@_-"/>
    <numFmt numFmtId="209" formatCode="_(* #,##0.0000_);_(* \(#,##0.0000\);_(* &quot;-&quot;??_);_(@_)"/>
    <numFmt numFmtId="210" formatCode="0.000"/>
    <numFmt numFmtId="211" formatCode="_-* #,##0.0_-;\-* #,##0.0_-;_-* &quot;-&quot;??_-;_-@_-"/>
    <numFmt numFmtId="212" formatCode="_(* #,##0.0000_);_(* \(##,##0.0000\);_(* &quot; - &quot;_);_(@_)"/>
    <numFmt numFmtId="213" formatCode="_(* #,##0.0_);_(* \(#,##0.0\);_(* &quot;-&quot;?_);_(@_)"/>
    <numFmt numFmtId="214" formatCode="_-&quot;R$&quot;* #,##0.00000_-;\-&quot;R$&quot;* #,##0.00000_-;_-&quot;R$&quot;* &quot;-&quot;??_-;_-@_-"/>
  </numFmts>
  <fonts count="113">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b/>
      <u val="singleAccounting"/>
      <sz val="11"/>
      <color theme="1"/>
      <name val="Calibri"/>
      <family val="2"/>
      <scheme val="minor"/>
    </font>
    <font>
      <sz val="10"/>
      <color theme="1"/>
      <name val="Calibri"/>
      <family val="2"/>
      <scheme val="minor"/>
    </font>
    <font>
      <b/>
      <u val="singleAccounting"/>
      <sz val="10"/>
      <color theme="1"/>
      <name val="Calibri"/>
      <family val="2"/>
      <scheme val="minor"/>
    </font>
    <font>
      <sz val="10"/>
      <color theme="1"/>
      <name val="Arial"/>
      <family val="2"/>
    </font>
    <font>
      <b/>
      <sz val="11"/>
      <name val="Calibri"/>
      <family val="2"/>
      <scheme val="minor"/>
    </font>
    <font>
      <b/>
      <sz val="10"/>
      <name val="Calibri"/>
      <family val="2"/>
      <scheme val="minor"/>
    </font>
    <font>
      <b/>
      <u/>
      <sz val="10"/>
      <color theme="1"/>
      <name val="Calibri"/>
      <family val="2"/>
      <scheme val="minor"/>
    </font>
    <font>
      <sz val="10"/>
      <color theme="0"/>
      <name val="Calibri"/>
      <family val="2"/>
      <scheme val="minor"/>
    </font>
    <font>
      <sz val="10"/>
      <name val="Calibri"/>
      <family val="2"/>
      <scheme val="minor"/>
    </font>
    <font>
      <sz val="10"/>
      <name val="Arial"/>
      <family val="2"/>
    </font>
    <font>
      <u val="singleAccounting"/>
      <sz val="10"/>
      <name val="Calibri"/>
      <family val="2"/>
      <scheme val="minor"/>
    </font>
    <font>
      <sz val="10"/>
      <name val="Times New Roman"/>
      <family val="1"/>
    </font>
    <font>
      <b/>
      <sz val="22"/>
      <color theme="1"/>
      <name val="Calibri"/>
      <family val="2"/>
      <scheme val="minor"/>
    </font>
    <font>
      <b/>
      <u/>
      <sz val="11"/>
      <color theme="1"/>
      <name val="Calibri"/>
      <family val="2"/>
      <scheme val="minor"/>
    </font>
    <font>
      <sz val="8"/>
      <color theme="0" tint="-0.34998626667073579"/>
      <name val="Calibri"/>
      <family val="2"/>
      <scheme val="minor"/>
    </font>
    <font>
      <u val="singleAccounting"/>
      <sz val="11"/>
      <color theme="1"/>
      <name val="Calibri"/>
      <family val="2"/>
      <scheme val="minor"/>
    </font>
    <font>
      <b/>
      <u/>
      <sz val="10"/>
      <name val="Calibri"/>
      <family val="2"/>
      <scheme val="minor"/>
    </font>
    <font>
      <sz val="10"/>
      <color theme="0" tint="-0.499984740745262"/>
      <name val="Calibri"/>
      <family val="2"/>
      <scheme val="minor"/>
    </font>
    <font>
      <sz val="12"/>
      <name val="Times New Roman"/>
      <family val="1"/>
    </font>
    <font>
      <b/>
      <sz val="8"/>
      <name val="Arial"/>
      <family val="2"/>
    </font>
    <font>
      <b/>
      <sz val="10"/>
      <name val="Arial"/>
      <family val="2"/>
    </font>
    <font>
      <sz val="10"/>
      <name val="Tahoma"/>
      <family val="2"/>
    </font>
    <font>
      <u/>
      <sz val="10"/>
      <color indexed="36"/>
      <name val="Arial"/>
      <family val="2"/>
    </font>
    <font>
      <u/>
      <sz val="10"/>
      <color indexed="12"/>
      <name val="Arial"/>
      <family val="2"/>
    </font>
    <font>
      <sz val="10"/>
      <name val="Courier"/>
      <family val="3"/>
    </font>
    <font>
      <sz val="10"/>
      <name val="MS Sans Serif"/>
      <family val="2"/>
    </font>
    <font>
      <b/>
      <sz val="12"/>
      <color indexed="56"/>
      <name val="Arial"/>
      <family val="2"/>
    </font>
    <font>
      <sz val="1"/>
      <color indexed="18"/>
      <name val="Courier"/>
      <family val="3"/>
    </font>
    <font>
      <b/>
      <sz val="10"/>
      <name val="Tahoma"/>
      <family val="2"/>
    </font>
    <font>
      <sz val="1"/>
      <color indexed="16"/>
      <name val="Courier"/>
      <family val="3"/>
    </font>
    <font>
      <sz val="13"/>
      <color indexed="8"/>
      <name val="Arial"/>
      <family val="2"/>
    </font>
    <font>
      <sz val="10"/>
      <name val="Comic Sans MS"/>
      <family val="4"/>
    </font>
    <font>
      <sz val="11"/>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1"/>
      <color indexed="52"/>
      <name val="Calibri"/>
      <family val="2"/>
    </font>
    <font>
      <b/>
      <sz val="11"/>
      <name val="Arial"/>
      <family val="2"/>
    </font>
    <font>
      <sz val="11"/>
      <name val="Times New Roman"/>
      <family val="1"/>
    </font>
    <font>
      <sz val="11"/>
      <name val="New Times Roman"/>
    </font>
    <font>
      <u val="singleAccounting"/>
      <sz val="11"/>
      <name val="Times New Roman"/>
      <family val="1"/>
    </font>
    <font>
      <sz val="8"/>
      <color indexed="24"/>
      <name val="Arial"/>
      <family val="2"/>
    </font>
    <font>
      <b/>
      <sz val="14"/>
      <name val="Arial"/>
      <family val="2"/>
    </font>
    <font>
      <b/>
      <sz val="15"/>
      <color indexed="62"/>
      <name val="Calibri"/>
      <family val="2"/>
    </font>
    <font>
      <sz val="11"/>
      <color indexed="60"/>
      <name val="Calibri"/>
      <family val="2"/>
    </font>
    <font>
      <b/>
      <sz val="10"/>
      <color indexed="10"/>
      <name val="Arial"/>
      <family val="2"/>
    </font>
    <font>
      <sz val="10"/>
      <color indexed="8"/>
      <name val="Arial"/>
      <family val="2"/>
    </font>
    <font>
      <sz val="8"/>
      <name val="Courier New"/>
      <family val="3"/>
    </font>
    <font>
      <b/>
      <sz val="14"/>
      <name val="Calibri"/>
      <family val="2"/>
      <scheme val="minor"/>
    </font>
    <font>
      <b/>
      <sz val="8"/>
      <color theme="0" tint="-0.34998626667073579"/>
      <name val="Calibri"/>
      <family val="2"/>
      <scheme val="minor"/>
    </font>
    <font>
      <sz val="10"/>
      <color rgb="FF000000"/>
      <name val="Times New Roman"/>
      <family val="1"/>
    </font>
    <font>
      <u val="singleAccounting"/>
      <sz val="11"/>
      <name val="Calibri"/>
      <family val="2"/>
      <scheme val="minor"/>
    </font>
    <font>
      <b/>
      <u val="singleAccounting"/>
      <sz val="11"/>
      <name val="Calibri"/>
      <family val="2"/>
      <scheme val="minor"/>
    </font>
    <font>
      <sz val="10"/>
      <color rgb="FF000000"/>
      <name val="Calibri"/>
      <family val="2"/>
      <scheme val="minor"/>
    </font>
    <font>
      <b/>
      <sz val="10"/>
      <color rgb="FF000000"/>
      <name val="Calibri"/>
      <family val="2"/>
      <scheme val="minor"/>
    </font>
    <font>
      <sz val="10"/>
      <color rgb="FF989898"/>
      <name val="Calibri"/>
      <family val="2"/>
      <scheme val="minor"/>
    </font>
    <font>
      <sz val="10"/>
      <color rgb="FFFF0000"/>
      <name val="Calibri"/>
      <family val="2"/>
      <scheme val="minor"/>
    </font>
    <font>
      <sz val="11"/>
      <color theme="1"/>
      <name val="Arial"/>
      <family val="2"/>
    </font>
    <font>
      <b/>
      <sz val="10"/>
      <color rgb="FFFFFFFF"/>
      <name val="Calibri"/>
      <family val="2"/>
      <scheme val="minor"/>
    </font>
    <font>
      <b/>
      <sz val="11"/>
      <color theme="0"/>
      <name val="Calibri"/>
      <family val="2"/>
      <scheme val="minor"/>
    </font>
    <font>
      <b/>
      <sz val="8"/>
      <color theme="0"/>
      <name val="Calibri"/>
      <family val="2"/>
    </font>
    <font>
      <i/>
      <sz val="9"/>
      <color theme="1"/>
      <name val="Calibri"/>
      <family val="2"/>
      <scheme val="minor"/>
    </font>
    <font>
      <b/>
      <sz val="10"/>
      <color theme="0"/>
      <name val="Calibri"/>
      <family val="2"/>
      <scheme val="minor"/>
    </font>
    <font>
      <u val="singleAccounting"/>
      <sz val="10"/>
      <color theme="1"/>
      <name val="Calibri"/>
      <family val="2"/>
      <scheme val="minor"/>
    </font>
    <font>
      <b/>
      <sz val="12"/>
      <color theme="1"/>
      <name val="Calibri"/>
      <family val="2"/>
      <scheme val="minor"/>
    </font>
    <font>
      <b/>
      <sz val="8"/>
      <color theme="0"/>
      <name val="Calibri"/>
      <family val="2"/>
      <scheme val="minor"/>
    </font>
    <font>
      <b/>
      <sz val="10"/>
      <name val="Calibri"/>
      <family val="2"/>
    </font>
    <font>
      <sz val="11"/>
      <name val="Calibri"/>
      <family val="2"/>
      <scheme val="minor"/>
    </font>
    <font>
      <u/>
      <sz val="11"/>
      <color theme="10"/>
      <name val="Calibri"/>
      <family val="2"/>
      <scheme val="minor"/>
    </font>
    <font>
      <sz val="9"/>
      <color theme="0" tint="-0.499984740745262"/>
      <name val="Calibri"/>
      <family val="2"/>
      <scheme val="minor"/>
    </font>
    <font>
      <vertAlign val="superscript"/>
      <sz val="10"/>
      <name val="Calibri"/>
      <family val="2"/>
      <scheme val="minor"/>
    </font>
    <font>
      <u/>
      <sz val="11"/>
      <name val="Calibri"/>
      <family val="2"/>
      <scheme val="minor"/>
    </font>
    <font>
      <vertAlign val="superscript"/>
      <sz val="8.1"/>
      <color theme="0" tint="-0.499984740745262"/>
      <name val="Calibri"/>
      <family val="2"/>
    </font>
    <font>
      <sz val="8"/>
      <color theme="1"/>
      <name val="Calibri"/>
      <family val="2"/>
      <scheme val="minor"/>
    </font>
    <font>
      <b/>
      <sz val="8"/>
      <color rgb="FF0F9139"/>
      <name val="Calibri"/>
      <family val="2"/>
      <scheme val="minor"/>
    </font>
    <font>
      <u/>
      <sz val="8"/>
      <color rgb="FF000000"/>
      <name val="Calibri"/>
      <family val="2"/>
      <scheme val="minor"/>
    </font>
    <font>
      <sz val="8"/>
      <color rgb="FF000000"/>
      <name val="Calibri"/>
      <family val="2"/>
      <scheme val="minor"/>
    </font>
    <font>
      <u/>
      <sz val="11"/>
      <color theme="1"/>
      <name val="Calibri"/>
      <family val="2"/>
      <scheme val="minor"/>
    </font>
    <font>
      <sz val="8"/>
      <name val="Calibri"/>
      <family val="2"/>
      <scheme val="minor"/>
    </font>
    <font>
      <sz val="10"/>
      <name val="Calibri"/>
      <family val="2"/>
    </font>
    <font>
      <b/>
      <sz val="8"/>
      <color rgb="FF00B050"/>
      <name val="Calibri"/>
      <family val="2"/>
      <scheme val="minor"/>
    </font>
    <font>
      <sz val="11"/>
      <color theme="1"/>
      <name val="Source Sans Pro"/>
      <family val="2"/>
    </font>
    <font>
      <sz val="10"/>
      <color theme="0" tint="-0.34998626667073579"/>
      <name val="Calibri"/>
      <family val="2"/>
      <scheme val="minor"/>
    </font>
    <font>
      <b/>
      <sz val="14"/>
      <color rgb="FF00933A"/>
      <name val="Source Sans Pro"/>
      <family val="2"/>
    </font>
    <font>
      <b/>
      <sz val="10"/>
      <color theme="2" tint="-0.499984740745262"/>
      <name val="Source Sans Pro"/>
      <family val="2"/>
    </font>
    <font>
      <sz val="9"/>
      <color theme="2" tint="-0.499984740745262"/>
      <name val="Source Sans Pro"/>
      <family val="2"/>
    </font>
    <font>
      <b/>
      <sz val="12"/>
      <color rgb="FF00933A"/>
      <name val="Source Sans Pro"/>
      <family val="2"/>
    </font>
    <font>
      <sz val="10"/>
      <color rgb="FF000000"/>
      <name val="Source Sans Pro"/>
      <family val="2"/>
    </font>
    <font>
      <sz val="10"/>
      <name val="Source Sans Pro"/>
      <family val="2"/>
    </font>
    <font>
      <b/>
      <sz val="10"/>
      <name val="Source Sans Pro"/>
      <family val="2"/>
    </font>
    <font>
      <b/>
      <sz val="10"/>
      <color theme="1"/>
      <name val="Source Sans Pro"/>
      <family val="2"/>
    </font>
    <font>
      <b/>
      <sz val="10"/>
      <color rgb="FF00933A"/>
      <name val="Source Sans Pro"/>
      <family val="2"/>
    </font>
    <font>
      <sz val="10"/>
      <color theme="1"/>
      <name val="Source Sans Pro"/>
      <family val="2"/>
    </font>
    <font>
      <sz val="11"/>
      <color rgb="FFFF0000"/>
      <name val="Calibri"/>
      <family val="2"/>
      <scheme val="minor"/>
    </font>
    <font>
      <b/>
      <sz val="8"/>
      <color rgb="FF000000"/>
      <name val="Calibri"/>
      <family val="2"/>
      <scheme val="minor"/>
    </font>
    <font>
      <b/>
      <sz val="11"/>
      <color rgb="FFFF0000"/>
      <name val="Calibri"/>
      <family val="2"/>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rgb="FFF2F2F2"/>
      </patternFill>
    </fill>
    <fill>
      <patternFill patternType="solid">
        <fgColor rgb="FFBBBBBB"/>
      </patternFill>
    </fill>
    <fill>
      <patternFill patternType="solid">
        <fgColor rgb="FFDFE1E1"/>
      </patternFill>
    </fill>
    <fill>
      <patternFill patternType="solid">
        <fgColor rgb="FF993333"/>
        <bgColor indexed="64"/>
      </patternFill>
    </fill>
    <fill>
      <patternFill patternType="solid">
        <fgColor rgb="FFDDDDDD"/>
        <bgColor indexed="64"/>
      </patternFill>
    </fill>
    <fill>
      <patternFill patternType="solid">
        <fgColor rgb="FF00943B"/>
        <bgColor indexed="64"/>
      </patternFill>
    </fill>
    <fill>
      <patternFill patternType="solid">
        <fgColor rgb="FF0F9139"/>
        <bgColor indexed="64"/>
      </patternFill>
    </fill>
    <fill>
      <patternFill patternType="solid">
        <fgColor rgb="FFFFFFFF"/>
        <bgColor indexed="64"/>
      </patternFill>
    </fill>
    <fill>
      <patternFill patternType="solid">
        <fgColor theme="2"/>
        <bgColor indexed="64"/>
      </patternFill>
    </fill>
  </fills>
  <borders count="58">
    <border>
      <left/>
      <right/>
      <top/>
      <bottom/>
      <diagonal/>
    </border>
    <border>
      <left/>
      <right/>
      <top/>
      <bottom style="thin">
        <color auto="1"/>
      </bottom>
      <diagonal/>
    </border>
    <border>
      <left/>
      <right/>
      <top style="medium">
        <color rgb="FF00943B"/>
      </top>
      <bottom style="medium">
        <color rgb="FF00943B"/>
      </bottom>
      <diagonal/>
    </border>
    <border>
      <left/>
      <right style="thick">
        <color theme="0"/>
      </right>
      <top style="thick">
        <color theme="0"/>
      </top>
      <bottom style="thick">
        <color theme="0"/>
      </bottom>
      <diagonal/>
    </border>
    <border>
      <left/>
      <right/>
      <top/>
      <bottom style="medium">
        <color rgb="FF00943B"/>
      </bottom>
      <diagonal/>
    </border>
    <border>
      <left/>
      <right style="thick">
        <color theme="0"/>
      </right>
      <top style="thick">
        <color theme="0"/>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64"/>
      </bottom>
      <diagonal/>
    </border>
    <border>
      <left/>
      <right/>
      <top style="thin">
        <color indexed="56"/>
      </top>
      <bottom style="double">
        <color indexed="56"/>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diagonal/>
    </border>
    <border>
      <left style="thin">
        <color rgb="FFCCCCCC"/>
      </left>
      <right style="thin">
        <color rgb="FFCCCCCC"/>
      </right>
      <top/>
      <bottom style="thin">
        <color rgb="FFCCCCCC"/>
      </bottom>
      <diagonal/>
    </border>
    <border>
      <left style="thin">
        <color rgb="FFCCCCCC"/>
      </left>
      <right/>
      <top style="thin">
        <color rgb="FFCCCCCC"/>
      </top>
      <bottom style="thin">
        <color rgb="FFCCCCCC"/>
      </bottom>
      <diagonal/>
    </border>
    <border>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CCCCCC"/>
      </left>
      <right/>
      <top style="thin">
        <color rgb="FFCCCCCC"/>
      </top>
      <bottom/>
      <diagonal/>
    </border>
    <border>
      <left/>
      <right/>
      <top style="thin">
        <color rgb="FFCCCCCC"/>
      </top>
      <bottom/>
      <diagonal/>
    </border>
    <border>
      <left/>
      <right style="thin">
        <color rgb="FFCCCCCC"/>
      </right>
      <top style="thin">
        <color rgb="FFCCCCCC"/>
      </top>
      <bottom/>
      <diagonal/>
    </border>
    <border>
      <left style="thin">
        <color rgb="FFCCCCCC"/>
      </left>
      <right style="thin">
        <color rgb="FFCCCCCC"/>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ck">
        <color theme="0"/>
      </top>
      <bottom style="thick">
        <color theme="0"/>
      </bottom>
      <diagonal/>
    </border>
    <border>
      <left/>
      <right style="thick">
        <color theme="0"/>
      </right>
      <top style="medium">
        <color rgb="FF00943B"/>
      </top>
      <bottom style="medium">
        <color rgb="FF00943B"/>
      </bottom>
      <diagonal/>
    </border>
    <border>
      <left style="thin">
        <color theme="1" tint="0.499984740745262"/>
      </left>
      <right/>
      <top/>
      <bottom/>
      <diagonal/>
    </border>
    <border>
      <left/>
      <right style="thin">
        <color theme="1" tint="0.499984740745262"/>
      </right>
      <top/>
      <bottom/>
      <diagonal/>
    </border>
    <border>
      <left/>
      <right style="thick">
        <color theme="0"/>
      </right>
      <top/>
      <bottom/>
      <diagonal/>
    </border>
    <border>
      <left style="thick">
        <color theme="0"/>
      </left>
      <right/>
      <top/>
      <bottom/>
      <diagonal/>
    </border>
    <border>
      <left/>
      <right/>
      <top style="thick">
        <color theme="0"/>
      </top>
      <bottom/>
      <diagonal/>
    </border>
    <border>
      <left/>
      <right/>
      <top/>
      <bottom style="medium">
        <color indexed="64"/>
      </bottom>
      <diagonal/>
    </border>
    <border>
      <left style="thin">
        <color theme="0" tint="-0.24994659260841701"/>
      </left>
      <right/>
      <top/>
      <bottom/>
      <diagonal/>
    </border>
    <border>
      <left style="medium">
        <color indexed="64"/>
      </left>
      <right style="medium">
        <color indexed="64"/>
      </right>
      <top/>
      <bottom/>
      <diagonal/>
    </border>
    <border>
      <left style="thin">
        <color theme="1" tint="0.499984740745262"/>
      </left>
      <right style="thin">
        <color theme="1" tint="0.499984740745262"/>
      </right>
      <top/>
      <bottom/>
      <diagonal/>
    </border>
    <border>
      <left style="thick">
        <color theme="0"/>
      </left>
      <right style="thick">
        <color rgb="FF00943B"/>
      </right>
      <top/>
      <bottom/>
      <diagonal/>
    </border>
    <border>
      <left/>
      <right/>
      <top/>
      <bottom style="thick">
        <color theme="0"/>
      </bottom>
      <diagonal/>
    </border>
    <border>
      <left style="thin">
        <color indexed="64"/>
      </left>
      <right style="thin">
        <color indexed="64"/>
      </right>
      <top style="thin">
        <color indexed="64"/>
      </top>
      <bottom style="thin">
        <color indexed="64"/>
      </bottom>
      <diagonal/>
    </border>
    <border>
      <left/>
      <right/>
      <top style="mediumDash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0F9139"/>
      </top>
      <bottom style="thin">
        <color rgb="FF0F9139"/>
      </bottom>
      <diagonal/>
    </border>
    <border>
      <left/>
      <right/>
      <top style="thin">
        <color rgb="FF0F9139"/>
      </top>
      <bottom style="double">
        <color rgb="FF0F9139"/>
      </bottom>
      <diagonal/>
    </border>
    <border>
      <left/>
      <right/>
      <top/>
      <bottom style="medium">
        <color rgb="FF00933A"/>
      </bottom>
      <diagonal/>
    </border>
    <border>
      <left/>
      <right/>
      <top style="thin">
        <color indexed="64"/>
      </top>
      <bottom style="medium">
        <color rgb="FF00943B"/>
      </bottom>
      <diagonal/>
    </border>
    <border>
      <left/>
      <right/>
      <top style="medium">
        <color theme="9" tint="-0.24994659260841701"/>
      </top>
      <bottom style="medium">
        <color theme="9" tint="-0.24994659260841701"/>
      </bottom>
      <diagonal/>
    </border>
  </borders>
  <cellStyleXfs count="629">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8" fillId="0" borderId="0"/>
    <xf numFmtId="0" fontId="14" fillId="0" borderId="0"/>
    <xf numFmtId="172" fontId="16" fillId="0" borderId="0" applyFont="0" applyFill="0" applyBorder="0" applyAlignment="0" applyProtection="0"/>
    <xf numFmtId="9" fontId="16" fillId="0" borderId="0" applyFont="0" applyFill="0" applyBorder="0" applyAlignment="0" applyProtection="0"/>
    <xf numFmtId="0" fontId="14" fillId="0" borderId="0"/>
    <xf numFmtId="37" fontId="23" fillId="0" borderId="0"/>
    <xf numFmtId="166" fontId="14" fillId="0" borderId="0" applyFont="0" applyFill="0" applyBorder="0" applyAlignment="0" applyProtection="0"/>
    <xf numFmtId="0" fontId="14" fillId="0" borderId="0"/>
    <xf numFmtId="0" fontId="38" fillId="5"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6" borderId="0" applyNumberFormat="0" applyBorder="0" applyAlignment="0" applyProtection="0"/>
    <xf numFmtId="0" fontId="39" fillId="16"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14" fillId="0" borderId="0"/>
    <xf numFmtId="0" fontId="40" fillId="12" borderId="0" applyNumberFormat="0" applyBorder="0" applyAlignment="0" applyProtection="0"/>
    <xf numFmtId="0" fontId="40" fillId="12" borderId="0" applyNumberFormat="0" applyBorder="0" applyAlignment="0" applyProtection="0"/>
    <xf numFmtId="0" fontId="44" fillId="11" borderId="0" applyNumberFormat="0" applyBorder="0" applyAlignment="0" applyProtection="0"/>
    <xf numFmtId="0" fontId="41" fillId="20" borderId="7" applyNumberFormat="0" applyAlignment="0" applyProtection="0"/>
    <xf numFmtId="0" fontId="41" fillId="20" borderId="7" applyNumberFormat="0" applyAlignment="0" applyProtection="0"/>
    <xf numFmtId="0" fontId="42" fillId="21" borderId="8" applyNumberFormat="0" applyAlignment="0" applyProtection="0"/>
    <xf numFmtId="0" fontId="53" fillId="0" borderId="9" applyNumberFormat="0" applyFill="0" applyAlignment="0" applyProtection="0"/>
    <xf numFmtId="0" fontId="25" fillId="0" borderId="0" applyFill="0" applyBorder="0" applyProtection="0">
      <alignment horizontal="center"/>
      <protection locked="0"/>
    </xf>
    <xf numFmtId="0" fontId="54" fillId="0" borderId="0" applyFill="0" applyBorder="0" applyProtection="0">
      <alignment horizontal="center"/>
    </xf>
    <xf numFmtId="0" fontId="42" fillId="21" borderId="8" applyNumberFormat="0" applyAlignment="0" applyProtection="0"/>
    <xf numFmtId="0" fontId="42" fillId="21" borderId="8" applyNumberFormat="0" applyAlignment="0" applyProtection="0"/>
    <xf numFmtId="0" fontId="24" fillId="0" borderId="10">
      <alignment horizontal="center"/>
    </xf>
    <xf numFmtId="180" fontId="55" fillId="0" borderId="0" applyFont="0" applyFill="0" applyBorder="0" applyAlignment="0" applyProtection="0"/>
    <xf numFmtId="39" fontId="56" fillId="0" borderId="0" applyFont="0" applyFill="0" applyBorder="0" applyAlignment="0" applyProtection="0"/>
    <xf numFmtId="181" fontId="57" fillId="0" borderId="0" applyFont="0" applyFill="0" applyBorder="0" applyAlignment="0" applyProtection="0"/>
    <xf numFmtId="166" fontId="36" fillId="0" borderId="0" applyFont="0" applyFill="0" applyBorder="0" applyAlignment="0" applyProtection="0"/>
    <xf numFmtId="171" fontId="16" fillId="0" borderId="0" applyFont="0" applyFill="0" applyBorder="0" applyAlignment="0" applyProtection="0"/>
    <xf numFmtId="166" fontId="14" fillId="0" borderId="0" applyFont="0" applyFill="0" applyBorder="0" applyAlignment="0" applyProtection="0"/>
    <xf numFmtId="166" fontId="36" fillId="0" borderId="0" applyFont="0" applyFill="0" applyBorder="0" applyAlignment="0" applyProtection="0"/>
    <xf numFmtId="166" fontId="14" fillId="0" borderId="0" applyFont="0" applyFill="0" applyBorder="0" applyAlignment="0" applyProtection="0"/>
    <xf numFmtId="43" fontId="38" fillId="0" borderId="0" applyFont="0" applyFill="0" applyBorder="0" applyAlignment="0" applyProtection="0"/>
    <xf numFmtId="166" fontId="14" fillId="0" borderId="0" applyFont="0" applyFill="0" applyBorder="0" applyAlignment="0" applyProtection="0"/>
    <xf numFmtId="166" fontId="1" fillId="0" borderId="0" applyFont="0" applyFill="0" applyBorder="0" applyAlignment="0" applyProtection="0"/>
    <xf numFmtId="3" fontId="58" fillId="0" borderId="0" applyFont="0" applyFill="0" applyBorder="0" applyAlignment="0" applyProtection="0"/>
    <xf numFmtId="0" fontId="59" fillId="0" borderId="0" applyFill="0" applyBorder="0" applyAlignment="0" applyProtection="0">
      <protection locked="0"/>
    </xf>
    <xf numFmtId="182" fontId="57" fillId="0" borderId="0" applyFont="0" applyFill="0" applyBorder="0" applyAlignment="0" applyProtection="0"/>
    <xf numFmtId="183" fontId="56" fillId="0" borderId="0" applyFont="0" applyFill="0" applyBorder="0" applyAlignment="0" applyProtection="0"/>
    <xf numFmtId="184" fontId="57" fillId="0" borderId="0" applyFont="0" applyFill="0" applyBorder="0" applyAlignment="0" applyProtection="0"/>
    <xf numFmtId="175" fontId="14" fillId="0" borderId="0" applyFont="0" applyFill="0" applyBorder="0" applyAlignment="0" applyProtection="0"/>
    <xf numFmtId="175" fontId="14" fillId="0" borderId="0" applyFont="0" applyFill="0" applyBorder="0" applyAlignment="0" applyProtection="0"/>
    <xf numFmtId="185" fontId="14" fillId="0" borderId="0" applyFont="0" applyFill="0" applyBorder="0" applyAlignment="0" applyProtection="0"/>
    <xf numFmtId="186" fontId="58" fillId="0" borderId="0" applyFont="0" applyFill="0" applyBorder="0" applyAlignment="0" applyProtection="0"/>
    <xf numFmtId="0" fontId="25" fillId="22" borderId="0" applyNumberFormat="0" applyFont="0" applyFill="0" applyBorder="0" applyProtection="0">
      <alignment horizontal="left"/>
    </xf>
    <xf numFmtId="0" fontId="58" fillId="0" borderId="0" applyFont="0" applyFill="0" applyBorder="0" applyAlignment="0" applyProtection="0"/>
    <xf numFmtId="0" fontId="47" fillId="8" borderId="7" applyNumberFormat="0" applyAlignment="0" applyProtection="0"/>
    <xf numFmtId="177" fontId="26" fillId="0" borderId="0" applyFon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2" fontId="58" fillId="0" borderId="0" applyFont="0" applyFill="0" applyBorder="0" applyAlignment="0" applyProtection="0"/>
    <xf numFmtId="0" fontId="44" fillId="9" borderId="0" applyNumberFormat="0" applyBorder="0" applyAlignment="0" applyProtection="0"/>
    <xf numFmtId="0" fontId="44" fillId="9" borderId="0" applyNumberFormat="0" applyBorder="0" applyAlignment="0" applyProtection="0"/>
    <xf numFmtId="178" fontId="14" fillId="23" borderId="0">
      <alignment horizontal="left" vertical="top"/>
    </xf>
    <xf numFmtId="0" fontId="60" fillId="0" borderId="11" applyNumberFormat="0" applyFill="0" applyAlignment="0" applyProtection="0"/>
    <xf numFmtId="0" fontId="60" fillId="0" borderId="11" applyNumberFormat="0" applyFill="0" applyAlignment="0" applyProtection="0"/>
    <xf numFmtId="0" fontId="45" fillId="0" borderId="12" applyNumberFormat="0" applyFill="0" applyAlignment="0" applyProtection="0"/>
    <xf numFmtId="0" fontId="45" fillId="0" borderId="12"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54" fillId="0" borderId="0" applyFill="0" applyAlignment="0" applyProtection="0">
      <protection locked="0"/>
    </xf>
    <xf numFmtId="0" fontId="54" fillId="0" borderId="1" applyFill="0" applyAlignment="0" applyProtection="0">
      <protection locked="0"/>
    </xf>
    <xf numFmtId="0" fontId="28"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9" fillId="0" borderId="0"/>
    <xf numFmtId="0" fontId="26" fillId="23" borderId="0">
      <alignment horizontal="left" wrapText="1" indent="2"/>
    </xf>
    <xf numFmtId="0" fontId="47" fillId="13" borderId="7" applyNumberFormat="0" applyAlignment="0" applyProtection="0"/>
    <xf numFmtId="0" fontId="47" fillId="13" borderId="7" applyNumberFormat="0" applyAlignment="0" applyProtection="0"/>
    <xf numFmtId="0" fontId="48" fillId="0" borderId="14" applyNumberFormat="0" applyFill="0" applyAlignment="0" applyProtection="0"/>
    <xf numFmtId="0" fontId="48" fillId="0" borderId="14" applyNumberFormat="0" applyFill="0" applyAlignment="0" applyProtection="0"/>
    <xf numFmtId="0" fontId="59" fillId="0" borderId="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42" fontId="14" fillId="0" borderId="0" applyFont="0" applyFill="0" applyBorder="0" applyAlignment="0" applyProtection="0"/>
    <xf numFmtId="44" fontId="14" fillId="0" borderId="0" applyFont="0" applyFill="0" applyBorder="0" applyAlignment="0" applyProtection="0"/>
    <xf numFmtId="0" fontId="61"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35" fillId="0" borderId="0" applyNumberForma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6" fillId="0" borderId="0"/>
    <xf numFmtId="0" fontId="14" fillId="0" borderId="0"/>
    <xf numFmtId="0" fontId="38" fillId="0" borderId="0"/>
    <xf numFmtId="0" fontId="14" fillId="0" borderId="0"/>
    <xf numFmtId="0" fontId="14" fillId="0" borderId="0"/>
    <xf numFmtId="0" fontId="38" fillId="7" borderId="15" applyNumberFormat="0" applyFont="0" applyAlignment="0" applyProtection="0"/>
    <xf numFmtId="0" fontId="14" fillId="7" borderId="15" applyNumberFormat="0" applyFont="0" applyAlignment="0" applyProtection="0"/>
    <xf numFmtId="0" fontId="14" fillId="7" borderId="15" applyNumberFormat="0" applyFont="0" applyAlignment="0" applyProtection="0"/>
    <xf numFmtId="0" fontId="50" fillId="20" borderId="16" applyNumberFormat="0" applyAlignment="0" applyProtection="0"/>
    <xf numFmtId="0" fontId="50" fillId="20" borderId="16" applyNumberFormat="0" applyAlignment="0" applyProtection="0"/>
    <xf numFmtId="187" fontId="57" fillId="0" borderId="0" applyFont="0" applyFill="0" applyBorder="0" applyAlignment="0" applyProtection="0"/>
    <xf numFmtId="188" fontId="55" fillId="0" borderId="0" applyFont="0" applyFill="0" applyBorder="0" applyAlignment="0" applyProtection="0"/>
    <xf numFmtId="189" fontId="14" fillId="0" borderId="0" applyFont="0" applyFill="0" applyBorder="0" applyAlignment="0" applyProtection="0"/>
    <xf numFmtId="190" fontId="57" fillId="0" borderId="0" applyFont="0" applyFill="0" applyBorder="0" applyAlignment="0" applyProtection="0"/>
    <xf numFmtId="191" fontId="55" fillId="0" borderId="0" applyFont="0" applyFill="0" applyBorder="0" applyAlignment="0" applyProtection="0"/>
    <xf numFmtId="192" fontId="57" fillId="0" borderId="0" applyFont="0" applyFill="0" applyBorder="0" applyAlignment="0" applyProtection="0"/>
    <xf numFmtId="193" fontId="55" fillId="0" borderId="0" applyFont="0" applyFill="0" applyBorder="0" applyAlignment="0" applyProtection="0"/>
    <xf numFmtId="194" fontId="57" fillId="0" borderId="0" applyFont="0" applyFill="0" applyBorder="0" applyAlignment="0" applyProtection="0"/>
    <xf numFmtId="195" fontId="55" fillId="0" borderId="0" applyFont="0" applyFill="0" applyBorder="0" applyAlignment="0" applyProtection="0"/>
    <xf numFmtId="9" fontId="36"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37" fillId="0" borderId="0" applyFont="0" applyFill="0" applyBorder="0" applyAlignment="0" applyProtection="0"/>
    <xf numFmtId="0" fontId="30" fillId="0" borderId="0" applyNumberFormat="0" applyFont="0" applyFill="0" applyBorder="0" applyAlignment="0" applyProtection="0">
      <alignment horizontal="left"/>
    </xf>
    <xf numFmtId="176" fontId="31" fillId="0" borderId="0">
      <alignment horizontal="left"/>
    </xf>
    <xf numFmtId="179" fontId="32" fillId="0" borderId="0">
      <protection locked="0"/>
    </xf>
    <xf numFmtId="166" fontId="36" fillId="0" borderId="0" applyFont="0" applyFill="0" applyBorder="0" applyAlignment="0" applyProtection="0"/>
    <xf numFmtId="166" fontId="37" fillId="0" borderId="0" applyFont="0" applyFill="0" applyBorder="0" applyAlignment="0" applyProtection="0"/>
    <xf numFmtId="0" fontId="54" fillId="0" borderId="0" applyFill="0" applyBorder="0" applyAlignment="0" applyProtection="0"/>
    <xf numFmtId="0" fontId="33" fillId="23" borderId="0">
      <alignment wrapText="1"/>
    </xf>
    <xf numFmtId="0" fontId="48" fillId="0" borderId="0" applyNumberFormat="0" applyFill="0" applyBorder="0" applyAlignment="0" applyProtection="0"/>
    <xf numFmtId="0" fontId="62" fillId="0" borderId="0" applyFill="0" applyBorder="0" applyProtection="0">
      <alignment horizontal="left"/>
    </xf>
    <xf numFmtId="0" fontId="51" fillId="0" borderId="0" applyNumberFormat="0" applyFill="0" applyBorder="0" applyAlignment="0" applyProtection="0"/>
    <xf numFmtId="0" fontId="51" fillId="0" borderId="0" applyNumberFormat="0" applyFill="0" applyBorder="0" applyAlignment="0" applyProtection="0"/>
    <xf numFmtId="179" fontId="34" fillId="0" borderId="17">
      <alignment horizontal="left"/>
      <protection locked="0"/>
    </xf>
    <xf numFmtId="0" fontId="52" fillId="0" borderId="18" applyNumberFormat="0" applyFill="0" applyAlignment="0" applyProtection="0"/>
    <xf numFmtId="0" fontId="52" fillId="0" borderId="18" applyNumberFormat="0" applyFill="0" applyAlignment="0" applyProtection="0"/>
    <xf numFmtId="43" fontId="14" fillId="0" borderId="0" applyFon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196" fontId="55" fillId="0" borderId="0" applyFont="0" applyFill="0" applyBorder="0" applyAlignment="0" applyProtection="0"/>
    <xf numFmtId="197" fontId="55" fillId="0" borderId="0" applyFont="0" applyFill="0" applyBorder="0" applyAlignment="0" applyProtection="0"/>
    <xf numFmtId="198" fontId="55" fillId="0" borderId="0" applyFont="0" applyFill="0" applyBorder="0" applyAlignment="0" applyProtection="0"/>
    <xf numFmtId="199" fontId="55" fillId="0" borderId="0" applyFont="0" applyFill="0" applyBorder="0" applyAlignment="0" applyProtection="0"/>
    <xf numFmtId="200" fontId="55" fillId="0" borderId="0" applyFont="0" applyFill="0" applyBorder="0" applyAlignment="0" applyProtection="0"/>
    <xf numFmtId="201" fontId="55" fillId="0" borderId="0" applyFont="0" applyFill="0" applyBorder="0" applyAlignment="0" applyProtection="0"/>
    <xf numFmtId="202" fontId="55" fillId="0" borderId="0" applyFont="0" applyFill="0" applyBorder="0" applyAlignment="0" applyProtection="0"/>
    <xf numFmtId="203" fontId="55" fillId="0" borderId="0" applyFon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63" fillId="0" borderId="0" applyNumberFormat="0" applyFill="0" applyBorder="0" applyAlignment="0" applyProtection="0"/>
    <xf numFmtId="166" fontId="63" fillId="0" borderId="0" applyFont="0" applyFill="0" applyBorder="0" applyAlignment="0" applyProtection="0"/>
    <xf numFmtId="0" fontId="63" fillId="0" borderId="0" applyNumberFormat="0" applyFill="0" applyBorder="0" applyAlignment="0" applyProtection="0"/>
    <xf numFmtId="166" fontId="63" fillId="0" borderId="0" applyFont="0" applyFill="0" applyBorder="0" applyAlignment="0" applyProtection="0"/>
    <xf numFmtId="0" fontId="35" fillId="0" borderId="0" applyNumberFormat="0" applyFill="0" applyBorder="0" applyAlignment="0" applyProtection="0"/>
    <xf numFmtId="172" fontId="16" fillId="0" borderId="0" applyFont="0" applyFill="0" applyBorder="0" applyAlignment="0" applyProtection="0"/>
    <xf numFmtId="0" fontId="35" fillId="0" borderId="0" applyNumberFormat="0" applyFill="0" applyBorder="0" applyAlignment="0" applyProtection="0"/>
    <xf numFmtId="166" fontId="1" fillId="0" borderId="0" applyFont="0" applyFill="0" applyBorder="0" applyAlignment="0" applyProtection="0"/>
    <xf numFmtId="0" fontId="64" fillId="0" borderId="0" applyNumberFormat="0" applyFill="0" applyBorder="0" applyAlignment="0" applyProtection="0"/>
    <xf numFmtId="0" fontId="1" fillId="4" borderId="6" applyNumberFormat="0" applyFont="0" applyAlignment="0" applyProtection="0"/>
    <xf numFmtId="0" fontId="14" fillId="0" borderId="0"/>
    <xf numFmtId="0" fontId="14" fillId="0" borderId="0"/>
    <xf numFmtId="166" fontId="14" fillId="0" borderId="0" applyFont="0" applyFill="0" applyBorder="0" applyAlignment="0" applyProtection="0"/>
    <xf numFmtId="43" fontId="1" fillId="0" borderId="0" applyFont="0" applyFill="0" applyBorder="0" applyAlignment="0" applyProtection="0"/>
    <xf numFmtId="0" fontId="14" fillId="0" borderId="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8"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26" fillId="23" borderId="0">
      <alignment horizontal="left" wrapText="1" indent="2"/>
    </xf>
    <xf numFmtId="43" fontId="36" fillId="0" borderId="0" applyFont="0" applyFill="0" applyBorder="0" applyAlignment="0" applyProtection="0"/>
    <xf numFmtId="43" fontId="37" fillId="0" borderId="0" applyFont="0" applyFill="0" applyBorder="0" applyAlignment="0" applyProtection="0"/>
    <xf numFmtId="43" fontId="14" fillId="0" borderId="0" applyFont="0" applyFill="0" applyBorder="0" applyAlignment="0" applyProtection="0"/>
    <xf numFmtId="0" fontId="35" fillId="0" borderId="0" applyNumberFormat="0" applyFill="0" applyBorder="0" applyAlignment="0" applyProtection="0"/>
    <xf numFmtId="43" fontId="63" fillId="0" borderId="0" applyFont="0" applyFill="0" applyBorder="0" applyAlignment="0" applyProtection="0"/>
    <xf numFmtId="0" fontId="63" fillId="0" borderId="0" applyNumberFormat="0" applyFill="0" applyBorder="0" applyAlignment="0" applyProtection="0"/>
    <xf numFmtId="43" fontId="63"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4"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8"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4" fillId="0" borderId="0" applyFont="0" applyFill="0" applyBorder="0" applyAlignment="0" applyProtection="0"/>
    <xf numFmtId="43" fontId="1" fillId="0" borderId="0" applyFont="0" applyFill="0" applyBorder="0" applyAlignment="0" applyProtection="0"/>
    <xf numFmtId="172" fontId="16"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8"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4"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8"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4"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8"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4"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8"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4"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8"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4"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8"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4"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8"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4"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8"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4" fillId="0" borderId="0" applyFont="0" applyFill="0" applyBorder="0" applyAlignment="0" applyProtection="0"/>
    <xf numFmtId="43" fontId="1" fillId="0" borderId="0" applyFont="0" applyFill="0" applyBorder="0" applyAlignment="0" applyProtection="0"/>
    <xf numFmtId="0" fontId="26" fillId="23" borderId="0">
      <alignment horizontal="left" wrapText="1" indent="2"/>
    </xf>
    <xf numFmtId="0" fontId="63"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14" fillId="0" borderId="0"/>
    <xf numFmtId="43" fontId="38"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8"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4"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8"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4"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8"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4"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8"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4"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8"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4"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8"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4"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8"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4"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6" fillId="0" borderId="0" applyFont="0" applyFill="0" applyBorder="0" applyAlignment="0" applyProtection="0"/>
    <xf numFmtId="43" fontId="14" fillId="0" borderId="0" applyFont="0" applyFill="0" applyBorder="0" applyAlignment="0" applyProtection="0"/>
    <xf numFmtId="43" fontId="38"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 fillId="0" borderId="0" applyFont="0" applyFill="0" applyBorder="0" applyAlignment="0" applyProtection="0"/>
    <xf numFmtId="0" fontId="1" fillId="4" borderId="6" applyNumberFormat="0" applyFont="0" applyAlignment="0" applyProtection="0"/>
    <xf numFmtId="43" fontId="14" fillId="0" borderId="0" applyFont="0" applyFill="0" applyBorder="0" applyAlignment="0" applyProtection="0"/>
    <xf numFmtId="43" fontId="1" fillId="0" borderId="0" applyFont="0" applyFill="0" applyBorder="0" applyAlignment="0" applyProtection="0"/>
    <xf numFmtId="0" fontId="35" fillId="0" borderId="0" applyNumberFormat="0" applyFill="0" applyBorder="0" applyAlignment="0" applyProtection="0"/>
    <xf numFmtId="0" fontId="67" fillId="0" borderId="0"/>
    <xf numFmtId="44" fontId="1" fillId="0" borderId="0" applyFont="0" applyFill="0" applyBorder="0" applyAlignment="0" applyProtection="0"/>
    <xf numFmtId="43" fontId="1" fillId="0" borderId="0" applyFont="0" applyFill="0" applyBorder="0" applyAlignment="0" applyProtection="0"/>
    <xf numFmtId="166" fontId="14" fillId="0" borderId="0" applyFont="0" applyFill="0" applyBorder="0" applyAlignment="0" applyProtection="0"/>
    <xf numFmtId="9" fontId="14" fillId="0" borderId="0" applyFont="0" applyFill="0" applyBorder="0" applyAlignment="0" applyProtection="0"/>
    <xf numFmtId="167" fontId="1" fillId="0" borderId="0" applyFont="0" applyFill="0" applyBorder="0" applyAlignment="0" applyProtection="0"/>
    <xf numFmtId="0" fontId="85" fillId="0" borderId="0" applyNumberFormat="0" applyFill="0" applyBorder="0" applyAlignment="0" applyProtection="0"/>
    <xf numFmtId="0" fontId="8" fillId="0" borderId="0"/>
  </cellStyleXfs>
  <cellXfs count="390">
    <xf numFmtId="0" fontId="0" fillId="0" borderId="0" xfId="0"/>
    <xf numFmtId="0" fontId="4" fillId="0" borderId="0" xfId="0" applyFont="1"/>
    <xf numFmtId="0" fontId="5" fillId="0" borderId="0" xfId="0" applyFont="1" applyAlignment="1">
      <alignment horizontal="center"/>
    </xf>
    <xf numFmtId="0" fontId="6" fillId="0" borderId="0" xfId="0" applyFont="1"/>
    <xf numFmtId="0" fontId="7" fillId="0" borderId="0" xfId="0" applyFont="1" applyAlignment="1">
      <alignment horizontal="center"/>
    </xf>
    <xf numFmtId="168" fontId="6" fillId="0" borderId="0" xfId="2" applyNumberFormat="1" applyFont="1" applyBorder="1"/>
    <xf numFmtId="168" fontId="6" fillId="2" borderId="0" xfId="2" applyNumberFormat="1" applyFont="1" applyFill="1" applyBorder="1"/>
    <xf numFmtId="0" fontId="11" fillId="0" borderId="0" xfId="0" applyFont="1"/>
    <xf numFmtId="168" fontId="4" fillId="0" borderId="0" xfId="2" applyNumberFormat="1" applyFont="1" applyBorder="1"/>
    <xf numFmtId="169" fontId="13" fillId="0" borderId="0" xfId="1" applyNumberFormat="1" applyFont="1" applyFill="1" applyBorder="1"/>
    <xf numFmtId="0" fontId="13" fillId="0" borderId="0" xfId="5" applyFont="1"/>
    <xf numFmtId="169" fontId="15" fillId="0" borderId="0" xfId="5" applyNumberFormat="1" applyFont="1"/>
    <xf numFmtId="0" fontId="6" fillId="0" borderId="0" xfId="0" applyFont="1" applyAlignment="1">
      <alignment horizontal="center"/>
    </xf>
    <xf numFmtId="169" fontId="13" fillId="0" borderId="0" xfId="1" applyNumberFormat="1" applyFont="1" applyFill="1"/>
    <xf numFmtId="0" fontId="13" fillId="0" borderId="0" xfId="5" applyFont="1" applyAlignment="1">
      <alignment horizontal="left"/>
    </xf>
    <xf numFmtId="0" fontId="4" fillId="0" borderId="0" xfId="0" applyFont="1" applyAlignment="1">
      <alignment horizontal="center"/>
    </xf>
    <xf numFmtId="168" fontId="6" fillId="0" borderId="0" xfId="2" applyNumberFormat="1" applyFont="1" applyBorder="1" applyAlignment="1">
      <alignment horizontal="center"/>
    </xf>
    <xf numFmtId="0" fontId="3" fillId="0" borderId="0" xfId="0" applyFont="1" applyAlignment="1">
      <alignment horizontal="centerContinuous"/>
    </xf>
    <xf numFmtId="0" fontId="6" fillId="0" borderId="0" xfId="0" applyFont="1" applyAlignment="1">
      <alignment horizontal="centerContinuous"/>
    </xf>
    <xf numFmtId="0" fontId="2" fillId="0" borderId="0" xfId="0" applyFont="1"/>
    <xf numFmtId="0" fontId="17" fillId="0" borderId="0" xfId="0" applyFont="1" applyAlignment="1">
      <alignment horizontal="centerContinuous"/>
    </xf>
    <xf numFmtId="0" fontId="0" fillId="0" borderId="0" xfId="0" applyAlignment="1">
      <alignment horizontal="centerContinuous"/>
    </xf>
    <xf numFmtId="0" fontId="18" fillId="0" borderId="0" xfId="0" applyFont="1" applyAlignment="1">
      <alignment horizontal="center"/>
    </xf>
    <xf numFmtId="0" fontId="6" fillId="0" borderId="0" xfId="0" applyFont="1" applyAlignment="1">
      <alignment vertical="center"/>
    </xf>
    <xf numFmtId="0" fontId="19" fillId="0" borderId="0" xfId="0" applyFont="1" applyAlignment="1">
      <alignment horizontal="center"/>
    </xf>
    <xf numFmtId="171" fontId="0" fillId="0" borderId="0" xfId="0" applyNumberFormat="1"/>
    <xf numFmtId="0" fontId="6" fillId="3" borderId="2" xfId="0" applyFont="1" applyFill="1" applyBorder="1" applyAlignment="1">
      <alignment horizontal="center"/>
    </xf>
    <xf numFmtId="0" fontId="4" fillId="3" borderId="2" xfId="0" applyFont="1" applyFill="1" applyBorder="1"/>
    <xf numFmtId="0" fontId="10" fillId="3" borderId="2" xfId="5" applyFont="1" applyFill="1" applyBorder="1"/>
    <xf numFmtId="0" fontId="4" fillId="3" borderId="0" xfId="0" applyFont="1" applyFill="1"/>
    <xf numFmtId="0" fontId="4" fillId="3" borderId="2" xfId="0" applyFont="1" applyFill="1" applyBorder="1" applyAlignment="1">
      <alignment horizontal="center"/>
    </xf>
    <xf numFmtId="168" fontId="9" fillId="3" borderId="0" xfId="4" applyNumberFormat="1" applyFont="1" applyFill="1" applyAlignment="1">
      <alignment horizontal="left" vertical="center"/>
    </xf>
    <xf numFmtId="168" fontId="10" fillId="3" borderId="0" xfId="4" applyNumberFormat="1" applyFont="1" applyFill="1" applyAlignment="1">
      <alignment horizontal="left" vertical="center"/>
    </xf>
    <xf numFmtId="0" fontId="6" fillId="3" borderId="2" xfId="0" applyFont="1" applyFill="1" applyBorder="1"/>
    <xf numFmtId="0" fontId="10" fillId="2" borderId="0" xfId="5" applyFont="1" applyFill="1"/>
    <xf numFmtId="0" fontId="4" fillId="2" borderId="0" xfId="0" applyFont="1" applyFill="1" applyAlignment="1">
      <alignment horizontal="center"/>
    </xf>
    <xf numFmtId="0" fontId="4" fillId="2" borderId="0" xfId="0" applyFont="1" applyFill="1"/>
    <xf numFmtId="168" fontId="4" fillId="2" borderId="0" xfId="2" applyNumberFormat="1" applyFont="1" applyFill="1" applyBorder="1"/>
    <xf numFmtId="0" fontId="6" fillId="2" borderId="0" xfId="0" applyFont="1" applyFill="1"/>
    <xf numFmtId="168" fontId="9" fillId="3" borderId="0" xfId="4" applyNumberFormat="1" applyFont="1" applyFill="1" applyAlignment="1">
      <alignment vertical="center"/>
    </xf>
    <xf numFmtId="169" fontId="13" fillId="3" borderId="2" xfId="1" applyNumberFormat="1" applyFont="1" applyFill="1" applyBorder="1"/>
    <xf numFmtId="169" fontId="10" fillId="3" borderId="2" xfId="1" applyNumberFormat="1" applyFont="1" applyFill="1" applyBorder="1"/>
    <xf numFmtId="174" fontId="6" fillId="3" borderId="2" xfId="0" applyNumberFormat="1" applyFont="1" applyFill="1" applyBorder="1" applyAlignment="1">
      <alignment horizontal="center"/>
    </xf>
    <xf numFmtId="0" fontId="3" fillId="0" borderId="0" xfId="0" applyFont="1" applyAlignment="1">
      <alignment horizontal="left" indent="2"/>
    </xf>
    <xf numFmtId="0" fontId="22" fillId="0" borderId="0" xfId="0" applyFont="1" applyAlignment="1">
      <alignment horizontal="left" indent="2"/>
    </xf>
    <xf numFmtId="0" fontId="13" fillId="0" borderId="0" xfId="8" applyFont="1" applyAlignment="1">
      <alignment horizontal="left" indent="2"/>
    </xf>
    <xf numFmtId="37" fontId="13" fillId="0" borderId="0" xfId="9" applyFont="1" applyAlignment="1">
      <alignment horizontal="left" vertical="center" indent="2"/>
    </xf>
    <xf numFmtId="0" fontId="21" fillId="0" borderId="0" xfId="8" applyFont="1"/>
    <xf numFmtId="3" fontId="0" fillId="0" borderId="0" xfId="0" applyNumberFormat="1"/>
    <xf numFmtId="0" fontId="18" fillId="2" borderId="0" xfId="0" applyFont="1" applyFill="1" applyAlignment="1">
      <alignment horizontal="center"/>
    </xf>
    <xf numFmtId="169" fontId="13" fillId="2" borderId="0" xfId="1" applyNumberFormat="1" applyFont="1" applyFill="1"/>
    <xf numFmtId="3" fontId="4" fillId="0" borderId="0" xfId="0" applyNumberFormat="1" applyFont="1"/>
    <xf numFmtId="3" fontId="6" fillId="0" borderId="0" xfId="0" applyNumberFormat="1" applyFont="1"/>
    <xf numFmtId="168" fontId="13" fillId="2" borderId="0" xfId="2" applyNumberFormat="1" applyFont="1" applyFill="1" applyBorder="1"/>
    <xf numFmtId="0" fontId="20" fillId="0" borderId="0" xfId="0" applyFont="1" applyAlignment="1">
      <alignment horizontal="center"/>
    </xf>
    <xf numFmtId="0" fontId="22" fillId="0" borderId="0" xfId="0" applyFont="1" applyAlignment="1">
      <alignment horizontal="left" indent="3"/>
    </xf>
    <xf numFmtId="0" fontId="65" fillId="0" borderId="0" xfId="0" applyFont="1" applyAlignment="1">
      <alignment horizontal="left" indent="3"/>
    </xf>
    <xf numFmtId="171" fontId="13" fillId="2" borderId="5" xfId="4" applyNumberFormat="1" applyFont="1" applyFill="1" applyBorder="1" applyAlignment="1">
      <alignment horizontal="left" vertical="center"/>
    </xf>
    <xf numFmtId="171" fontId="13" fillId="2" borderId="3" xfId="4" applyNumberFormat="1" applyFont="1" applyFill="1" applyBorder="1" applyAlignment="1">
      <alignment horizontal="left" vertical="center"/>
    </xf>
    <xf numFmtId="171" fontId="13" fillId="2" borderId="4" xfId="4" applyNumberFormat="1" applyFont="1" applyFill="1" applyBorder="1" applyAlignment="1">
      <alignment horizontal="left" vertical="center"/>
    </xf>
    <xf numFmtId="171" fontId="6" fillId="3" borderId="2" xfId="0" applyNumberFormat="1" applyFont="1" applyFill="1" applyBorder="1" applyAlignment="1">
      <alignment horizontal="center"/>
    </xf>
    <xf numFmtId="0" fontId="66" fillId="0" borderId="0" xfId="0" applyFont="1" applyAlignment="1">
      <alignment horizontal="center"/>
    </xf>
    <xf numFmtId="171" fontId="10" fillId="2" borderId="3" xfId="4" applyNumberFormat="1" applyFont="1" applyFill="1" applyBorder="1" applyAlignment="1">
      <alignment horizontal="left" vertical="center"/>
    </xf>
    <xf numFmtId="171" fontId="10" fillId="2" borderId="4" xfId="4" applyNumberFormat="1" applyFont="1" applyFill="1" applyBorder="1" applyAlignment="1">
      <alignment horizontal="left" vertical="center"/>
    </xf>
    <xf numFmtId="171" fontId="4" fillId="3" borderId="2" xfId="0" applyNumberFormat="1" applyFont="1" applyFill="1" applyBorder="1" applyAlignment="1">
      <alignment horizontal="center"/>
    </xf>
    <xf numFmtId="171" fontId="2" fillId="0" borderId="0" xfId="0" applyNumberFormat="1" applyFont="1"/>
    <xf numFmtId="171" fontId="10" fillId="2" borderId="5" xfId="4" applyNumberFormat="1" applyFont="1" applyFill="1" applyBorder="1" applyAlignment="1">
      <alignment horizontal="left" vertical="center"/>
    </xf>
    <xf numFmtId="0" fontId="6" fillId="0" borderId="0" xfId="0" applyFont="1" applyAlignment="1">
      <alignment vertical="top" wrapText="1"/>
    </xf>
    <xf numFmtId="0" fontId="22" fillId="0" borderId="0" xfId="0" applyFont="1" applyAlignment="1">
      <alignment vertical="center" wrapText="1"/>
    </xf>
    <xf numFmtId="0" fontId="68" fillId="0" borderId="0" xfId="0" applyFont="1" applyAlignment="1">
      <alignment horizontal="center"/>
    </xf>
    <xf numFmtId="0" fontId="69" fillId="0" borderId="0" xfId="0" applyFont="1" applyAlignment="1">
      <alignment horizontal="center"/>
    </xf>
    <xf numFmtId="0" fontId="22" fillId="0" borderId="0" xfId="0" applyFont="1" applyAlignment="1">
      <alignment horizontal="left" vertical="center" wrapText="1"/>
    </xf>
    <xf numFmtId="171" fontId="13" fillId="0" borderId="3" xfId="4" applyNumberFormat="1" applyFont="1" applyBorder="1" applyAlignment="1">
      <alignment horizontal="left" vertical="center"/>
    </xf>
    <xf numFmtId="171" fontId="13" fillId="0" borderId="4" xfId="4" applyNumberFormat="1" applyFont="1" applyBorder="1" applyAlignment="1">
      <alignment horizontal="left" vertical="center"/>
    </xf>
    <xf numFmtId="171" fontId="6" fillId="0" borderId="2" xfId="0" applyNumberFormat="1" applyFont="1" applyBorder="1" applyAlignment="1">
      <alignment horizontal="center"/>
    </xf>
    <xf numFmtId="0" fontId="6" fillId="0" borderId="0" xfId="0" applyFont="1" applyAlignment="1">
      <alignment horizontal="center" vertical="center"/>
    </xf>
    <xf numFmtId="0" fontId="6" fillId="0" borderId="0" xfId="0" applyFont="1" applyAlignment="1">
      <alignment horizontal="left" vertical="top"/>
    </xf>
    <xf numFmtId="0" fontId="10" fillId="25" borderId="19" xfId="0" applyFont="1" applyFill="1" applyBorder="1" applyAlignment="1">
      <alignment horizontal="center" vertical="center" wrapText="1"/>
    </xf>
    <xf numFmtId="0" fontId="10" fillId="25" borderId="19" xfId="0" applyFont="1" applyFill="1" applyBorder="1" applyAlignment="1">
      <alignment horizontal="left" vertical="center" wrapText="1" indent="1"/>
    </xf>
    <xf numFmtId="0" fontId="10" fillId="25" borderId="19" xfId="0" applyFont="1" applyFill="1" applyBorder="1" applyAlignment="1">
      <alignment horizontal="left" vertical="top" wrapText="1" indent="1"/>
    </xf>
    <xf numFmtId="0" fontId="13" fillId="24" borderId="28" xfId="0" applyFont="1" applyFill="1" applyBorder="1" applyAlignment="1">
      <alignment horizontal="center" vertical="top" wrapText="1"/>
    </xf>
    <xf numFmtId="0" fontId="13" fillId="0" borderId="28" xfId="0" applyFont="1" applyBorder="1" applyAlignment="1">
      <alignment horizontal="center" vertical="top" wrapText="1"/>
    </xf>
    <xf numFmtId="0" fontId="13" fillId="0" borderId="20" xfId="0" applyFont="1" applyBorder="1" applyAlignment="1">
      <alignment horizontal="center" vertical="top" wrapText="1"/>
    </xf>
    <xf numFmtId="0" fontId="13" fillId="24" borderId="21" xfId="0" applyFont="1" applyFill="1" applyBorder="1" applyAlignment="1">
      <alignment horizontal="center" vertical="top" wrapText="1"/>
    </xf>
    <xf numFmtId="3" fontId="71" fillId="0" borderId="19" xfId="0" applyNumberFormat="1" applyFont="1" applyBorder="1" applyAlignment="1">
      <alignment horizontal="right" vertical="top" shrinkToFit="1"/>
    </xf>
    <xf numFmtId="1" fontId="71" fillId="0" borderId="19" xfId="0" applyNumberFormat="1" applyFont="1" applyBorder="1" applyAlignment="1">
      <alignment horizontal="right" vertical="top" shrinkToFit="1"/>
    </xf>
    <xf numFmtId="2" fontId="70" fillId="24" borderId="28" xfId="0" applyNumberFormat="1" applyFont="1" applyFill="1" applyBorder="1" applyAlignment="1">
      <alignment vertical="top" shrinkToFit="1"/>
    </xf>
    <xf numFmtId="3" fontId="70" fillId="24" borderId="28" xfId="0" applyNumberFormat="1" applyFont="1" applyFill="1" applyBorder="1" applyAlignment="1">
      <alignment vertical="top" shrinkToFit="1"/>
    </xf>
    <xf numFmtId="1" fontId="70" fillId="24" borderId="28" xfId="0" applyNumberFormat="1" applyFont="1" applyFill="1" applyBorder="1" applyAlignment="1">
      <alignment vertical="top" shrinkToFit="1"/>
    </xf>
    <xf numFmtId="2" fontId="70" fillId="0" borderId="28" xfId="0" applyNumberFormat="1" applyFont="1" applyBorder="1" applyAlignment="1">
      <alignment vertical="top" shrinkToFit="1"/>
    </xf>
    <xf numFmtId="3" fontId="70" fillId="0" borderId="28" xfId="0" applyNumberFormat="1" applyFont="1" applyBorder="1" applyAlignment="1">
      <alignment vertical="top" shrinkToFit="1"/>
    </xf>
    <xf numFmtId="1" fontId="70" fillId="0" borderId="28" xfId="0" applyNumberFormat="1" applyFont="1" applyBorder="1" applyAlignment="1">
      <alignment vertical="top" shrinkToFit="1"/>
    </xf>
    <xf numFmtId="0" fontId="6" fillId="0" borderId="28" xfId="0" applyFont="1" applyBorder="1" applyAlignment="1">
      <alignment vertical="center" wrapText="1"/>
    </xf>
    <xf numFmtId="0" fontId="6" fillId="24" borderId="28" xfId="0" applyFont="1" applyFill="1" applyBorder="1" applyAlignment="1">
      <alignment vertical="center" wrapText="1"/>
    </xf>
    <xf numFmtId="0" fontId="6" fillId="0" borderId="20" xfId="0" applyFont="1" applyBorder="1" applyAlignment="1">
      <alignment vertical="center" wrapText="1"/>
    </xf>
    <xf numFmtId="2" fontId="70" fillId="0" borderId="20" xfId="0" applyNumberFormat="1" applyFont="1" applyBorder="1" applyAlignment="1">
      <alignment vertical="top" shrinkToFit="1"/>
    </xf>
    <xf numFmtId="1" fontId="70" fillId="0" borderId="20" xfId="0" applyNumberFormat="1" applyFont="1" applyBorder="1" applyAlignment="1">
      <alignment vertical="top" shrinkToFit="1"/>
    </xf>
    <xf numFmtId="0" fontId="6" fillId="24" borderId="21" xfId="0" applyFont="1" applyFill="1" applyBorder="1" applyAlignment="1">
      <alignment vertical="center" wrapText="1"/>
    </xf>
    <xf numFmtId="2" fontId="70" fillId="24" borderId="21" xfId="0" applyNumberFormat="1" applyFont="1" applyFill="1" applyBorder="1" applyAlignment="1">
      <alignment vertical="top" shrinkToFit="1"/>
    </xf>
    <xf numFmtId="1" fontId="70" fillId="24" borderId="21" xfId="0" applyNumberFormat="1" applyFont="1" applyFill="1" applyBorder="1" applyAlignment="1">
      <alignment vertical="top" shrinkToFit="1"/>
    </xf>
    <xf numFmtId="169" fontId="73" fillId="0" borderId="0" xfId="1" applyNumberFormat="1" applyFont="1" applyFill="1"/>
    <xf numFmtId="0" fontId="22" fillId="0" borderId="0" xfId="0" applyFont="1" applyAlignment="1">
      <alignment vertical="center"/>
    </xf>
    <xf numFmtId="0" fontId="74" fillId="0" borderId="0" xfId="0" applyFont="1" applyAlignment="1">
      <alignment horizontal="left" vertical="center" wrapText="1"/>
    </xf>
    <xf numFmtId="0" fontId="75" fillId="27" borderId="0" xfId="0" applyFont="1" applyFill="1" applyAlignment="1">
      <alignment horizontal="center" wrapText="1"/>
    </xf>
    <xf numFmtId="0" fontId="75" fillId="27" borderId="0" xfId="0" applyFont="1" applyFill="1" applyAlignment="1">
      <alignment horizontal="right" wrapText="1"/>
    </xf>
    <xf numFmtId="0" fontId="4" fillId="28" borderId="0" xfId="0" applyFont="1" applyFill="1" applyAlignment="1">
      <alignment horizontal="center" vertical="center" wrapText="1"/>
    </xf>
    <xf numFmtId="0" fontId="6" fillId="0" borderId="0" xfId="0" applyFont="1" applyAlignment="1">
      <alignment horizontal="right" vertical="center" wrapText="1"/>
    </xf>
    <xf numFmtId="0" fontId="21" fillId="0" borderId="0" xfId="5" applyFont="1"/>
    <xf numFmtId="174" fontId="13" fillId="2" borderId="3" xfId="4" applyNumberFormat="1" applyFont="1" applyFill="1" applyBorder="1" applyAlignment="1">
      <alignment horizontal="left" vertical="center"/>
    </xf>
    <xf numFmtId="174" fontId="13" fillId="2" borderId="4" xfId="4" applyNumberFormat="1" applyFont="1" applyFill="1" applyBorder="1" applyAlignment="1">
      <alignment horizontal="left" vertical="center"/>
    </xf>
    <xf numFmtId="174" fontId="13" fillId="2" borderId="5" xfId="4" applyNumberFormat="1" applyFont="1" applyFill="1" applyBorder="1" applyAlignment="1">
      <alignment horizontal="left" vertical="center"/>
    </xf>
    <xf numFmtId="0" fontId="76" fillId="29" borderId="0" xfId="0" applyFont="1" applyFill="1" applyAlignment="1">
      <alignment horizontal="center" vertical="center"/>
    </xf>
    <xf numFmtId="17" fontId="76" fillId="29" borderId="0" xfId="0" applyNumberFormat="1" applyFont="1" applyFill="1" applyAlignment="1">
      <alignment horizontal="center" vertical="center" wrapText="1"/>
    </xf>
    <xf numFmtId="0" fontId="78" fillId="0" borderId="0" xfId="0" applyFont="1"/>
    <xf numFmtId="204" fontId="6" fillId="0" borderId="0" xfId="0" applyNumberFormat="1" applyFont="1"/>
    <xf numFmtId="37" fontId="6" fillId="0" borderId="0" xfId="0" applyNumberFormat="1" applyFont="1" applyAlignment="1">
      <alignment horizontal="center"/>
    </xf>
    <xf numFmtId="174" fontId="13" fillId="3" borderId="3" xfId="4" applyNumberFormat="1" applyFont="1" applyFill="1" applyBorder="1" applyAlignment="1">
      <alignment horizontal="left" vertical="center" indent="1"/>
    </xf>
    <xf numFmtId="174" fontId="13" fillId="3" borderId="3" xfId="4" applyNumberFormat="1" applyFont="1" applyFill="1" applyBorder="1" applyAlignment="1">
      <alignment horizontal="left" vertical="center"/>
    </xf>
    <xf numFmtId="0" fontId="10" fillId="3" borderId="2" xfId="5" applyFont="1" applyFill="1" applyBorder="1" applyAlignment="1">
      <alignment horizontal="left" indent="2"/>
    </xf>
    <xf numFmtId="174" fontId="10" fillId="3" borderId="32" xfId="4" applyNumberFormat="1" applyFont="1" applyFill="1" applyBorder="1" applyAlignment="1">
      <alignment horizontal="left" vertical="center"/>
    </xf>
    <xf numFmtId="174" fontId="10" fillId="3" borderId="2" xfId="4" applyNumberFormat="1" applyFont="1" applyFill="1" applyBorder="1" applyAlignment="1">
      <alignment vertical="center"/>
    </xf>
    <xf numFmtId="174" fontId="10" fillId="3" borderId="32" xfId="4" applyNumberFormat="1" applyFont="1" applyFill="1" applyBorder="1" applyAlignment="1">
      <alignment vertical="center"/>
    </xf>
    <xf numFmtId="174" fontId="10" fillId="3" borderId="2" xfId="4" applyNumberFormat="1" applyFont="1" applyFill="1" applyBorder="1" applyAlignment="1">
      <alignment horizontal="left" vertical="center" indent="2"/>
    </xf>
    <xf numFmtId="0" fontId="6" fillId="0" borderId="0" xfId="137" applyFont="1" applyAlignment="1">
      <alignment horizontal="center"/>
    </xf>
    <xf numFmtId="205" fontId="6" fillId="0" borderId="34" xfId="10" applyNumberFormat="1" applyFont="1" applyBorder="1" applyAlignment="1">
      <alignment horizontal="center"/>
    </xf>
    <xf numFmtId="171" fontId="6" fillId="0" borderId="0" xfId="1" applyNumberFormat="1" applyFont="1"/>
    <xf numFmtId="205" fontId="6" fillId="0" borderId="33" xfId="10" applyNumberFormat="1" applyFont="1" applyBorder="1" applyAlignment="1">
      <alignment horizontal="center"/>
    </xf>
    <xf numFmtId="206" fontId="6" fillId="0" borderId="33" xfId="10" applyNumberFormat="1" applyFont="1" applyBorder="1" applyAlignment="1">
      <alignment horizontal="center"/>
    </xf>
    <xf numFmtId="0" fontId="79" fillId="29" borderId="0" xfId="0" applyFont="1" applyFill="1" applyAlignment="1">
      <alignment horizontal="center" vertical="center" wrapText="1"/>
    </xf>
    <xf numFmtId="0" fontId="79" fillId="29" borderId="35" xfId="0" applyFont="1" applyFill="1" applyBorder="1" applyAlignment="1">
      <alignment horizontal="center" vertical="center" wrapText="1"/>
    </xf>
    <xf numFmtId="0" fontId="79" fillId="29" borderId="36" xfId="0" applyFont="1" applyFill="1" applyBorder="1" applyAlignment="1">
      <alignment horizontal="center" vertical="center" wrapText="1"/>
    </xf>
    <xf numFmtId="0" fontId="4" fillId="2" borderId="0" xfId="137" applyFont="1" applyFill="1" applyAlignment="1">
      <alignment horizontal="center" vertical="center"/>
    </xf>
    <xf numFmtId="0" fontId="22" fillId="2" borderId="0" xfId="0" applyFont="1" applyFill="1" applyAlignment="1">
      <alignment horizontal="center"/>
    </xf>
    <xf numFmtId="0" fontId="4" fillId="2" borderId="0" xfId="137" applyFont="1" applyFill="1" applyAlignment="1">
      <alignment horizontal="center" vertical="center" wrapText="1"/>
    </xf>
    <xf numFmtId="0" fontId="4" fillId="0" borderId="0" xfId="137" applyFont="1" applyAlignment="1">
      <alignment horizontal="center" vertical="top"/>
    </xf>
    <xf numFmtId="0" fontId="6" fillId="0" borderId="0" xfId="0" applyFont="1" applyAlignment="1">
      <alignment vertical="top"/>
    </xf>
    <xf numFmtId="0" fontId="22" fillId="0" borderId="0" xfId="0" applyFont="1" applyAlignment="1">
      <alignment horizontal="center" vertical="top"/>
    </xf>
    <xf numFmtId="205" fontId="4" fillId="3" borderId="32" xfId="10" applyNumberFormat="1" applyFont="1" applyFill="1" applyBorder="1" applyAlignment="1">
      <alignment horizontal="center"/>
    </xf>
    <xf numFmtId="206" fontId="4" fillId="3" borderId="32" xfId="10" applyNumberFormat="1" applyFont="1" applyFill="1" applyBorder="1" applyAlignment="1">
      <alignment horizontal="center"/>
    </xf>
    <xf numFmtId="0" fontId="6" fillId="0" borderId="0" xfId="0" applyFont="1" applyAlignment="1">
      <alignment horizontal="left"/>
    </xf>
    <xf numFmtId="0" fontId="3" fillId="0" borderId="0" xfId="0" applyFont="1"/>
    <xf numFmtId="0" fontId="6" fillId="2" borderId="0" xfId="0" applyFont="1" applyFill="1" applyAlignment="1">
      <alignment horizontal="centerContinuous"/>
    </xf>
    <xf numFmtId="0" fontId="22" fillId="2" borderId="0" xfId="0" applyFont="1" applyFill="1" applyAlignment="1">
      <alignment horizontal="left" indent="2"/>
    </xf>
    <xf numFmtId="0" fontId="0" fillId="0" borderId="0" xfId="0" applyAlignment="1">
      <alignment vertical="center"/>
    </xf>
    <xf numFmtId="0" fontId="2" fillId="2" borderId="0" xfId="0" applyFont="1" applyFill="1" applyAlignment="1">
      <alignment horizontal="center" wrapText="1"/>
    </xf>
    <xf numFmtId="0" fontId="76" fillId="29" borderId="0" xfId="0" applyFont="1" applyFill="1" applyAlignment="1">
      <alignment horizontal="center" vertical="center" wrapText="1"/>
    </xf>
    <xf numFmtId="0" fontId="76" fillId="29" borderId="35" xfId="0" applyFont="1" applyFill="1" applyBorder="1" applyAlignment="1">
      <alignment horizontal="center" vertical="center" wrapText="1"/>
    </xf>
    <xf numFmtId="171" fontId="0" fillId="2" borderId="0" xfId="0" applyNumberFormat="1" applyFill="1"/>
    <xf numFmtId="0" fontId="0" fillId="2" borderId="0" xfId="0" applyFill="1"/>
    <xf numFmtId="171" fontId="13" fillId="2" borderId="0" xfId="4" applyNumberFormat="1" applyFont="1" applyFill="1" applyAlignment="1">
      <alignment horizontal="left" vertical="center"/>
    </xf>
    <xf numFmtId="0" fontId="13" fillId="0" borderId="0" xfId="5" applyFont="1" applyAlignment="1">
      <alignment vertical="center"/>
    </xf>
    <xf numFmtId="10" fontId="13" fillId="2" borderId="31" xfId="3" applyNumberFormat="1" applyFont="1" applyFill="1" applyBorder="1" applyAlignment="1">
      <alignment horizontal="right" vertical="center"/>
    </xf>
    <xf numFmtId="0" fontId="13" fillId="0" borderId="0" xfId="5" applyFont="1" applyAlignment="1">
      <alignment horizontal="left" indent="2"/>
    </xf>
    <xf numFmtId="171" fontId="13" fillId="2" borderId="37" xfId="4" applyNumberFormat="1" applyFont="1" applyFill="1" applyBorder="1" applyAlignment="1">
      <alignment vertical="center"/>
    </xf>
    <xf numFmtId="171" fontId="6" fillId="2" borderId="0" xfId="0" applyNumberFormat="1" applyFont="1" applyFill="1" applyAlignment="1">
      <alignment horizontal="center"/>
    </xf>
    <xf numFmtId="171" fontId="13" fillId="2" borderId="38" xfId="4" applyNumberFormat="1" applyFont="1" applyFill="1" applyBorder="1" applyAlignment="1">
      <alignment horizontal="left" vertical="center"/>
    </xf>
    <xf numFmtId="9" fontId="13" fillId="2" borderId="31" xfId="3" applyFont="1" applyFill="1" applyBorder="1" applyAlignment="1">
      <alignment horizontal="right" vertical="center"/>
    </xf>
    <xf numFmtId="10" fontId="73" fillId="2" borderId="0" xfId="3" applyNumberFormat="1" applyFont="1" applyFill="1" applyBorder="1" applyAlignment="1">
      <alignment horizontal="right" vertical="center"/>
    </xf>
    <xf numFmtId="0" fontId="0" fillId="2" borderId="0" xfId="0" applyFill="1" applyAlignment="1">
      <alignment horizontal="centerContinuous"/>
    </xf>
    <xf numFmtId="0" fontId="22" fillId="0" borderId="0" xfId="0" applyFont="1" applyAlignment="1">
      <alignment horizontal="left" vertical="center"/>
    </xf>
    <xf numFmtId="0" fontId="0" fillId="0" borderId="0" xfId="0" applyAlignment="1">
      <alignment horizontal="center"/>
    </xf>
    <xf numFmtId="0" fontId="13" fillId="0" borderId="0" xfId="0" applyFont="1" applyAlignment="1">
      <alignment horizontal="center" vertical="center"/>
    </xf>
    <xf numFmtId="171" fontId="13" fillId="2" borderId="0" xfId="4" applyNumberFormat="1" applyFont="1" applyFill="1" applyAlignment="1">
      <alignment horizontal="center" vertical="center"/>
    </xf>
    <xf numFmtId="0" fontId="6" fillId="0" borderId="38" xfId="0" applyFont="1" applyBorder="1" applyAlignment="1">
      <alignment horizontal="center"/>
    </xf>
    <xf numFmtId="10" fontId="13" fillId="2" borderId="0" xfId="3" applyNumberFormat="1" applyFont="1" applyFill="1" applyBorder="1" applyAlignment="1">
      <alignment horizontal="right" vertical="center"/>
    </xf>
    <xf numFmtId="10" fontId="13" fillId="2" borderId="37" xfId="3" applyNumberFormat="1" applyFont="1" applyFill="1" applyBorder="1" applyAlignment="1">
      <alignment horizontal="right" vertical="center"/>
    </xf>
    <xf numFmtId="171" fontId="13" fillId="2" borderId="38" xfId="4" applyNumberFormat="1" applyFont="1" applyFill="1" applyBorder="1" applyAlignment="1">
      <alignment vertical="center"/>
    </xf>
    <xf numFmtId="10" fontId="13" fillId="2" borderId="38" xfId="3" applyNumberFormat="1" applyFont="1" applyFill="1" applyBorder="1" applyAlignment="1">
      <alignment horizontal="right" vertical="center"/>
    </xf>
    <xf numFmtId="9" fontId="13" fillId="2" borderId="0" xfId="3" applyFont="1" applyFill="1" applyBorder="1" applyAlignment="1">
      <alignment horizontal="right" vertical="center"/>
    </xf>
    <xf numFmtId="207" fontId="0" fillId="0" borderId="0" xfId="0" applyNumberFormat="1"/>
    <xf numFmtId="205" fontId="6" fillId="0" borderId="0" xfId="10" applyNumberFormat="1" applyFont="1" applyBorder="1" applyAlignment="1">
      <alignment horizontal="center"/>
    </xf>
    <xf numFmtId="169" fontId="6" fillId="0" borderId="0" xfId="0" applyNumberFormat="1" applyFont="1"/>
    <xf numFmtId="9" fontId="0" fillId="0" borderId="0" xfId="3" applyFont="1"/>
    <xf numFmtId="0" fontId="80" fillId="0" borderId="0" xfId="0" applyFont="1" applyAlignment="1">
      <alignment horizontal="center"/>
    </xf>
    <xf numFmtId="171" fontId="10" fillId="2" borderId="31" xfId="4" applyNumberFormat="1" applyFont="1" applyFill="1" applyBorder="1" applyAlignment="1">
      <alignment horizontal="left" vertical="center"/>
    </xf>
    <xf numFmtId="171" fontId="10" fillId="2" borderId="37" xfId="4" applyNumberFormat="1" applyFont="1" applyFill="1" applyBorder="1" applyAlignment="1">
      <alignment horizontal="left" vertical="center"/>
    </xf>
    <xf numFmtId="0" fontId="5" fillId="2" borderId="0" xfId="0" applyFont="1" applyFill="1" applyAlignment="1">
      <alignment horizontal="center"/>
    </xf>
    <xf numFmtId="0" fontId="2" fillId="2" borderId="0" xfId="0" applyFont="1" applyFill="1"/>
    <xf numFmtId="171" fontId="10" fillId="2" borderId="0" xfId="4" applyNumberFormat="1" applyFont="1" applyFill="1" applyAlignment="1">
      <alignment horizontal="left" vertical="center"/>
    </xf>
    <xf numFmtId="171" fontId="4" fillId="2" borderId="0" xfId="0" applyNumberFormat="1" applyFont="1" applyFill="1" applyAlignment="1">
      <alignment horizontal="center"/>
    </xf>
    <xf numFmtId="171" fontId="2" fillId="2" borderId="0" xfId="0" applyNumberFormat="1" applyFont="1" applyFill="1"/>
    <xf numFmtId="168" fontId="10" fillId="3" borderId="0" xfId="130" applyNumberFormat="1" applyFont="1" applyFill="1" applyAlignment="1">
      <alignment horizontal="left" vertical="center"/>
    </xf>
    <xf numFmtId="0" fontId="3" fillId="0" borderId="0" xfId="0" applyFont="1" applyAlignment="1">
      <alignment horizontal="left"/>
    </xf>
    <xf numFmtId="0" fontId="18" fillId="2" borderId="0" xfId="0" applyFont="1" applyFill="1" applyAlignment="1">
      <alignment horizontal="left"/>
    </xf>
    <xf numFmtId="0" fontId="6" fillId="0" borderId="0" xfId="0" applyFont="1" applyAlignment="1">
      <alignment vertical="center" wrapText="1"/>
    </xf>
    <xf numFmtId="17" fontId="82" fillId="29" borderId="0" xfId="0" applyNumberFormat="1" applyFont="1" applyFill="1" applyAlignment="1">
      <alignment horizontal="center" vertical="center" wrapText="1"/>
    </xf>
    <xf numFmtId="0" fontId="3" fillId="0" borderId="0" xfId="0" applyFont="1" applyAlignment="1">
      <alignment horizontal="left" indent="1"/>
    </xf>
    <xf numFmtId="0" fontId="17" fillId="0" borderId="0" xfId="0" applyFont="1" applyAlignment="1">
      <alignment horizontal="left"/>
    </xf>
    <xf numFmtId="171" fontId="84" fillId="2" borderId="0" xfId="0" applyNumberFormat="1" applyFont="1" applyFill="1"/>
    <xf numFmtId="0" fontId="4" fillId="0" borderId="0" xfId="0" applyFont="1" applyAlignment="1">
      <alignment horizontal="center" vertical="center"/>
    </xf>
    <xf numFmtId="0" fontId="6" fillId="0" borderId="0" xfId="0" applyFont="1" applyAlignment="1">
      <alignment horizontal="left" indent="3"/>
    </xf>
    <xf numFmtId="208" fontId="6" fillId="0" borderId="0" xfId="0" applyNumberFormat="1" applyFont="1"/>
    <xf numFmtId="208" fontId="6" fillId="0" borderId="0" xfId="1" applyNumberFormat="1" applyFont="1" applyFill="1" applyBorder="1" applyAlignment="1">
      <alignment horizontal="center" vertical="center"/>
    </xf>
    <xf numFmtId="0" fontId="6" fillId="0" borderId="0" xfId="0" applyFont="1" applyAlignment="1">
      <alignment horizontal="left" indent="5"/>
    </xf>
    <xf numFmtId="0" fontId="6" fillId="0" borderId="0" xfId="0" applyFont="1" applyAlignment="1">
      <alignment horizontal="left" indent="2"/>
    </xf>
    <xf numFmtId="169" fontId="13" fillId="0" borderId="1" xfId="1" applyNumberFormat="1" applyFont="1" applyFill="1" applyBorder="1"/>
    <xf numFmtId="170" fontId="6" fillId="0" borderId="0" xfId="3" applyNumberFormat="1" applyFont="1"/>
    <xf numFmtId="10" fontId="76" fillId="0" borderId="0" xfId="3" applyNumberFormat="1" applyFont="1" applyFill="1" applyBorder="1" applyAlignment="1">
      <alignment vertical="center"/>
    </xf>
    <xf numFmtId="171" fontId="13" fillId="3" borderId="3" xfId="628" applyNumberFormat="1" applyFont="1" applyFill="1" applyBorder="1" applyAlignment="1">
      <alignment horizontal="left" vertical="center"/>
    </xf>
    <xf numFmtId="171" fontId="86" fillId="0" borderId="3" xfId="628" applyNumberFormat="1" applyFont="1" applyBorder="1" applyAlignment="1">
      <alignment horizontal="center" vertical="center"/>
    </xf>
    <xf numFmtId="171" fontId="13" fillId="3" borderId="3" xfId="1" applyNumberFormat="1" applyFont="1" applyFill="1" applyBorder="1" applyAlignment="1">
      <alignment horizontal="left" vertical="center"/>
    </xf>
    <xf numFmtId="171" fontId="0" fillId="0" borderId="0" xfId="1" applyNumberFormat="1" applyFont="1"/>
    <xf numFmtId="166" fontId="13" fillId="3" borderId="3" xfId="1" applyFont="1" applyFill="1" applyBorder="1" applyAlignment="1">
      <alignment horizontal="left" vertical="center"/>
    </xf>
    <xf numFmtId="166" fontId="0" fillId="0" borderId="0" xfId="1" applyFont="1"/>
    <xf numFmtId="10" fontId="76" fillId="29" borderId="0" xfId="3" applyNumberFormat="1" applyFont="1" applyFill="1" applyBorder="1" applyAlignment="1">
      <alignment horizontal="center" vertical="center"/>
    </xf>
    <xf numFmtId="10" fontId="76" fillId="29" borderId="0" xfId="3" applyNumberFormat="1" applyFont="1" applyFill="1" applyBorder="1" applyAlignment="1">
      <alignment vertical="center"/>
    </xf>
    <xf numFmtId="164" fontId="70" fillId="0" borderId="0" xfId="0" applyNumberFormat="1" applyFont="1" applyAlignment="1">
      <alignment horizontal="right" vertical="center"/>
    </xf>
    <xf numFmtId="166" fontId="0" fillId="0" borderId="0" xfId="0" applyNumberFormat="1"/>
    <xf numFmtId="0" fontId="4" fillId="0" borderId="1" xfId="0" applyFont="1" applyBorder="1" applyAlignment="1">
      <alignment horizontal="center" vertical="center"/>
    </xf>
    <xf numFmtId="205" fontId="6" fillId="0" borderId="33" xfId="10" applyNumberFormat="1" applyFont="1" applyBorder="1" applyAlignment="1">
      <alignment horizontal="right"/>
    </xf>
    <xf numFmtId="171" fontId="6" fillId="0" borderId="41" xfId="1" applyNumberFormat="1" applyFont="1" applyBorder="1"/>
    <xf numFmtId="205" fontId="4" fillId="3" borderId="32" xfId="10" applyNumberFormat="1" applyFont="1" applyFill="1" applyBorder="1" applyAlignment="1">
      <alignment horizontal="right"/>
    </xf>
    <xf numFmtId="205" fontId="4" fillId="3" borderId="32" xfId="10" applyNumberFormat="1" applyFont="1" applyFill="1" applyBorder="1" applyAlignment="1"/>
    <xf numFmtId="0" fontId="4" fillId="0" borderId="1" xfId="0" applyFont="1" applyBorder="1" applyAlignment="1">
      <alignment horizontal="left" vertical="center"/>
    </xf>
    <xf numFmtId="0" fontId="79" fillId="29" borderId="42" xfId="0" applyFont="1" applyFill="1" applyBorder="1" applyAlignment="1">
      <alignment horizontal="center" vertical="center" wrapText="1"/>
    </xf>
    <xf numFmtId="171" fontId="13" fillId="0" borderId="0" xfId="4" applyNumberFormat="1" applyFont="1" applyAlignment="1">
      <alignment horizontal="left" vertical="center"/>
    </xf>
    <xf numFmtId="0" fontId="84" fillId="0" borderId="0" xfId="0" applyFont="1"/>
    <xf numFmtId="0" fontId="88" fillId="0" borderId="0" xfId="627" applyFont="1"/>
    <xf numFmtId="0" fontId="65" fillId="0" borderId="0" xfId="0" applyFont="1" applyAlignment="1">
      <alignment horizontal="left"/>
    </xf>
    <xf numFmtId="0" fontId="4" fillId="0" borderId="1" xfId="0" applyFont="1" applyBorder="1" applyAlignment="1">
      <alignment horizontal="centerContinuous"/>
    </xf>
    <xf numFmtId="10" fontId="13" fillId="0" borderId="31" xfId="3" applyNumberFormat="1" applyFont="1" applyFill="1" applyBorder="1" applyAlignment="1">
      <alignment horizontal="right" vertical="center"/>
    </xf>
    <xf numFmtId="0" fontId="6" fillId="0" borderId="39" xfId="0" applyFont="1" applyBorder="1" applyAlignment="1">
      <alignment horizontal="center" vertical="center"/>
    </xf>
    <xf numFmtId="0" fontId="6" fillId="0" borderId="0" xfId="0" applyFont="1" applyAlignment="1">
      <alignment horizontal="center" vertical="center" wrapText="1"/>
    </xf>
    <xf numFmtId="10" fontId="76" fillId="29" borderId="0" xfId="3" quotePrefix="1" applyNumberFormat="1" applyFont="1" applyFill="1" applyBorder="1" applyAlignment="1">
      <alignment horizontal="center" vertical="center"/>
    </xf>
    <xf numFmtId="10" fontId="73" fillId="2" borderId="31" xfId="3" applyNumberFormat="1" applyFont="1" applyFill="1" applyBorder="1" applyAlignment="1">
      <alignment horizontal="right" vertical="center"/>
    </xf>
    <xf numFmtId="0" fontId="13" fillId="2" borderId="0" xfId="5" applyFont="1" applyFill="1" applyAlignment="1">
      <alignment horizontal="left" indent="2"/>
    </xf>
    <xf numFmtId="0" fontId="13" fillId="2" borderId="0" xfId="5" applyFont="1" applyFill="1"/>
    <xf numFmtId="171" fontId="86" fillId="0" borderId="0" xfId="628" applyNumberFormat="1" applyFont="1" applyAlignment="1">
      <alignment horizontal="center" vertical="center"/>
    </xf>
    <xf numFmtId="0" fontId="18" fillId="0" borderId="0" xfId="0" applyFont="1"/>
    <xf numFmtId="9" fontId="13" fillId="3" borderId="3" xfId="3" applyFont="1" applyFill="1" applyBorder="1" applyAlignment="1">
      <alignment horizontal="right" vertical="center"/>
    </xf>
    <xf numFmtId="166" fontId="0" fillId="0" borderId="0" xfId="1" applyFont="1" applyAlignment="1">
      <alignment horizontal="right"/>
    </xf>
    <xf numFmtId="166" fontId="13" fillId="3" borderId="0" xfId="1" applyFont="1" applyFill="1" applyBorder="1" applyAlignment="1">
      <alignment horizontal="left" vertical="center"/>
    </xf>
    <xf numFmtId="165" fontId="13" fillId="3" borderId="3" xfId="2" applyFont="1" applyFill="1" applyBorder="1" applyAlignment="1">
      <alignment horizontal="left" vertical="center"/>
    </xf>
    <xf numFmtId="165" fontId="0" fillId="0" borderId="0" xfId="2" applyFont="1"/>
    <xf numFmtId="165" fontId="0" fillId="0" borderId="0" xfId="0" applyNumberFormat="1"/>
    <xf numFmtId="0" fontId="13" fillId="2" borderId="0" xfId="5" applyFont="1" applyFill="1" applyAlignment="1">
      <alignment vertical="center"/>
    </xf>
    <xf numFmtId="0" fontId="6" fillId="0" borderId="0" xfId="0" applyFont="1" applyAlignment="1">
      <alignment horizontal="right" vertical="center"/>
    </xf>
    <xf numFmtId="0" fontId="13" fillId="0" borderId="0" xfId="0" applyFont="1" applyAlignment="1">
      <alignment horizontal="center" vertical="center" wrapText="1"/>
    </xf>
    <xf numFmtId="0" fontId="6" fillId="0" borderId="39" xfId="0" applyFont="1" applyBorder="1" applyAlignment="1">
      <alignment horizontal="center" vertical="center" wrapText="1"/>
    </xf>
    <xf numFmtId="0" fontId="6" fillId="0" borderId="0" xfId="0" applyFont="1" applyAlignment="1">
      <alignment horizontal="center" wrapText="1"/>
    </xf>
    <xf numFmtId="0" fontId="0" fillId="2" borderId="0" xfId="0" applyFill="1" applyAlignment="1">
      <alignment horizontal="center"/>
    </xf>
    <xf numFmtId="171" fontId="13" fillId="2" borderId="0" xfId="4" applyNumberFormat="1" applyFont="1" applyFill="1" applyAlignment="1">
      <alignment vertical="center"/>
    </xf>
    <xf numFmtId="10" fontId="13" fillId="2" borderId="43" xfId="3" applyNumberFormat="1" applyFont="1" applyFill="1" applyBorder="1" applyAlignment="1">
      <alignment horizontal="right" vertical="center"/>
    </xf>
    <xf numFmtId="171" fontId="86" fillId="0" borderId="5" xfId="628" applyNumberFormat="1" applyFont="1" applyBorder="1" applyAlignment="1">
      <alignment horizontal="center" vertical="center"/>
    </xf>
    <xf numFmtId="209" fontId="86" fillId="0" borderId="44" xfId="628" applyNumberFormat="1" applyFont="1" applyBorder="1" applyAlignment="1">
      <alignment horizontal="center" vertical="center"/>
    </xf>
    <xf numFmtId="0" fontId="3" fillId="0" borderId="0" xfId="0" applyFont="1" applyAlignment="1">
      <alignment vertical="center"/>
    </xf>
    <xf numFmtId="0" fontId="13" fillId="0" borderId="45" xfId="5" applyFont="1" applyBorder="1" applyAlignment="1">
      <alignment vertical="center"/>
    </xf>
    <xf numFmtId="171" fontId="6" fillId="2" borderId="45" xfId="0" applyNumberFormat="1" applyFont="1" applyFill="1" applyBorder="1" applyAlignment="1">
      <alignment horizontal="center"/>
    </xf>
    <xf numFmtId="10" fontId="6" fillId="2" borderId="45" xfId="3" applyNumberFormat="1" applyFont="1" applyFill="1" applyBorder="1" applyAlignment="1">
      <alignment horizontal="right"/>
    </xf>
    <xf numFmtId="0" fontId="6" fillId="0" borderId="45" xfId="0" applyFont="1" applyBorder="1" applyAlignment="1">
      <alignment horizontal="center"/>
    </xf>
    <xf numFmtId="0" fontId="13" fillId="0" borderId="38" xfId="5" applyFont="1" applyBorder="1" applyAlignment="1">
      <alignment horizontal="left" indent="2"/>
    </xf>
    <xf numFmtId="168" fontId="6" fillId="0" borderId="0" xfId="2" applyNumberFormat="1" applyFont="1" applyFill="1" applyBorder="1"/>
    <xf numFmtId="9" fontId="6" fillId="0" borderId="0" xfId="0" applyNumberFormat="1" applyFont="1"/>
    <xf numFmtId="9" fontId="73" fillId="0" borderId="0" xfId="3" applyFont="1" applyFill="1"/>
    <xf numFmtId="9" fontId="73" fillId="0" borderId="0" xfId="3" applyFont="1"/>
    <xf numFmtId="10" fontId="0" fillId="0" borderId="0" xfId="3" applyNumberFormat="1" applyFont="1"/>
    <xf numFmtId="166" fontId="84" fillId="0" borderId="0" xfId="1" applyFont="1"/>
    <xf numFmtId="165" fontId="84" fillId="0" borderId="0" xfId="2" applyFont="1"/>
    <xf numFmtId="0" fontId="92" fillId="31" borderId="0" xfId="0" applyFont="1" applyFill="1" applyAlignment="1">
      <alignment vertical="center"/>
    </xf>
    <xf numFmtId="0" fontId="70" fillId="0" borderId="0" xfId="0" applyFont="1" applyAlignment="1">
      <alignment vertical="center"/>
    </xf>
    <xf numFmtId="164" fontId="13" fillId="0" borderId="0" xfId="0" applyNumberFormat="1" applyFont="1" applyAlignment="1">
      <alignment horizontal="right" vertical="center"/>
    </xf>
    <xf numFmtId="0" fontId="0" fillId="0" borderId="46" xfId="0" applyBorder="1"/>
    <xf numFmtId="0" fontId="0" fillId="0" borderId="47" xfId="0" applyBorder="1"/>
    <xf numFmtId="0" fontId="0" fillId="0" borderId="48" xfId="0" applyBorder="1"/>
    <xf numFmtId="0" fontId="0" fillId="0" borderId="51" xfId="0" applyBorder="1"/>
    <xf numFmtId="0" fontId="0" fillId="0" borderId="1" xfId="0" applyBorder="1"/>
    <xf numFmtId="0" fontId="0" fillId="0" borderId="52" xfId="0" applyBorder="1"/>
    <xf numFmtId="0" fontId="94" fillId="0" borderId="0" xfId="627" applyFont="1"/>
    <xf numFmtId="9" fontId="6" fillId="0" borderId="0" xfId="3" applyFont="1" applyBorder="1"/>
    <xf numFmtId="168" fontId="6" fillId="0" borderId="0" xfId="0" applyNumberFormat="1" applyFont="1"/>
    <xf numFmtId="0" fontId="82" fillId="30" borderId="0" xfId="0" applyFont="1" applyFill="1" applyAlignment="1">
      <alignment horizontal="center"/>
    </xf>
    <xf numFmtId="14" fontId="82" fillId="30" borderId="0" xfId="0" applyNumberFormat="1" applyFont="1" applyFill="1" applyAlignment="1">
      <alignment horizontal="center" vertical="center" wrapText="1"/>
    </xf>
    <xf numFmtId="0" fontId="82" fillId="30" borderId="0" xfId="0" applyFont="1" applyFill="1" applyAlignment="1">
      <alignment horizontal="center" vertical="center"/>
    </xf>
    <xf numFmtId="164" fontId="90" fillId="31" borderId="0" xfId="0" applyNumberFormat="1" applyFont="1" applyFill="1"/>
    <xf numFmtId="164" fontId="91" fillId="31" borderId="0" xfId="0" applyNumberFormat="1" applyFont="1" applyFill="1" applyAlignment="1">
      <alignment horizontal="center" vertical="center"/>
    </xf>
    <xf numFmtId="164" fontId="93" fillId="0" borderId="0" xfId="0" applyNumberFormat="1" applyFont="1" applyAlignment="1">
      <alignment horizontal="right" vertical="center"/>
    </xf>
    <xf numFmtId="164" fontId="97" fillId="0" borderId="0" xfId="0" applyNumberFormat="1" applyFont="1"/>
    <xf numFmtId="164" fontId="90" fillId="0" borderId="0" xfId="0" applyNumberFormat="1" applyFont="1" applyAlignment="1">
      <alignment vertical="center"/>
    </xf>
    <xf numFmtId="0" fontId="90" fillId="0" borderId="0" xfId="0" applyFont="1"/>
    <xf numFmtId="164" fontId="90" fillId="0" borderId="0" xfId="0" applyNumberFormat="1" applyFont="1"/>
    <xf numFmtId="0" fontId="98" fillId="0" borderId="0" xfId="0" applyFont="1"/>
    <xf numFmtId="0" fontId="3" fillId="0" borderId="0" xfId="0" applyFont="1" applyAlignment="1">
      <alignment horizontal="left" indent="4"/>
    </xf>
    <xf numFmtId="0" fontId="99" fillId="0" borderId="0" xfId="0" applyFont="1" applyAlignment="1">
      <alignment horizontal="center" vertical="center"/>
    </xf>
    <xf numFmtId="211" fontId="6" fillId="0" borderId="0" xfId="1" applyNumberFormat="1" applyFont="1" applyFill="1" applyBorder="1" applyAlignment="1">
      <alignment horizontal="center" vertical="center"/>
    </xf>
    <xf numFmtId="174" fontId="4" fillId="3" borderId="2" xfId="0" applyNumberFormat="1" applyFont="1" applyFill="1" applyBorder="1" applyAlignment="1">
      <alignment horizontal="center"/>
    </xf>
    <xf numFmtId="174" fontId="6" fillId="0" borderId="0" xfId="0" applyNumberFormat="1" applyFont="1" applyAlignment="1">
      <alignment horizontal="left" indent="2"/>
    </xf>
    <xf numFmtId="0" fontId="99" fillId="0" borderId="0" xfId="0" applyFont="1"/>
    <xf numFmtId="0" fontId="99" fillId="0" borderId="0" xfId="0" applyFont="1" applyAlignment="1">
      <alignment wrapText="1"/>
    </xf>
    <xf numFmtId="3" fontId="6" fillId="0" borderId="0" xfId="0" applyNumberFormat="1" applyFont="1" applyAlignment="1">
      <alignment horizontal="center"/>
    </xf>
    <xf numFmtId="43" fontId="6" fillId="0" borderId="0" xfId="0" applyNumberFormat="1" applyFont="1" applyAlignment="1">
      <alignment horizontal="center"/>
    </xf>
    <xf numFmtId="212" fontId="13" fillId="0" borderId="0" xfId="1" applyNumberFormat="1" applyFont="1" applyFill="1"/>
    <xf numFmtId="213" fontId="0" fillId="0" borderId="0" xfId="0" applyNumberFormat="1"/>
    <xf numFmtId="205" fontId="6" fillId="0" borderId="34" xfId="10" applyNumberFormat="1" applyFont="1" applyBorder="1" applyAlignment="1">
      <alignment horizontal="right"/>
    </xf>
    <xf numFmtId="205" fontId="6" fillId="0" borderId="0" xfId="0" applyNumberFormat="1" applyFont="1" applyAlignment="1">
      <alignment horizontal="center"/>
    </xf>
    <xf numFmtId="37" fontId="6" fillId="0" borderId="0" xfId="0" applyNumberFormat="1" applyFont="1" applyAlignment="1">
      <alignment horizontal="right"/>
    </xf>
    <xf numFmtId="10" fontId="22" fillId="0" borderId="0" xfId="0" applyNumberFormat="1" applyFont="1" applyAlignment="1">
      <alignment horizontal="center" vertical="top"/>
    </xf>
    <xf numFmtId="9" fontId="22" fillId="0" borderId="0" xfId="0" applyNumberFormat="1" applyFont="1" applyAlignment="1">
      <alignment horizontal="center" vertical="top"/>
    </xf>
    <xf numFmtId="205" fontId="22" fillId="0" borderId="0" xfId="0" applyNumberFormat="1" applyFont="1" applyAlignment="1">
      <alignment horizontal="center" vertical="top"/>
    </xf>
    <xf numFmtId="214" fontId="4" fillId="0" borderId="0" xfId="2" applyNumberFormat="1" applyFont="1" applyBorder="1"/>
    <xf numFmtId="173" fontId="13" fillId="0" borderId="0" xfId="1" applyNumberFormat="1" applyFont="1" applyFill="1" applyBorder="1"/>
    <xf numFmtId="169" fontId="13" fillId="2" borderId="0" xfId="1" applyNumberFormat="1" applyFont="1" applyFill="1" applyBorder="1"/>
    <xf numFmtId="169" fontId="13" fillId="0" borderId="47" xfId="1" applyNumberFormat="1" applyFont="1" applyFill="1" applyBorder="1"/>
    <xf numFmtId="164" fontId="70" fillId="0" borderId="47" xfId="0" applyNumberFormat="1" applyFont="1" applyBorder="1" applyAlignment="1">
      <alignment horizontal="right" vertical="center"/>
    </xf>
    <xf numFmtId="173" fontId="13" fillId="0" borderId="0" xfId="1" applyNumberFormat="1" applyFont="1" applyFill="1"/>
    <xf numFmtId="0" fontId="100" fillId="0" borderId="55" xfId="5" applyFont="1" applyBorder="1" applyAlignment="1">
      <alignment horizontal="left"/>
    </xf>
    <xf numFmtId="0" fontId="103" fillId="0" borderId="55" xfId="5" applyFont="1" applyBorder="1" applyAlignment="1">
      <alignment horizontal="center"/>
    </xf>
    <xf numFmtId="0" fontId="104" fillId="0" borderId="0" xfId="0" applyFont="1" applyAlignment="1">
      <alignment vertical="center"/>
    </xf>
    <xf numFmtId="164" fontId="105" fillId="0" borderId="0" xfId="0" applyNumberFormat="1" applyFont="1" applyAlignment="1">
      <alignment horizontal="right" vertical="center"/>
    </xf>
    <xf numFmtId="0" fontId="106" fillId="0" borderId="2" xfId="5" applyFont="1" applyBorder="1" applyAlignment="1">
      <alignment horizontal="left" indent="1"/>
    </xf>
    <xf numFmtId="171" fontId="107" fillId="0" borderId="2" xfId="0" applyNumberFormat="1" applyFont="1" applyBorder="1" applyAlignment="1">
      <alignment horizontal="center"/>
    </xf>
    <xf numFmtId="164" fontId="107" fillId="0" borderId="2" xfId="0" applyNumberFormat="1" applyFont="1" applyBorder="1" applyAlignment="1">
      <alignment horizontal="center"/>
    </xf>
    <xf numFmtId="0" fontId="103" fillId="0" borderId="0" xfId="5" applyFont="1" applyAlignment="1">
      <alignment horizontal="center"/>
    </xf>
    <xf numFmtId="0" fontId="106" fillId="2" borderId="2" xfId="5" applyFont="1" applyFill="1" applyBorder="1" applyAlignment="1">
      <alignment horizontal="left" indent="2"/>
    </xf>
    <xf numFmtId="0" fontId="106" fillId="2" borderId="0" xfId="5" applyFont="1" applyFill="1"/>
    <xf numFmtId="171" fontId="107" fillId="2" borderId="2" xfId="0" applyNumberFormat="1" applyFont="1" applyFill="1" applyBorder="1" applyAlignment="1">
      <alignment horizontal="center"/>
    </xf>
    <xf numFmtId="164" fontId="6" fillId="0" borderId="0" xfId="0" applyNumberFormat="1" applyFont="1" applyAlignment="1">
      <alignment vertical="center"/>
    </xf>
    <xf numFmtId="164" fontId="107" fillId="0" borderId="0" xfId="0" applyNumberFormat="1" applyFont="1" applyAlignment="1">
      <alignment horizontal="center"/>
    </xf>
    <xf numFmtId="171" fontId="107" fillId="2" borderId="0" xfId="0" applyNumberFormat="1" applyFont="1" applyFill="1" applyAlignment="1">
      <alignment horizontal="center"/>
    </xf>
    <xf numFmtId="0" fontId="108" fillId="0" borderId="55" xfId="5" applyFont="1" applyBorder="1" applyAlignment="1">
      <alignment horizontal="center"/>
    </xf>
    <xf numFmtId="0" fontId="109" fillId="0" borderId="0" xfId="0" applyFont="1"/>
    <xf numFmtId="0" fontId="0" fillId="0" borderId="49" xfId="0" applyBorder="1"/>
    <xf numFmtId="0" fontId="0" fillId="0" borderId="50" xfId="0" applyBorder="1"/>
    <xf numFmtId="210" fontId="0" fillId="0" borderId="0" xfId="0" applyNumberFormat="1"/>
    <xf numFmtId="174" fontId="4" fillId="2" borderId="0" xfId="0" applyNumberFormat="1" applyFont="1" applyFill="1" applyAlignment="1">
      <alignment horizontal="center"/>
    </xf>
    <xf numFmtId="208" fontId="6" fillId="32" borderId="0" xfId="1" applyNumberFormat="1" applyFont="1" applyFill="1" applyBorder="1" applyAlignment="1">
      <alignment horizontal="center" vertical="center"/>
    </xf>
    <xf numFmtId="0" fontId="110" fillId="0" borderId="0" xfId="0" applyFont="1"/>
    <xf numFmtId="165" fontId="110" fillId="0" borderId="0" xfId="0" applyNumberFormat="1" applyFont="1"/>
    <xf numFmtId="166" fontId="110" fillId="0" borderId="0" xfId="1" applyFont="1"/>
    <xf numFmtId="0" fontId="84" fillId="0" borderId="0" xfId="0" applyFont="1" applyAlignment="1">
      <alignment vertical="center"/>
    </xf>
    <xf numFmtId="164" fontId="93" fillId="0" borderId="0" xfId="0" applyNumberFormat="1" applyFont="1" applyAlignment="1">
      <alignment horizontal="left" vertical="center"/>
    </xf>
    <xf numFmtId="164" fontId="97" fillId="0" borderId="0" xfId="0" applyNumberFormat="1" applyFont="1" applyAlignment="1">
      <alignment horizontal="left"/>
    </xf>
    <xf numFmtId="164" fontId="90" fillId="0" borderId="0" xfId="0" applyNumberFormat="1" applyFont="1" applyAlignment="1">
      <alignment horizontal="left" vertical="center"/>
    </xf>
    <xf numFmtId="0" fontId="90" fillId="0" borderId="0" xfId="0" applyFont="1" applyAlignment="1">
      <alignment horizontal="left"/>
    </xf>
    <xf numFmtId="164" fontId="111" fillId="0" borderId="53" xfId="0" applyNumberFormat="1" applyFont="1" applyBorder="1" applyAlignment="1">
      <alignment horizontal="left" vertical="center"/>
    </xf>
    <xf numFmtId="164" fontId="111" fillId="0" borderId="53" xfId="0" applyNumberFormat="1" applyFont="1" applyBorder="1" applyAlignment="1">
      <alignment horizontal="right" vertical="center"/>
    </xf>
    <xf numFmtId="164" fontId="111" fillId="0" borderId="54" xfId="0" applyNumberFormat="1" applyFont="1" applyBorder="1" applyAlignment="1">
      <alignment horizontal="left" vertical="center"/>
    </xf>
    <xf numFmtId="164" fontId="111" fillId="0" borderId="54" xfId="0" applyNumberFormat="1" applyFont="1" applyBorder="1" applyAlignment="1">
      <alignment horizontal="right" vertical="center"/>
    </xf>
    <xf numFmtId="0" fontId="76" fillId="29" borderId="0" xfId="3" applyNumberFormat="1" applyFont="1" applyFill="1" applyBorder="1" applyAlignment="1">
      <alignment horizontal="center" vertical="center"/>
    </xf>
    <xf numFmtId="9" fontId="6" fillId="0" borderId="0" xfId="3" applyFont="1" applyFill="1" applyBorder="1" applyAlignment="1">
      <alignment horizontal="right"/>
    </xf>
    <xf numFmtId="9" fontId="6" fillId="0" borderId="0" xfId="0" applyNumberFormat="1" applyFont="1" applyAlignment="1">
      <alignment horizontal="right" vertical="center"/>
    </xf>
    <xf numFmtId="170" fontId="13" fillId="2" borderId="31" xfId="3" applyNumberFormat="1" applyFont="1" applyFill="1" applyBorder="1" applyAlignment="1">
      <alignment horizontal="right" vertical="center"/>
    </xf>
    <xf numFmtId="0" fontId="13" fillId="0" borderId="47" xfId="5" applyFont="1" applyBorder="1"/>
    <xf numFmtId="169" fontId="13" fillId="0" borderId="56" xfId="1" applyNumberFormat="1" applyFont="1" applyFill="1" applyBorder="1"/>
    <xf numFmtId="0" fontId="10" fillId="3" borderId="57" xfId="5" applyFont="1" applyFill="1" applyBorder="1"/>
    <xf numFmtId="173" fontId="10" fillId="3" borderId="57" xfId="1" applyNumberFormat="1" applyFont="1" applyFill="1" applyBorder="1"/>
    <xf numFmtId="43" fontId="10" fillId="3" borderId="57" xfId="5" applyNumberFormat="1" applyFont="1" applyFill="1" applyBorder="1"/>
    <xf numFmtId="43" fontId="0" fillId="0" borderId="0" xfId="0" applyNumberFormat="1"/>
    <xf numFmtId="17" fontId="79" fillId="29" borderId="0" xfId="0" applyNumberFormat="1" applyFont="1" applyFill="1" applyAlignment="1">
      <alignment horizontal="center" vertical="center" wrapText="1"/>
    </xf>
    <xf numFmtId="169" fontId="112" fillId="0" borderId="0" xfId="1" applyNumberFormat="1" applyFont="1" applyFill="1"/>
    <xf numFmtId="171" fontId="0" fillId="0" borderId="0" xfId="1" applyNumberFormat="1" applyFont="1" applyFill="1"/>
    <xf numFmtId="166" fontId="13" fillId="0" borderId="3" xfId="1" applyFont="1" applyFill="1" applyBorder="1" applyAlignment="1">
      <alignment horizontal="left" vertical="center"/>
    </xf>
    <xf numFmtId="166" fontId="0" fillId="0" borderId="0" xfId="1" applyFont="1" applyFill="1"/>
    <xf numFmtId="166" fontId="0" fillId="0" borderId="0" xfId="1" applyFont="1" applyFill="1" applyAlignment="1">
      <alignment horizontal="right"/>
    </xf>
    <xf numFmtId="165" fontId="0" fillId="0" borderId="0" xfId="2" applyFont="1" applyFill="1"/>
    <xf numFmtId="166" fontId="84" fillId="0" borderId="0" xfId="1" applyFont="1" applyFill="1"/>
    <xf numFmtId="165" fontId="84" fillId="0" borderId="0" xfId="2" applyFont="1" applyFill="1"/>
    <xf numFmtId="0" fontId="6" fillId="0" borderId="0" xfId="0" applyFont="1" applyAlignment="1">
      <alignment horizontal="left" vertical="center" wrapText="1"/>
    </xf>
    <xf numFmtId="0" fontId="81" fillId="0" borderId="29" xfId="0" applyFont="1" applyBorder="1" applyAlignment="1">
      <alignment horizontal="center" vertical="center" wrapText="1"/>
    </xf>
    <xf numFmtId="0" fontId="81" fillId="0" borderId="40" xfId="0" applyFont="1" applyBorder="1" applyAlignment="1">
      <alignment horizontal="center" vertical="center" wrapText="1"/>
    </xf>
    <xf numFmtId="0" fontId="81" fillId="0" borderId="30" xfId="0" applyFont="1" applyBorder="1" applyAlignment="1">
      <alignment horizontal="center" vertical="center" wrapText="1"/>
    </xf>
    <xf numFmtId="0" fontId="10" fillId="25" borderId="20" xfId="0" applyFont="1" applyFill="1" applyBorder="1" applyAlignment="1">
      <alignment horizontal="left" vertical="center" wrapText="1" indent="1"/>
    </xf>
    <xf numFmtId="0" fontId="10" fillId="25" borderId="21" xfId="0" applyFont="1" applyFill="1" applyBorder="1" applyAlignment="1">
      <alignment horizontal="left" vertical="center" wrapText="1" indent="1"/>
    </xf>
    <xf numFmtId="0" fontId="10" fillId="25" borderId="22" xfId="0" applyFont="1" applyFill="1" applyBorder="1" applyAlignment="1">
      <alignment horizontal="left" vertical="top" wrapText="1" indent="5"/>
    </xf>
    <xf numFmtId="0" fontId="10" fillId="25" borderId="23" xfId="0" applyFont="1" applyFill="1" applyBorder="1" applyAlignment="1">
      <alignment horizontal="left" vertical="top" wrapText="1" indent="5"/>
    </xf>
    <xf numFmtId="0" fontId="10" fillId="25" borderId="24" xfId="0" applyFont="1" applyFill="1" applyBorder="1" applyAlignment="1">
      <alignment horizontal="left" vertical="top" wrapText="1" indent="5"/>
    </xf>
    <xf numFmtId="0" fontId="10" fillId="25" borderId="22" xfId="0" applyFont="1" applyFill="1" applyBorder="1" applyAlignment="1">
      <alignment horizontal="center" vertical="top" wrapText="1"/>
    </xf>
    <xf numFmtId="0" fontId="10" fillId="25" borderId="24" xfId="0" applyFont="1" applyFill="1" applyBorder="1" applyAlignment="1">
      <alignment horizontal="center" vertical="top" wrapText="1"/>
    </xf>
    <xf numFmtId="0" fontId="10" fillId="25" borderId="23" xfId="0" applyFont="1" applyFill="1" applyBorder="1" applyAlignment="1">
      <alignment horizontal="center" vertical="top" wrapText="1"/>
    </xf>
    <xf numFmtId="0" fontId="10" fillId="0" borderId="0" xfId="0" applyFont="1" applyAlignment="1">
      <alignment horizontal="left" vertical="top" wrapText="1"/>
    </xf>
    <xf numFmtId="0" fontId="10" fillId="26" borderId="25" xfId="0" applyFont="1" applyFill="1" applyBorder="1" applyAlignment="1">
      <alignment horizontal="left" vertical="top" wrapText="1"/>
    </xf>
    <xf numFmtId="0" fontId="10" fillId="26" borderId="26" xfId="0" applyFont="1" applyFill="1" applyBorder="1" applyAlignment="1">
      <alignment horizontal="left" vertical="top" wrapText="1"/>
    </xf>
    <xf numFmtId="0" fontId="10" fillId="26" borderId="27" xfId="0" applyFont="1" applyFill="1" applyBorder="1" applyAlignment="1">
      <alignment horizontal="left" vertical="top" wrapText="1"/>
    </xf>
    <xf numFmtId="0" fontId="10" fillId="0" borderId="22" xfId="0" applyFont="1" applyBorder="1" applyAlignment="1">
      <alignment horizontal="left" vertical="top" wrapText="1"/>
    </xf>
    <xf numFmtId="0" fontId="10" fillId="0" borderId="23" xfId="0" applyFont="1" applyBorder="1" applyAlignment="1">
      <alignment horizontal="left" vertical="top" wrapText="1"/>
    </xf>
    <xf numFmtId="0" fontId="10" fillId="0" borderId="24" xfId="0" applyFont="1" applyBorder="1" applyAlignment="1">
      <alignment horizontal="left" vertical="top" wrapText="1"/>
    </xf>
    <xf numFmtId="0" fontId="6" fillId="0" borderId="0" xfId="0" applyFont="1" applyAlignment="1">
      <alignment horizontal="left" vertical="top" wrapText="1" indent="1"/>
    </xf>
    <xf numFmtId="0" fontId="13" fillId="0" borderId="0" xfId="0" applyFont="1" applyAlignment="1">
      <alignment horizontal="left" vertical="top" wrapText="1" indent="2"/>
    </xf>
    <xf numFmtId="0" fontId="3" fillId="0" borderId="0" xfId="0" applyFont="1"/>
    <xf numFmtId="0" fontId="6" fillId="0" borderId="0" xfId="0" applyFont="1"/>
    <xf numFmtId="0" fontId="6" fillId="0" borderId="39" xfId="0" applyFont="1" applyBorder="1" applyAlignment="1">
      <alignment horizontal="center" vertical="center" wrapText="1"/>
    </xf>
    <xf numFmtId="0" fontId="79" fillId="29" borderId="36" xfId="0" applyFont="1" applyFill="1" applyBorder="1" applyAlignment="1">
      <alignment horizontal="center" vertical="center" wrapText="1"/>
    </xf>
    <xf numFmtId="0" fontId="79" fillId="29" borderId="0" xfId="0" applyFont="1" applyFill="1" applyAlignment="1">
      <alignment horizontal="center" vertical="center" wrapText="1"/>
    </xf>
    <xf numFmtId="174" fontId="4" fillId="2" borderId="1" xfId="0" applyNumberFormat="1" applyFont="1" applyFill="1" applyBorder="1" applyAlignment="1">
      <alignment horizontal="center"/>
    </xf>
    <xf numFmtId="174" fontId="13" fillId="3" borderId="31" xfId="4" applyNumberFormat="1" applyFont="1" applyFill="1" applyBorder="1" applyAlignment="1">
      <alignment horizontal="center" vertical="center"/>
    </xf>
    <xf numFmtId="174" fontId="13" fillId="3" borderId="3" xfId="4" applyNumberFormat="1" applyFont="1" applyFill="1" applyBorder="1" applyAlignment="1">
      <alignment horizontal="center" vertical="center"/>
    </xf>
    <xf numFmtId="0" fontId="76" fillId="29" borderId="0" xfId="0" applyFont="1" applyFill="1" applyAlignment="1">
      <alignment horizontal="center" vertical="center" wrapText="1"/>
    </xf>
    <xf numFmtId="0" fontId="79" fillId="29" borderId="35" xfId="0" applyFont="1" applyFill="1" applyBorder="1" applyAlignment="1">
      <alignment horizontal="center" vertical="center" wrapText="1"/>
    </xf>
    <xf numFmtId="0" fontId="3" fillId="0" borderId="0" xfId="0" applyFont="1" applyAlignment="1">
      <alignment horizontal="center"/>
    </xf>
    <xf numFmtId="0" fontId="22" fillId="0" borderId="0" xfId="0" applyFont="1" applyAlignment="1">
      <alignment horizontal="left" indent="13"/>
    </xf>
    <xf numFmtId="0" fontId="10" fillId="3" borderId="2" xfId="5" applyFont="1" applyFill="1" applyBorder="1" applyAlignment="1">
      <alignment horizontal="center"/>
    </xf>
  </cellXfs>
  <cellStyles count="629">
    <cellStyle name="20% - Accent1 2" xfId="12" xr:uid="{1A25097B-80E0-4257-8F91-A631C05F48BD}"/>
    <cellStyle name="20% - Accent1 3" xfId="13" xr:uid="{856572B4-BF42-4D77-9053-446498ADEDD7}"/>
    <cellStyle name="20% - Accent2 2" xfId="14" xr:uid="{C67C7BB6-22C9-4ACD-BB73-FED8D5D8F6C7}"/>
    <cellStyle name="20% - Accent2 3" xfId="15" xr:uid="{1ACD4DF4-5194-466F-B95B-60A95D7C81F6}"/>
    <cellStyle name="20% - Accent3 2" xfId="16" xr:uid="{318C905B-E0E0-4856-86EC-8BEFF27EEF80}"/>
    <cellStyle name="20% - Accent3 3" xfId="17" xr:uid="{816EF2A8-5B35-4407-83DE-570FFD5931D5}"/>
    <cellStyle name="20% - Accent4 2" xfId="18" xr:uid="{48D18173-736D-4810-84EA-3EC35AE9BC92}"/>
    <cellStyle name="20% - Accent4 3" xfId="19" xr:uid="{6BCCA631-F937-4CEF-B960-0C240499C5F7}"/>
    <cellStyle name="20% - Accent5 2" xfId="20" xr:uid="{1EC2D304-87BB-40BC-BF4A-4C228CC54FA1}"/>
    <cellStyle name="20% - Accent5 3" xfId="21" xr:uid="{B1432CA3-78D6-46EF-B05B-B838254615D5}"/>
    <cellStyle name="20% - Accent6 2" xfId="22" xr:uid="{ABFDE05A-055F-4E76-84BC-E0BD8D779652}"/>
    <cellStyle name="20% - Accent6 3" xfId="23" xr:uid="{026FE9E1-A1E0-483E-B87D-39267C709F6D}"/>
    <cellStyle name="40% - Accent1 2" xfId="24" xr:uid="{847397EF-07F0-499F-A660-2E91304084A1}"/>
    <cellStyle name="40% - Accent1 3" xfId="25" xr:uid="{F39B7073-6819-4545-A990-FAD376354299}"/>
    <cellStyle name="40% - Accent2 2" xfId="26" xr:uid="{AC3A898C-EA50-4109-ADC5-D61CD3DA2307}"/>
    <cellStyle name="40% - Accent2 3" xfId="27" xr:uid="{22781EFA-BD4E-48EE-BBF7-B85E304C45A6}"/>
    <cellStyle name="40% - Accent3 2" xfId="28" xr:uid="{C823CCA8-C01C-4673-9E6F-D26F6B93C4E5}"/>
    <cellStyle name="40% - Accent3 3" xfId="29" xr:uid="{5E9ADD31-9122-4196-BB73-F84804D5F0EC}"/>
    <cellStyle name="40% - Accent4 2" xfId="30" xr:uid="{F99CB955-CFFE-44B5-A615-56C922F5AAAA}"/>
    <cellStyle name="40% - Accent4 3" xfId="31" xr:uid="{3BAE0110-BFCD-41FE-9271-8AF92E00FB77}"/>
    <cellStyle name="40% - Accent5 2" xfId="32" xr:uid="{7DBD2342-1055-4EE8-A78C-0C7404EEEACA}"/>
    <cellStyle name="40% - Accent5 3" xfId="33" xr:uid="{4A3891B2-0703-4F5A-ACA0-E2CF9E1DEA25}"/>
    <cellStyle name="40% - Accent6 2" xfId="34" xr:uid="{4952B182-5555-4E84-AA15-1FE18FB128F2}"/>
    <cellStyle name="40% - Accent6 3" xfId="35" xr:uid="{507A1DAA-724A-42BA-B7FB-91A0A1ED2BC4}"/>
    <cellStyle name="60% - Accent1 2" xfId="36" xr:uid="{5CC0309D-AB35-4A8C-AE5D-6A0357C998E4}"/>
    <cellStyle name="60% - Accent1 3" xfId="37" xr:uid="{C5C00747-BDAE-4C1B-9A03-7D4A59828A40}"/>
    <cellStyle name="60% - Accent2 2" xfId="38" xr:uid="{345FCB89-8830-45F2-ABC5-F64C83FE8338}"/>
    <cellStyle name="60% - Accent2 3" xfId="39" xr:uid="{CE0F210C-64DE-4E43-8F89-A34AAAB93196}"/>
    <cellStyle name="60% - Accent3 2" xfId="40" xr:uid="{7913B2B7-16FA-4F14-AAB8-F0FAE158F8BD}"/>
    <cellStyle name="60% - Accent3 3" xfId="41" xr:uid="{C17B5D35-D509-4E6B-A0A5-C656F6C440A6}"/>
    <cellStyle name="60% - Accent4 2" xfId="42" xr:uid="{DC62A077-B455-4DA0-B8BB-46CE91ECEB80}"/>
    <cellStyle name="60% - Accent4 3" xfId="43" xr:uid="{6DD0B427-5081-414C-B565-A36929AFE7C9}"/>
    <cellStyle name="60% - Accent5 2" xfId="44" xr:uid="{71A3CE86-61FC-49DD-A798-EA9D25BE84A8}"/>
    <cellStyle name="60% - Accent5 3" xfId="45" xr:uid="{78FCFFE5-8143-4098-B131-9E36BF4E0173}"/>
    <cellStyle name="60% - Accent6 2" xfId="46" xr:uid="{243C8763-0346-49F3-A4D2-31CAF9DAB18B}"/>
    <cellStyle name="60% - Accent6 3" xfId="47" xr:uid="{7D81CB6C-8538-40AE-9840-76221016DE24}"/>
    <cellStyle name="Accent1 2" xfId="48" xr:uid="{B223C743-FE9D-4320-8941-BD64A4431E07}"/>
    <cellStyle name="Accent1 3" xfId="49" xr:uid="{2810D782-0942-44A2-A63F-A94D4E79DFED}"/>
    <cellStyle name="Accent2 2" xfId="50" xr:uid="{B74FD381-635E-46A1-8C71-94AA7E58F6BD}"/>
    <cellStyle name="Accent2 3" xfId="51" xr:uid="{CDDB47AD-FC53-4AE5-A14D-77F43D18EA7C}"/>
    <cellStyle name="Accent3 2" xfId="52" xr:uid="{0AB57CE0-DF56-44FD-B60D-957F7052DE4F}"/>
    <cellStyle name="Accent3 3" xfId="53" xr:uid="{1AF76DBD-D3F6-464A-B57B-7D0F589DA073}"/>
    <cellStyle name="Accent4 2" xfId="54" xr:uid="{EC79B753-3038-4374-BD77-AA37701AB6DB}"/>
    <cellStyle name="Accent4 3" xfId="55" xr:uid="{63DDFB7A-4B39-4120-8FBA-19BC4508E391}"/>
    <cellStyle name="Accent5 2" xfId="56" xr:uid="{D2EF87DC-265B-4744-9D00-21094F209449}"/>
    <cellStyle name="Accent5 3" xfId="57" xr:uid="{80EABF74-9865-4E80-920E-EAC38EA5AEED}"/>
    <cellStyle name="Accent6 2" xfId="58" xr:uid="{BF464100-6B51-4410-9DC5-BE81AD532DEA}"/>
    <cellStyle name="Accent6 3" xfId="59" xr:uid="{3819ACF6-EA32-4261-BF6E-2E07FEEDA649}"/>
    <cellStyle name="AFE" xfId="60" xr:uid="{F0E3CC1E-D9B5-4A15-B918-40CEF2D4E01F}"/>
    <cellStyle name="Bad 2" xfId="61" xr:uid="{C4D9423D-CDD2-4DB2-B31A-4711389A156C}"/>
    <cellStyle name="Bad 3" xfId="62" xr:uid="{CC77F530-722A-4167-8D1E-FCA04474FD2B}"/>
    <cellStyle name="Bom 2" xfId="63" xr:uid="{877D6A7A-E3C9-45FD-B642-73732F04D6F9}"/>
    <cellStyle name="Calculation 2" xfId="64" xr:uid="{972F2971-D78B-40A1-AFD8-07BDE81A3148}"/>
    <cellStyle name="Calculation 3" xfId="65" xr:uid="{D171E6D7-F07A-40C5-A790-6379AA034C0A}"/>
    <cellStyle name="Célula de Verificação 2" xfId="66" xr:uid="{2E978E06-D822-4D7E-88C7-0F1845C8D002}"/>
    <cellStyle name="Célula Vinculada 2" xfId="67" xr:uid="{69AC8454-94B0-41D2-B4FB-473796AC2093}"/>
    <cellStyle name="Centered Heading" xfId="68" xr:uid="{700055DB-E3E3-464C-9968-CED4F634067B}"/>
    <cellStyle name="CenterHead" xfId="69" xr:uid="{A5D3A6EE-9930-450F-B235-614C7EE0AAF3}"/>
    <cellStyle name="Check Cell 2" xfId="70" xr:uid="{6A805481-9175-4FCB-B873-FCA8314E32B6}"/>
    <cellStyle name="Check Cell 3" xfId="71" xr:uid="{B45E6F83-A9DF-47CC-A070-829817E63F6C}"/>
    <cellStyle name="Column_Title" xfId="72" xr:uid="{388CCAE8-9C85-4235-AA23-7B8BFB39F1AC}"/>
    <cellStyle name="Comma 0.0" xfId="73" xr:uid="{6AB90116-1A8A-474D-AAFA-B6ACB35D7037}"/>
    <cellStyle name="Comma 0.00" xfId="74" xr:uid="{40B857DB-833D-42D4-B1DF-B464106551A3}"/>
    <cellStyle name="Comma 0.000" xfId="75" xr:uid="{BECD0D2A-3F31-4A33-805D-1CA162BAC3F4}"/>
    <cellStyle name="Comma 2" xfId="10" xr:uid="{6428B70A-7865-4C04-A634-763A43ADFFD4}"/>
    <cellStyle name="Comma 2 2" xfId="76" xr:uid="{145DCC30-D8BA-4D65-AFE4-5EB4C8C3BC77}"/>
    <cellStyle name="Comma 2 2 2" xfId="204" xr:uid="{0941A0DC-FF64-4319-B25B-C05F2FD7A549}"/>
    <cellStyle name="Comma 2 2 2 2" xfId="230" xr:uid="{ADFA2A10-B51F-44D1-94D7-B759B85DCAA6}"/>
    <cellStyle name="Comma 2 2 2 2 2" xfId="323" xr:uid="{9A12BF04-63F1-4BDC-B799-D92EE00202C2}"/>
    <cellStyle name="Comma 2 2 2 2 2 2" xfId="415" xr:uid="{0F0A10D8-EF7F-4E7F-B322-F15E769E6B2C}"/>
    <cellStyle name="Comma 2 2 2 2 2 2 2" xfId="604" xr:uid="{F9C2B772-0C97-4CB3-A53B-F403F0A90C02}"/>
    <cellStyle name="Comma 2 2 2 2 2 3" xfId="512" xr:uid="{A8071E8E-63AF-4B74-95C1-1DB1D8C5DC57}"/>
    <cellStyle name="Comma 2 2 2 2 3" xfId="369" xr:uid="{A5C2A962-E1C8-4473-B357-ED9BE93BCC81}"/>
    <cellStyle name="Comma 2 2 2 2 3 2" xfId="558" xr:uid="{28D46B55-0B19-49EC-8A66-8B52128B78F0}"/>
    <cellStyle name="Comma 2 2 2 2 4" xfId="277" xr:uid="{543AF57A-BABD-4836-9755-259F5939CEA3}"/>
    <cellStyle name="Comma 2 2 2 2 5" xfId="466" xr:uid="{5D7E004F-59A9-4EDA-9E38-BCC6E1CDA91F}"/>
    <cellStyle name="Comma 2 2 2 3" xfId="300" xr:uid="{434F5A1B-B635-4E34-BA69-38D5294172FB}"/>
    <cellStyle name="Comma 2 2 2 3 2" xfId="392" xr:uid="{E5E27891-4004-484F-8495-4A9C4385B90F}"/>
    <cellStyle name="Comma 2 2 2 3 2 2" xfId="581" xr:uid="{E0F249A2-813C-4EB3-A062-6EE67A43ABF5}"/>
    <cellStyle name="Comma 2 2 2 3 3" xfId="489" xr:uid="{C5D395C7-AF70-4E7B-8ABA-C5F2E24E69F7}"/>
    <cellStyle name="Comma 2 2 2 4" xfId="346" xr:uid="{EE858A30-5158-4FA0-829A-B7FD58E23EAC}"/>
    <cellStyle name="Comma 2 2 2 4 2" xfId="535" xr:uid="{086F36C0-EA03-423E-BBE1-7DAD32BFEFD1}"/>
    <cellStyle name="Comma 2 2 2 5" xfId="254" xr:uid="{E59D5D02-F4C4-4560-B370-3B8F23A13585}"/>
    <cellStyle name="Comma 2 2 2 6" xfId="443" xr:uid="{2F7103B1-2A7C-40DB-9188-7EFC313A63C8}"/>
    <cellStyle name="Comma 2 3" xfId="77" xr:uid="{0D71662F-315C-4FD8-9BAC-ADA7F37EA8B2}"/>
    <cellStyle name="Comma 2 4" xfId="78" xr:uid="{3BAB4C45-9446-4749-AB06-359BB4B0D720}"/>
    <cellStyle name="Comma 2 4 2" xfId="200" xr:uid="{683C2EB5-5FD3-45F7-8BB6-4B38AEF4F7AB}"/>
    <cellStyle name="Comma 2 4 2 2" xfId="221" xr:uid="{8E01DE3D-AE50-499F-A285-C22A6DB2C154}"/>
    <cellStyle name="Comma 2 4 2 2 2" xfId="244" xr:uid="{0DFC9734-C846-4C7A-80E2-A76AA1C809A0}"/>
    <cellStyle name="Comma 2 4 2 2 2 2" xfId="337" xr:uid="{8B1F5193-4FBC-479A-84EB-4A13D87BDD74}"/>
    <cellStyle name="Comma 2 4 2 2 2 2 2" xfId="429" xr:uid="{35158CC2-4554-4DC7-8528-F8362B89F78A}"/>
    <cellStyle name="Comma 2 4 2 2 2 2 2 2" xfId="618" xr:uid="{90D4D4E9-9331-42A8-8515-7A697122D362}"/>
    <cellStyle name="Comma 2 4 2 2 2 2 3" xfId="526" xr:uid="{4FB43C0F-1412-4A99-AE11-9530CD101478}"/>
    <cellStyle name="Comma 2 4 2 2 2 3" xfId="383" xr:uid="{621ABDA0-3F25-472B-86D4-86C638F39884}"/>
    <cellStyle name="Comma 2 4 2 2 2 3 2" xfId="572" xr:uid="{4398FEFB-C350-4266-AFC5-B643C50C7189}"/>
    <cellStyle name="Comma 2 4 2 2 2 4" xfId="291" xr:uid="{918FECF2-E701-4380-9F89-8765CCD14FC0}"/>
    <cellStyle name="Comma 2 4 2 2 2 5" xfId="480" xr:uid="{C0AA0A71-5061-468A-A85A-A369F5CA34E0}"/>
    <cellStyle name="Comma 2 4 2 2 3" xfId="314" xr:uid="{DD503F28-4156-4855-BD55-09A3ED2AC45C}"/>
    <cellStyle name="Comma 2 4 2 2 3 2" xfId="406" xr:uid="{7D426E8F-C91A-4602-9122-D70F7EE5C316}"/>
    <cellStyle name="Comma 2 4 2 2 3 2 2" xfId="595" xr:uid="{299E49E9-A431-4604-B116-6473DF54F560}"/>
    <cellStyle name="Comma 2 4 2 2 3 3" xfId="503" xr:uid="{ABA1AFFC-0281-4D04-BE98-C0919DBC6392}"/>
    <cellStyle name="Comma 2 4 2 2 4" xfId="360" xr:uid="{ACD400E0-0046-4ECA-9C13-C3E719C95043}"/>
    <cellStyle name="Comma 2 4 2 2 4 2" xfId="549" xr:uid="{D79B3904-DFB2-4219-9944-B3EC3D769919}"/>
    <cellStyle name="Comma 2 4 2 2 5" xfId="268" xr:uid="{71730786-3E9E-48D7-94E6-ABFD8CB92F90}"/>
    <cellStyle name="Comma 2 4 2 2 6" xfId="457" xr:uid="{46D87330-6F4A-402C-BF27-31150439A635}"/>
    <cellStyle name="Comma 2 4 3" xfId="205" xr:uid="{8F214819-9980-4D7C-A33D-E3DB201BD900}"/>
    <cellStyle name="Comma 2 4 3 2" xfId="231" xr:uid="{67F68766-1B6E-4690-AA96-2F05261481D1}"/>
    <cellStyle name="Comma 2 4 3 2 2" xfId="324" xr:uid="{1B6352A3-F4F0-40C2-8C38-AB3F52391AD6}"/>
    <cellStyle name="Comma 2 4 3 2 2 2" xfId="416" xr:uid="{3F415854-E02D-4ED0-ABD1-494B21777A25}"/>
    <cellStyle name="Comma 2 4 3 2 2 2 2" xfId="605" xr:uid="{47EE5A92-8173-4A71-A277-0E470C4E5294}"/>
    <cellStyle name="Comma 2 4 3 2 2 3" xfId="513" xr:uid="{4AC84AAA-636A-450E-8A65-E5ED3F176028}"/>
    <cellStyle name="Comma 2 4 3 2 3" xfId="370" xr:uid="{BD9EAA04-24DC-4EA4-B2AD-2A796EB3B5B2}"/>
    <cellStyle name="Comma 2 4 3 2 3 2" xfId="559" xr:uid="{708B10F3-A3BD-4A85-88F0-D9674029E8EF}"/>
    <cellStyle name="Comma 2 4 3 2 4" xfId="278" xr:uid="{C3008C2E-7FF8-4FE7-98F1-B39E684B1BCC}"/>
    <cellStyle name="Comma 2 4 3 2 5" xfId="467" xr:uid="{BC67E70F-61FE-434E-8E46-9F9C99FCBFE1}"/>
    <cellStyle name="Comma 2 4 3 3" xfId="301" xr:uid="{27E50B24-5585-47B7-8963-06FB6C499E64}"/>
    <cellStyle name="Comma 2 4 3 3 2" xfId="393" xr:uid="{9851E2BB-7332-4C7E-9025-AA7DC71221EF}"/>
    <cellStyle name="Comma 2 4 3 3 2 2" xfId="582" xr:uid="{B27C3B7E-3432-44F5-A3B5-F23CD0FFDD6C}"/>
    <cellStyle name="Comma 2 4 3 3 3" xfId="490" xr:uid="{20560B5F-E88F-4076-8773-F666B98F2318}"/>
    <cellStyle name="Comma 2 4 3 4" xfId="347" xr:uid="{A1732714-47BE-4CD9-AA37-5EBF5463A79C}"/>
    <cellStyle name="Comma 2 4 3 4 2" xfId="536" xr:uid="{AD90F914-CAEF-41AC-ADEE-1163730ED2AC}"/>
    <cellStyle name="Comma 2 4 3 5" xfId="255" xr:uid="{C6D4EDF7-00CF-461F-8540-883DD73BB887}"/>
    <cellStyle name="Comma 2 4 3 6" xfId="444" xr:uid="{43205B6D-ED2C-4F3A-864B-94C6EEB6540C}"/>
    <cellStyle name="Comma 2 5" xfId="203" xr:uid="{AA91FD44-73DD-419C-BB99-CF3758AB6D7A}"/>
    <cellStyle name="Comma 2 5 2" xfId="229" xr:uid="{CE26BAAD-37E2-49B4-8E26-C9E6370AB49A}"/>
    <cellStyle name="Comma 2 5 2 2" xfId="322" xr:uid="{9726E411-EC47-4FD2-BCB2-F5CDDB94EC09}"/>
    <cellStyle name="Comma 2 5 2 2 2" xfId="414" xr:uid="{C723F3F3-CF40-44E0-8398-27A80E8E8705}"/>
    <cellStyle name="Comma 2 5 2 2 2 2" xfId="603" xr:uid="{6754DF52-F3B5-4288-9B56-D8649AB435D9}"/>
    <cellStyle name="Comma 2 5 2 2 3" xfId="511" xr:uid="{C9047BEC-18E8-4DC5-BAD6-04EBB9D5809A}"/>
    <cellStyle name="Comma 2 5 2 3" xfId="368" xr:uid="{BE97AE4C-F92D-4182-83C9-08B232F62571}"/>
    <cellStyle name="Comma 2 5 2 3 2" xfId="557" xr:uid="{0F3CED50-635F-4DB1-B733-7C1E4C14C22E}"/>
    <cellStyle name="Comma 2 5 2 4" xfId="276" xr:uid="{D85BC525-DEC5-4772-8C26-146D2784B8EF}"/>
    <cellStyle name="Comma 2 5 2 5" xfId="465" xr:uid="{E93F5812-6CD4-4A39-8DB4-EE0ADD644B28}"/>
    <cellStyle name="Comma 2 5 3" xfId="299" xr:uid="{C59CA028-275B-466B-B56B-8D202F208F19}"/>
    <cellStyle name="Comma 2 5 3 2" xfId="391" xr:uid="{CE6CCFA0-EB89-44EC-9AAE-FFDC7A1FB8E1}"/>
    <cellStyle name="Comma 2 5 3 2 2" xfId="580" xr:uid="{95558E88-3112-4447-9725-454D9DED7542}"/>
    <cellStyle name="Comma 2 5 3 3" xfId="488" xr:uid="{DA31F15E-5EFB-42F1-8548-BBF39293AA17}"/>
    <cellStyle name="Comma 2 5 4" xfId="345" xr:uid="{FF3E7507-5934-4C0D-B24F-00E88925D3B8}"/>
    <cellStyle name="Comma 2 5 4 2" xfId="534" xr:uid="{6C39E693-A5A7-4037-928C-27D6E8EE89ED}"/>
    <cellStyle name="Comma 2 5 5" xfId="253" xr:uid="{4CA763DA-49C5-4072-9CF9-2F67C0997510}"/>
    <cellStyle name="Comma 2 5 6" xfId="442" xr:uid="{D0A5800A-545F-4AC2-841C-34C134025E75}"/>
    <cellStyle name="Comma 3" xfId="79" xr:uid="{E1EFEF73-32AF-4777-9787-0F4E127FAB4C}"/>
    <cellStyle name="Comma 3 2" xfId="80" xr:uid="{F635068F-106E-4106-A221-95E2B5677680}"/>
    <cellStyle name="Comma 3 2 2" xfId="207" xr:uid="{7732AB23-DED5-4667-9242-BFAFA1B2B3B7}"/>
    <cellStyle name="Comma 3 2 2 2" xfId="233" xr:uid="{80218B93-3818-42D9-B1E0-85A1962F0236}"/>
    <cellStyle name="Comma 3 2 2 2 2" xfId="326" xr:uid="{F9C4E183-0EB9-4B25-913F-B1B6600840C4}"/>
    <cellStyle name="Comma 3 2 2 2 2 2" xfId="418" xr:uid="{42F0AF01-5F9D-4DE7-903F-EDC987DAFDD6}"/>
    <cellStyle name="Comma 3 2 2 2 2 2 2" xfId="607" xr:uid="{54EF6CD4-BBAE-4C9D-ADA5-E6E730AB631A}"/>
    <cellStyle name="Comma 3 2 2 2 2 3" xfId="515" xr:uid="{876AAE3F-F228-48F8-888E-50BC89A34EFE}"/>
    <cellStyle name="Comma 3 2 2 2 3" xfId="372" xr:uid="{D05A6E08-B98C-4AA1-9AB3-DB45C2ADFE2F}"/>
    <cellStyle name="Comma 3 2 2 2 3 2" xfId="561" xr:uid="{03438048-4AE3-40C5-B514-96860163B5AE}"/>
    <cellStyle name="Comma 3 2 2 2 4" xfId="280" xr:uid="{380A6B75-0708-466A-9B61-022A10B01C88}"/>
    <cellStyle name="Comma 3 2 2 2 5" xfId="469" xr:uid="{A1757130-2A0F-433D-8EA5-BD078D9FC59C}"/>
    <cellStyle name="Comma 3 2 2 3" xfId="303" xr:uid="{BF8FB341-9679-4BCB-92B0-E238B6AF6006}"/>
    <cellStyle name="Comma 3 2 2 3 2" xfId="395" xr:uid="{1FC60656-DB0C-4125-8030-FD1117DEEF86}"/>
    <cellStyle name="Comma 3 2 2 3 2 2" xfId="584" xr:uid="{94EECD5B-8DCB-41C4-A593-039FCCFFC55D}"/>
    <cellStyle name="Comma 3 2 2 3 3" xfId="492" xr:uid="{CF9AE87D-A430-4FDC-9D2B-DCA03B6363B3}"/>
    <cellStyle name="Comma 3 2 2 4" xfId="349" xr:uid="{1691C5B0-11EF-41FF-9FBF-E7499F52A50B}"/>
    <cellStyle name="Comma 3 2 2 4 2" xfId="538" xr:uid="{A8C86259-3E6E-410F-9369-0E3B8F0BEB98}"/>
    <cellStyle name="Comma 3 2 2 5" xfId="257" xr:uid="{A26DC1BE-97A1-455E-9592-29FDAB4F0F49}"/>
    <cellStyle name="Comma 3 2 2 6" xfId="446" xr:uid="{F09219FB-5758-4009-AF45-7C03EF7897C0}"/>
    <cellStyle name="Comma 3 3" xfId="206" xr:uid="{5973D4C2-BC1E-4D1E-BD7E-6918155A6A34}"/>
    <cellStyle name="Comma 3 3 2" xfId="232" xr:uid="{73B2B08A-307F-42A7-A852-8388C49602B9}"/>
    <cellStyle name="Comma 3 3 2 2" xfId="325" xr:uid="{39F7CD5D-A9DE-4194-B2BB-A3CAF0A0E4A4}"/>
    <cellStyle name="Comma 3 3 2 2 2" xfId="417" xr:uid="{EDBBAEE3-C9CB-4E4B-876D-C9B30A26BA42}"/>
    <cellStyle name="Comma 3 3 2 2 2 2" xfId="606" xr:uid="{4195F3F5-C61F-40CA-9764-737BF52C0C6D}"/>
    <cellStyle name="Comma 3 3 2 2 3" xfId="514" xr:uid="{D4E610D9-21ED-4BCA-ACCB-628A43267A79}"/>
    <cellStyle name="Comma 3 3 2 3" xfId="371" xr:uid="{FAD7BDBF-88A4-43A0-A2AD-D5E1F37AD66D}"/>
    <cellStyle name="Comma 3 3 2 3 2" xfId="560" xr:uid="{47B7AF0B-F78C-47B5-9FC1-6D5AAEF59F12}"/>
    <cellStyle name="Comma 3 3 2 4" xfId="279" xr:uid="{F9ADB4CB-154D-4770-BC75-6E20E786AB37}"/>
    <cellStyle name="Comma 3 3 2 5" xfId="468" xr:uid="{02DE5BCA-BBD7-4F2E-BAB7-D839B3463389}"/>
    <cellStyle name="Comma 3 3 3" xfId="302" xr:uid="{B69810E7-07B2-4B36-A54E-8071D7AF48B3}"/>
    <cellStyle name="Comma 3 3 3 2" xfId="394" xr:uid="{A5209974-94E4-4D53-978D-A386B62900B3}"/>
    <cellStyle name="Comma 3 3 3 2 2" xfId="583" xr:uid="{6C6B9E89-1E17-4C2B-8F4D-02ACB46AAF07}"/>
    <cellStyle name="Comma 3 3 3 3" xfId="491" xr:uid="{3104C2D9-9306-4858-B5C1-30C117F5BDD4}"/>
    <cellStyle name="Comma 3 3 4" xfId="348" xr:uid="{65F18E0C-D24A-447F-B82A-9A16AA62FB1F}"/>
    <cellStyle name="Comma 3 3 4 2" xfId="537" xr:uid="{C7367036-00BB-4579-A0FF-75B39E609579}"/>
    <cellStyle name="Comma 3 3 5" xfId="256" xr:uid="{45F67283-5025-4A0F-8568-740EE6FC3494}"/>
    <cellStyle name="Comma 3 3 6" xfId="445" xr:uid="{2D0994F4-5E53-479F-AAE1-37496294E068}"/>
    <cellStyle name="Comma 4" xfId="81" xr:uid="{57C286C2-745E-4ABD-BC82-CDF4EAA7C9C2}"/>
    <cellStyle name="Comma 4 2" xfId="208" xr:uid="{6C89BF95-A091-474F-AB19-95ADEAEFB3CB}"/>
    <cellStyle name="Comma 4 2 2" xfId="234" xr:uid="{5D6BF35F-8CE7-4694-A954-6AB1AF32C58E}"/>
    <cellStyle name="Comma 4 2 2 2" xfId="327" xr:uid="{6F441737-5406-473A-B84F-FA474A1C6CBB}"/>
    <cellStyle name="Comma 4 2 2 2 2" xfId="419" xr:uid="{D62891C4-925D-44BD-BCBB-7920D66330B1}"/>
    <cellStyle name="Comma 4 2 2 2 2 2" xfId="608" xr:uid="{6E6C603A-66A3-45F9-8C00-CF7C7BA59153}"/>
    <cellStyle name="Comma 4 2 2 2 3" xfId="516" xr:uid="{ACC45CAB-11A9-4A62-BBBD-914DF25BD02B}"/>
    <cellStyle name="Comma 4 2 2 3" xfId="373" xr:uid="{8F62CF39-EE41-4242-A121-29AAFA15CCE8}"/>
    <cellStyle name="Comma 4 2 2 3 2" xfId="562" xr:uid="{37FA5481-46F5-4EF2-8076-4356D005F09A}"/>
    <cellStyle name="Comma 4 2 2 4" xfId="281" xr:uid="{D5FF6331-A7CB-4B54-92A2-6245938965B3}"/>
    <cellStyle name="Comma 4 2 2 5" xfId="470" xr:uid="{3E32B602-3145-42FD-AA32-FF25E8EC1770}"/>
    <cellStyle name="Comma 4 2 3" xfId="304" xr:uid="{82C918A3-97AF-4A1C-B6DD-396999BA4813}"/>
    <cellStyle name="Comma 4 2 3 2" xfId="396" xr:uid="{4ACCBF62-C4FF-4C69-8459-E9ED36F2BEDA}"/>
    <cellStyle name="Comma 4 2 3 2 2" xfId="585" xr:uid="{BD1B448D-8CA0-468D-93DA-E2749A389695}"/>
    <cellStyle name="Comma 4 2 3 3" xfId="493" xr:uid="{D2AFF12C-67AB-475E-ABC3-7E5CDE71474C}"/>
    <cellStyle name="Comma 4 2 4" xfId="350" xr:uid="{E54D31D3-EE93-4EAB-B022-66F9720FD509}"/>
    <cellStyle name="Comma 4 2 4 2" xfId="539" xr:uid="{6C1BFAC2-6F24-483C-8FF3-41E07A3D68BA}"/>
    <cellStyle name="Comma 4 2 5" xfId="258" xr:uid="{3408D5F0-92F5-4F3D-9002-4562E1F461C8}"/>
    <cellStyle name="Comma 4 2 6" xfId="447" xr:uid="{5DF5FC18-4ED0-4F28-9235-7EA848B98CCC}"/>
    <cellStyle name="Comma 4 3" xfId="223" xr:uid="{C2980621-3C55-4BB0-83B2-5EE44ED0EBD1}"/>
    <cellStyle name="Comma 4 3 2" xfId="316" xr:uid="{419055FA-009A-4661-9CB1-C745B38FA8E9}"/>
    <cellStyle name="Comma 4 3 2 2" xfId="408" xr:uid="{0303F72E-5E2F-4BFD-B24D-127E4BD9B126}"/>
    <cellStyle name="Comma 4 3 2 2 2" xfId="597" xr:uid="{FD4F0FB0-B463-4516-9968-AB0403B39B13}"/>
    <cellStyle name="Comma 4 3 2 3" xfId="505" xr:uid="{ED0B3447-3685-4659-B8A2-E2DB6B82A2ED}"/>
    <cellStyle name="Comma 4 3 3" xfId="362" xr:uid="{48CD06B9-8AF6-43DE-AD36-24BACEEE56EB}"/>
    <cellStyle name="Comma 4 3 3 2" xfId="551" xr:uid="{FE4A2779-18C9-412C-84C8-08FFC375ECA8}"/>
    <cellStyle name="Comma 4 3 4" xfId="270" xr:uid="{22BDFD34-76FD-471A-B3C8-4F596B49E163}"/>
    <cellStyle name="Comma 4 3 5" xfId="459" xr:uid="{D7796B44-BC9F-4B44-98F5-555229DD6D7E}"/>
    <cellStyle name="Comma 4 4" xfId="293" xr:uid="{93CAC9A9-5C83-4CD4-87D0-ACFD1A3871D7}"/>
    <cellStyle name="Comma 4 4 2" xfId="385" xr:uid="{AC271DB3-7195-4916-A5B3-5381BD2A63B6}"/>
    <cellStyle name="Comma 4 4 2 2" xfId="574" xr:uid="{C14A17BB-29EB-4B67-8BD7-27C76A0C99B2}"/>
    <cellStyle name="Comma 4 4 3" xfId="482" xr:uid="{C8341FD4-648C-4A14-A238-6E60B6B70DA2}"/>
    <cellStyle name="Comma 4 5" xfId="339" xr:uid="{21D46BE9-1FC2-4F12-80C9-6B0F12C555CE}"/>
    <cellStyle name="Comma 4 5 2" xfId="528" xr:uid="{8B794ED4-541D-41EB-AC90-4047401CD264}"/>
    <cellStyle name="Comma 4 6" xfId="247" xr:uid="{1B9CBDFF-C028-4FD9-B072-5726C8871001}"/>
    <cellStyle name="Comma 4 7" xfId="436" xr:uid="{1E6B1D34-B9B8-4398-B665-951A09AF3713}"/>
    <cellStyle name="Comma 5" xfId="82" xr:uid="{528E3A41-F7A4-448B-8B3F-E0B9549B5213}"/>
    <cellStyle name="Comma 5 2" xfId="209" xr:uid="{309553D8-D547-480F-8267-A46658C39F92}"/>
    <cellStyle name="Comma 5 2 2" xfId="235" xr:uid="{D409B38A-3C50-4A15-A80E-154F8FD7A168}"/>
    <cellStyle name="Comma 5 2 2 2" xfId="328" xr:uid="{1AA39881-D045-4BC6-A234-30ED5B19E958}"/>
    <cellStyle name="Comma 5 2 2 2 2" xfId="420" xr:uid="{3B53DD29-8EC0-4E0D-B4F4-A85BA2A65EB4}"/>
    <cellStyle name="Comma 5 2 2 2 2 2" xfId="609" xr:uid="{6B34B12B-B1CA-4221-9D7D-6D944B976D3F}"/>
    <cellStyle name="Comma 5 2 2 2 3" xfId="517" xr:uid="{CB95A14C-2F5B-49AE-B0C6-015409603DC1}"/>
    <cellStyle name="Comma 5 2 2 3" xfId="374" xr:uid="{5BBC4BB3-3A43-4D5A-BBB6-306BB0180723}"/>
    <cellStyle name="Comma 5 2 2 3 2" xfId="563" xr:uid="{841A4A1D-4A8F-4C16-A175-A0D858CD5C4D}"/>
    <cellStyle name="Comma 5 2 2 4" xfId="282" xr:uid="{EB6DD5FE-0575-46CA-B802-11AB29BFD972}"/>
    <cellStyle name="Comma 5 2 2 5" xfId="471" xr:uid="{55FC483A-4A0F-4373-8803-6BA22486CBFD}"/>
    <cellStyle name="Comma 5 2 3" xfId="305" xr:uid="{8C27F5BB-F4F9-4527-ACDC-CC2981AFCCE9}"/>
    <cellStyle name="Comma 5 2 3 2" xfId="397" xr:uid="{254751EA-8857-42C1-98F5-52CA6E4F4860}"/>
    <cellStyle name="Comma 5 2 3 2 2" xfId="586" xr:uid="{F33A9456-87BA-421C-A9A2-963E53EBAA6A}"/>
    <cellStyle name="Comma 5 2 3 3" xfId="494" xr:uid="{DEE11C5F-3013-429A-8FE4-7CD371DDC5AF}"/>
    <cellStyle name="Comma 5 2 4" xfId="351" xr:uid="{29740DCF-C8B5-4450-9277-139FB29D5AEC}"/>
    <cellStyle name="Comma 5 2 4 2" xfId="540" xr:uid="{0C26EE7E-3A1B-41D7-9617-822951302F80}"/>
    <cellStyle name="Comma 5 2 5" xfId="259" xr:uid="{618A3CA1-1C26-46DB-9B3A-BAAB7F0C2A04}"/>
    <cellStyle name="Comma 5 2 6" xfId="448" xr:uid="{8035016B-D82A-4D1C-95E6-07FB8CEC662A}"/>
    <cellStyle name="Comma 6" xfId="83" xr:uid="{C677EE0F-2183-45EA-BA5D-DB678BD4D804}"/>
    <cellStyle name="Comma 6 2" xfId="210" xr:uid="{209A0623-F73E-43C4-9B97-30B2D0E3C0C5}"/>
    <cellStyle name="Comma 6 2 2" xfId="236" xr:uid="{A2FC6E37-519A-4950-B7E1-D1C6DAF35FB4}"/>
    <cellStyle name="Comma 6 2 2 2" xfId="329" xr:uid="{A4C411B1-B21B-43E2-8617-ED2009B33121}"/>
    <cellStyle name="Comma 6 2 2 2 2" xfId="421" xr:uid="{B3AD0F48-62D2-4EA4-BBC7-C743605C0801}"/>
    <cellStyle name="Comma 6 2 2 2 2 2" xfId="610" xr:uid="{1C96883E-AC86-4726-B207-3F9D3C8A539C}"/>
    <cellStyle name="Comma 6 2 2 2 3" xfId="518" xr:uid="{F570196E-B1A5-4575-B56A-EC0DDCB090C1}"/>
    <cellStyle name="Comma 6 2 2 3" xfId="375" xr:uid="{74D0F7CB-3256-4969-A8BB-B81EBDACF8D7}"/>
    <cellStyle name="Comma 6 2 2 3 2" xfId="564" xr:uid="{18E151BA-7457-465F-A241-A9627DBCA254}"/>
    <cellStyle name="Comma 6 2 2 4" xfId="283" xr:uid="{4BA38325-EFB7-44D9-8E80-3974B2ADB9A5}"/>
    <cellStyle name="Comma 6 2 2 5" xfId="472" xr:uid="{A0729C12-079A-41A9-806C-793E93BCECCC}"/>
    <cellStyle name="Comma 6 2 3" xfId="306" xr:uid="{B622D647-CF4F-4933-BA24-4034AF03DA20}"/>
    <cellStyle name="Comma 6 2 3 2" xfId="398" xr:uid="{412A3E59-4A9A-4FE5-BE25-12DE039EAD39}"/>
    <cellStyle name="Comma 6 2 3 2 2" xfId="587" xr:uid="{4764A516-F5BA-4C2B-90F8-289D50A75129}"/>
    <cellStyle name="Comma 6 2 3 3" xfId="495" xr:uid="{078EFABF-10F0-4E50-8524-2E2FEB8850A0}"/>
    <cellStyle name="Comma 6 2 4" xfId="352" xr:uid="{E75EEFE7-79D7-464F-996F-3D0445BC4A45}"/>
    <cellStyle name="Comma 6 2 4 2" xfId="541" xr:uid="{7F4DC0A1-9508-49F9-9212-E9E3492BB575}"/>
    <cellStyle name="Comma 6 2 5" xfId="260" xr:uid="{A7DDB30C-74CB-4088-87B1-E6C528B1CF87}"/>
    <cellStyle name="Comma 6 2 6" xfId="449" xr:uid="{8F41AE43-C337-4A5A-B7CB-C8159033F666}"/>
    <cellStyle name="Comma 6 3" xfId="224" xr:uid="{7B7291CD-708D-4999-9293-8175E342FD9F}"/>
    <cellStyle name="Comma 6 3 2" xfId="317" xr:uid="{5C580A4E-34CC-49F7-843E-413DEC38B93A}"/>
    <cellStyle name="Comma 6 3 2 2" xfId="409" xr:uid="{CA464DF6-CF25-4FE4-B163-5835EB98CF71}"/>
    <cellStyle name="Comma 6 3 2 2 2" xfId="598" xr:uid="{8FBC5B05-9702-4B1C-8E39-3EF0C1BFE590}"/>
    <cellStyle name="Comma 6 3 2 3" xfId="506" xr:uid="{D5222B95-31E4-49FA-B243-1C7F122C3942}"/>
    <cellStyle name="Comma 6 3 3" xfId="363" xr:uid="{ADE8B719-9C0D-4EA0-86FF-95A33BD7FEFC}"/>
    <cellStyle name="Comma 6 3 3 2" xfId="552" xr:uid="{4963A1F1-C576-4AA7-AD88-22E7856E0D44}"/>
    <cellStyle name="Comma 6 3 4" xfId="271" xr:uid="{6FC33296-B2C5-4ECB-8E98-B76D1B4976AA}"/>
    <cellStyle name="Comma 6 3 5" xfId="460" xr:uid="{0516CADC-74C8-405F-8DA2-9DAD6046D50C}"/>
    <cellStyle name="Comma 6 4" xfId="294" xr:uid="{B07A1B1D-8CCB-40F5-8817-543A206C5B09}"/>
    <cellStyle name="Comma 6 4 2" xfId="386" xr:uid="{B9AB469A-2DD1-4A4D-8639-728E045E5156}"/>
    <cellStyle name="Comma 6 4 2 2" xfId="575" xr:uid="{0330A982-ACEB-44B6-B5BE-1549B668511C}"/>
    <cellStyle name="Comma 6 4 3" xfId="483" xr:uid="{D60D3A2D-A4C4-43C9-A6BE-E04513B59F9C}"/>
    <cellStyle name="Comma 6 5" xfId="340" xr:uid="{CA05F9FD-D1E4-4A9E-87EF-8E7E239244F9}"/>
    <cellStyle name="Comma 6 5 2" xfId="529" xr:uid="{982B393C-4BF8-402B-AF26-E7B50F6149CD}"/>
    <cellStyle name="Comma 6 6" xfId="248" xr:uid="{1F8A44C3-DDBD-4EE5-A0B4-E55F4DB9EEBC}"/>
    <cellStyle name="Comma 6 7" xfId="437" xr:uid="{3D256276-29A2-4D8D-90DF-6BCB631842D7}"/>
    <cellStyle name="Comma0" xfId="84" xr:uid="{DDF0D7DF-E187-4D67-ACF4-05D012F08AAC}"/>
    <cellStyle name="Company Name" xfId="85" xr:uid="{CF06EA0D-92F7-404D-868B-8B28C4B32A26}"/>
    <cellStyle name="Currency 0.0" xfId="86" xr:uid="{3DA640D6-17B2-4293-A51A-F83DD02DEF82}"/>
    <cellStyle name="Currency 0.00" xfId="87" xr:uid="{BA354E87-C39A-4BCC-84BA-B751B8DC94DA}"/>
    <cellStyle name="Currency 0.000" xfId="88" xr:uid="{0640FCD4-3E71-484B-9C74-7E471D5DAACF}"/>
    <cellStyle name="Currency 2" xfId="89" xr:uid="{EC309C40-DF1D-4712-B306-98363CFC09E8}"/>
    <cellStyle name="Currency 2 2" xfId="90" xr:uid="{E6027C4E-4B69-4D01-876F-D0EA89FC8E62}"/>
    <cellStyle name="Currency 2 3" xfId="91" xr:uid="{0FA8384B-151F-470F-B367-3B8A8F240A0A}"/>
    <cellStyle name="Currency0" xfId="92" xr:uid="{D0A3BF9A-BDED-4130-AF6B-B37B8D07EA2E}"/>
    <cellStyle name="Dan" xfId="93" xr:uid="{00A85CE4-4A34-4EE5-AD1B-84FCD5D0B2DD}"/>
    <cellStyle name="Date" xfId="94" xr:uid="{3B55BD97-4D73-4F0B-A0F6-4B06EB39EAEB}"/>
    <cellStyle name="Entrada 2" xfId="95" xr:uid="{048A8322-26B4-4014-9851-2DE7B033100A}"/>
    <cellStyle name="Euro" xfId="96" xr:uid="{EE1F2C28-99B0-4835-B5D8-3C1D1BA462CD}"/>
    <cellStyle name="Explanatory Text 2" xfId="97" xr:uid="{C252B434-4A2D-431B-828E-F434A3716E65}"/>
    <cellStyle name="Explanatory Text 3" xfId="98" xr:uid="{C89478B4-345B-423E-B43C-A6D94F217637}"/>
    <cellStyle name="Fixed" xfId="99" xr:uid="{34CD5AD6-8EA1-43B1-A6A5-33E16F34C70A}"/>
    <cellStyle name="Good 2" xfId="100" xr:uid="{278953BA-FC39-4BF5-A342-8B0FA076636C}"/>
    <cellStyle name="Good 3" xfId="101" xr:uid="{CA7D901D-8F3F-410F-8A49-444B2361DD9B}"/>
    <cellStyle name="Heading" xfId="102" xr:uid="{EF4C93DD-29AD-4234-B4EA-F74F65EA9E96}"/>
    <cellStyle name="Heading 1 2" xfId="103" xr:uid="{6082E215-665F-4D8A-910C-5731673875F7}"/>
    <cellStyle name="Heading 1 3" xfId="104" xr:uid="{43963895-762B-4943-9CE2-DFD0C0C2DF64}"/>
    <cellStyle name="Heading 2 2" xfId="105" xr:uid="{C475ACF8-E13E-43CD-9CFE-CB929BEE4E84}"/>
    <cellStyle name="Heading 2 3" xfId="106" xr:uid="{7AC25506-C320-42B7-BEF1-9AA5492C3E6E}"/>
    <cellStyle name="Heading 3 2" xfId="107" xr:uid="{520DD10B-A277-4A68-A898-FA31F6D837AC}"/>
    <cellStyle name="Heading 3 3" xfId="108" xr:uid="{56BC7692-8B4F-4542-8A16-9F2BB378DBA4}"/>
    <cellStyle name="Heading 4 2" xfId="109" xr:uid="{04D68F66-BE7C-4F2C-9CB8-2CA977ED414F}"/>
    <cellStyle name="Heading 4 3" xfId="110" xr:uid="{3A93D76D-3E2B-4C8D-BA41-D56DFE023D0B}"/>
    <cellStyle name="Heading No Underline" xfId="111" xr:uid="{5472EB37-C2AE-44D1-9166-1103ADE271E7}"/>
    <cellStyle name="Heading With Underline" xfId="112" xr:uid="{6E80FC47-74FA-4E36-9541-B997AF78D059}"/>
    <cellStyle name="Hiperlink" xfId="627" builtinId="8"/>
    <cellStyle name="Hipervínculo" xfId="113" xr:uid="{EDF4B474-8EE4-4FF0-B3E5-C5737CFAB9C5}"/>
    <cellStyle name="Hipervínculo visitado" xfId="114" xr:uid="{FE2EB5C4-BAED-4EC4-B4AE-BD5EA9516828}"/>
    <cellStyle name="Indefinido" xfId="115" xr:uid="{DA2F5412-33CA-4ED1-9748-FD7573627F5E}"/>
    <cellStyle name="Indent" xfId="116" xr:uid="{65B01A7D-8C9F-4EFA-B5AF-1A7C024A335B}"/>
    <cellStyle name="Indent 2" xfId="211" xr:uid="{070AF761-DBDF-4320-9615-0E0A69A64253}"/>
    <cellStyle name="Indent_DFC" xfId="431" xr:uid="{61C23120-ABAC-4BBF-8E5E-949CC5055D6E}"/>
    <cellStyle name="Input 2" xfId="117" xr:uid="{EFA5ED80-3770-434B-8F46-91FD33BC322F}"/>
    <cellStyle name="Input 3" xfId="118" xr:uid="{962BA576-6E9E-4E86-B2A8-C22391174ACA}"/>
    <cellStyle name="Linked Cell 2" xfId="119" xr:uid="{0F4C1A32-D99E-4954-A3ED-F5D5A2C30579}"/>
    <cellStyle name="Linked Cell 3" xfId="120" xr:uid="{66E15C47-4B23-458F-AE32-84F74B52F392}"/>
    <cellStyle name="MainHead" xfId="121" xr:uid="{A4C1D11A-F184-4A81-8A16-268180992F1A}"/>
    <cellStyle name="Millares [0]_5-Mayo " xfId="122" xr:uid="{E4B919C8-2941-4A19-B85E-74D606713E55}"/>
    <cellStyle name="Millares_5-Mayo " xfId="123" xr:uid="{F84DD99D-7464-4171-9C78-307FC45B7AD4}"/>
    <cellStyle name="Moeda" xfId="2" builtinId="4"/>
    <cellStyle name="Moeda 2" xfId="622" xr:uid="{CC58C979-61E1-47E9-BED7-DC90D16F4AE9}"/>
    <cellStyle name="Moeda 3" xfId="626" xr:uid="{0A1ADA82-3C0D-4ACB-878E-4A7B171207E3}"/>
    <cellStyle name="Moneda [0]_5-Mayo " xfId="124" xr:uid="{55954329-94A4-477C-993F-0F5DA7CDD5BE}"/>
    <cellStyle name="Moneda_5-Mayo " xfId="125" xr:uid="{D87959C8-8E2C-44AD-9DA1-9DA3AB856580}"/>
    <cellStyle name="Neutra" xfId="126" xr:uid="{82C05D11-503A-45BC-9651-BE5280CE06CD}"/>
    <cellStyle name="Neutral 2" xfId="127" xr:uid="{8A522CF0-32D9-4FCC-BFE4-D3F35261A471}"/>
    <cellStyle name="Neutral 3" xfId="128" xr:uid="{C5E2D0F1-C116-43CD-A325-F446FA4C4883}"/>
    <cellStyle name="Normal" xfId="0" builtinId="0"/>
    <cellStyle name="Normal 10" xfId="11" xr:uid="{42F4A414-5A96-4F4E-B03F-7439D31A62B8}"/>
    <cellStyle name="Normal 11" xfId="621" xr:uid="{F1E01C07-23E9-4B9A-9BF9-C8DB0F8CB856}"/>
    <cellStyle name="Normal 2" xfId="4" xr:uid="{567FA3EF-FFAB-4B93-8DF6-BE13E6E0C812}"/>
    <cellStyle name="Normal 2 10" xfId="130" xr:uid="{770F4388-7723-4358-9007-6F173F011AEB}"/>
    <cellStyle name="Normal 2 11" xfId="620" xr:uid="{59A0B28A-700D-48AB-8FC4-B15D48C4E32A}"/>
    <cellStyle name="Normal 2 12" xfId="628" xr:uid="{B38FF588-88FC-4DAB-BE2C-84AF649222E3}"/>
    <cellStyle name="Normal 2 2" xfId="131" xr:uid="{2D707B67-325E-40BC-9920-A644721A2AE8}"/>
    <cellStyle name="Normal 2 2 2" xfId="198" xr:uid="{7C93B30B-0111-4581-A946-F3EA7AD95668}"/>
    <cellStyle name="Normal 2 3" xfId="132" xr:uid="{2BD7E2DB-DD1A-4CC1-B78A-34CDE1A72EE2}"/>
    <cellStyle name="Normal 2 4" xfId="133" xr:uid="{726C7552-129A-4655-847B-26C76D5AD5D7}"/>
    <cellStyle name="Normal 2 5" xfId="134" xr:uid="{9530DCE1-0EA8-4856-B518-99F6AFB40A3D}"/>
    <cellStyle name="Normal 2 6" xfId="135" xr:uid="{33BE8C7D-94EC-4480-A42E-596E6F1C4BF3}"/>
    <cellStyle name="Normal 2 7" xfId="136" xr:uid="{31415D77-F9D7-485C-8F6F-D7A93FAE604B}"/>
    <cellStyle name="Normal 2 8" xfId="190" xr:uid="{2F236C01-5692-438D-9151-422459616B72}"/>
    <cellStyle name="Normal 2 8 2" xfId="217" xr:uid="{23DE4F56-69FA-4979-9507-A1411EDA9D69}"/>
    <cellStyle name="Normal 2 8_DFC" xfId="432" xr:uid="{947DEC44-50F2-4E28-9A50-F34E82BC33AE}"/>
    <cellStyle name="Normal 2 9" xfId="129" xr:uid="{2E545A9D-3F1D-43DC-8474-88C6DBFE08A2}"/>
    <cellStyle name="Normal 3" xfId="137" xr:uid="{4C7F64E8-AD6D-40FD-AB39-F4795D70E339}"/>
    <cellStyle name="Normal 3 2" xfId="138" xr:uid="{554CC1D4-1DEF-46D9-99BB-D10750D3B2C7}"/>
    <cellStyle name="Normal 4" xfId="139" xr:uid="{B3C6C651-0E28-4DAB-923F-A7A7D576ECB4}"/>
    <cellStyle name="Normal 4 2" xfId="140" xr:uid="{19102C0A-A21D-4175-8756-59C0694C992F}"/>
    <cellStyle name="Normal 4 3" xfId="141" xr:uid="{300BDBAF-F993-416B-BD06-0B9B7C010B64}"/>
    <cellStyle name="Normal 5" xfId="186" xr:uid="{1C61B38A-D3BF-419D-9615-F00AB405A3E9}"/>
    <cellStyle name="Normal 5 2" xfId="215" xr:uid="{9FB78E8C-687E-466C-81C1-50F791EB9B6D}"/>
    <cellStyle name="Normal 5_DFC" xfId="433" xr:uid="{AF936EEF-E5CF-46F4-B7BE-98219BE381C9}"/>
    <cellStyle name="Normal 6" xfId="187" xr:uid="{67011288-1278-49CC-9BF1-6B47D642CD9B}"/>
    <cellStyle name="Normal 7" xfId="188" xr:uid="{F2722449-3332-415B-8433-F03E80BEF013}"/>
    <cellStyle name="Normal 7 2" xfId="192" xr:uid="{03F07B48-9075-4565-BEFF-26610034C59E}"/>
    <cellStyle name="Normal 7 2 2" xfId="194" xr:uid="{3CC9A7B1-D5D4-487F-A0B4-BF1F28D387D2}"/>
    <cellStyle name="Normal 7 2_DFC" xfId="434" xr:uid="{2E526270-9C16-4709-9D2F-5CA9E2588AAA}"/>
    <cellStyle name="Normal 8" xfId="196" xr:uid="{E29BAE14-6802-4E2C-A104-D0E69F58DFE4}"/>
    <cellStyle name="Normal 9" xfId="199" xr:uid="{D7C66080-060F-4AA8-846C-FBAAD91ADF23}"/>
    <cellStyle name="Normal 9 2" xfId="202" xr:uid="{81E026C5-CFFB-4B18-B11E-6038459F28B8}"/>
    <cellStyle name="Normal 9_DFC" xfId="435" xr:uid="{3E50B697-3488-4DD9-AEA5-8C0D6B537A4D}"/>
    <cellStyle name="Normal_SHEET 2" xfId="8" xr:uid="{3416310C-778B-40E8-AFF5-74F27EFAC8BB}"/>
    <cellStyle name="Normal_Worksheet in 2273 Relatório Dez 07 Controladora" xfId="5" xr:uid="{C07CF0BF-A67A-4EFE-B039-E28A98523463}"/>
    <cellStyle name="Normal_Worksheet in 2292 OAS Engenharia e Participações Relatórios das DF'S de 31.01.2003" xfId="9" xr:uid="{323B9BF5-55D2-41FA-B538-5CDC2ACD0E93}"/>
    <cellStyle name="Nota 2" xfId="197" xr:uid="{7CAD7D71-DD5A-4C64-BE77-311BFD3D71E6}"/>
    <cellStyle name="Nota 2 2" xfId="220" xr:uid="{11FFBDEB-072B-4347-B2EF-BCE0CD34587B}"/>
    <cellStyle name="Nota 2 2 2" xfId="243" xr:uid="{FD68A4DF-9288-4E37-9C4A-3274E4389EB7}"/>
    <cellStyle name="Nota 2 2 2 2" xfId="336" xr:uid="{6A54E6C3-176A-4276-ADAE-A86BD6606B3F}"/>
    <cellStyle name="Nota 2 2 2 2 2" xfId="428" xr:uid="{ECAF9E96-7D40-4328-9451-3759EE424D91}"/>
    <cellStyle name="Nota 2 2 2 2 2 2" xfId="617" xr:uid="{4F19EC4A-6B78-4A5C-96BB-A37B1F3C7AB4}"/>
    <cellStyle name="Nota 2 2 2 2 3" xfId="525" xr:uid="{242546A6-53AD-4F19-92BD-172575A56502}"/>
    <cellStyle name="Nota 2 2 2 3" xfId="382" xr:uid="{E8A6ECC1-13C7-4673-9F6B-CCDFECB8DEF7}"/>
    <cellStyle name="Nota 2 2 2 3 2" xfId="571" xr:uid="{BB47CDA9-5733-49C5-BA27-C351557627F1}"/>
    <cellStyle name="Nota 2 2 2 4" xfId="290" xr:uid="{9690511E-426E-46BA-BD43-FD2CE1573329}"/>
    <cellStyle name="Nota 2 2 2 5" xfId="479" xr:uid="{9BE7BE13-FB83-4BA3-84B8-5E5CD91307BC}"/>
    <cellStyle name="Nota 2 2 3" xfId="313" xr:uid="{EEC65671-F626-417E-97B6-49FB7020F07D}"/>
    <cellStyle name="Nota 2 2 3 2" xfId="405" xr:uid="{18A1E6D6-3DBD-41C8-A38F-6F750A8CE9AB}"/>
    <cellStyle name="Nota 2 2 3 2 2" xfId="594" xr:uid="{690115C6-70BE-4BA8-9684-4D4558ACDB49}"/>
    <cellStyle name="Nota 2 2 3 3" xfId="502" xr:uid="{25668B3C-9ABD-42EA-8693-1D31ACFA0D52}"/>
    <cellStyle name="Nota 2 2 4" xfId="359" xr:uid="{F1D385EB-E96D-49AF-8101-E108F4CA965C}"/>
    <cellStyle name="Nota 2 2 4 2" xfId="548" xr:uid="{22DD7810-351F-4B89-A750-C432FC1DD395}"/>
    <cellStyle name="Nota 2 2 5" xfId="267" xr:uid="{511812DA-E30E-449C-AAFA-9B78789AD373}"/>
    <cellStyle name="Nota 2 2 6" xfId="456" xr:uid="{08B868D9-EA59-4ABD-8B47-AB16A2681A44}"/>
    <cellStyle name="Nota 2 3" xfId="227" xr:uid="{5E21A59E-D42A-4AAA-B5D7-A8C05B5E7BB2}"/>
    <cellStyle name="Nota 2 3 2" xfId="320" xr:uid="{26CCF786-BAFE-4918-8D96-83AB08168CF5}"/>
    <cellStyle name="Nota 2 3 2 2" xfId="412" xr:uid="{3003B971-5959-430E-B5F3-5A814018F634}"/>
    <cellStyle name="Nota 2 3 2 2 2" xfId="601" xr:uid="{49646DBF-D313-4F97-920B-B08C63C5D478}"/>
    <cellStyle name="Nota 2 3 2 3" xfId="509" xr:uid="{E60822E3-F904-454A-9952-5CED8CDCADE8}"/>
    <cellStyle name="Nota 2 3 3" xfId="366" xr:uid="{17517318-5C25-4C7F-9141-9175FD43D4C1}"/>
    <cellStyle name="Nota 2 3 3 2" xfId="555" xr:uid="{537B895B-5788-4D38-9028-C91FBFEA7ECD}"/>
    <cellStyle name="Nota 2 3 4" xfId="274" xr:uid="{457444B5-7A7A-4F6A-BC30-B226D8BC74EA}"/>
    <cellStyle name="Nota 2 3 5" xfId="463" xr:uid="{6107B001-14D3-4E9B-99E7-6429F7D67890}"/>
    <cellStyle name="Nota 2 4" xfId="297" xr:uid="{C971077F-A4F3-4768-A990-CF22B5FF4EA0}"/>
    <cellStyle name="Nota 2 4 2" xfId="389" xr:uid="{84E39591-7888-462B-874E-DBAC6B368563}"/>
    <cellStyle name="Nota 2 4 2 2" xfId="578" xr:uid="{3DDAEC16-3B99-4F46-AB0F-DD4C03B3586B}"/>
    <cellStyle name="Nota 2 4 3" xfId="486" xr:uid="{369BAA3D-ABF8-47A1-9C01-E25D349902A2}"/>
    <cellStyle name="Nota 2 5" xfId="343" xr:uid="{869125E9-602B-4BC2-A715-C7D38A105C02}"/>
    <cellStyle name="Nota 2 5 2" xfId="532" xr:uid="{7E53493E-3E8A-43C0-B9C7-95C21F68BD5E}"/>
    <cellStyle name="Nota 2 6" xfId="251" xr:uid="{2F01C319-398B-402E-988A-D261CFA01E26}"/>
    <cellStyle name="Nota 2 7" xfId="440" xr:uid="{96568DAC-76F6-4AC7-93C9-8A4CCC201B59}"/>
    <cellStyle name="Nota 3" xfId="142" xr:uid="{1D109545-7FE8-4E08-AEE8-37EFA4841537}"/>
    <cellStyle name="Note 2" xfId="143" xr:uid="{D0DB4B2D-2387-43D6-9EAB-341C54DC98FD}"/>
    <cellStyle name="Note 3" xfId="144" xr:uid="{9FAFD055-595B-4D9B-BD59-18B921DED1D5}"/>
    <cellStyle name="Output 2" xfId="145" xr:uid="{13B637EC-3ABF-4F35-9B5A-4B5CCF8E1DE4}"/>
    <cellStyle name="Output 3" xfId="146" xr:uid="{A5F4DB06-EECA-437C-82BD-A65047026C98}"/>
    <cellStyle name="Percent %" xfId="147" xr:uid="{A2C5164E-058C-4E6A-9383-E025C823B2F1}"/>
    <cellStyle name="Percent % Long Underline" xfId="148" xr:uid="{61C3AC1D-D825-4560-8C69-663C275678A7}"/>
    <cellStyle name="Percent (0)" xfId="149" xr:uid="{F746394F-EBBE-4389-8FC0-72240BA01814}"/>
    <cellStyle name="Percent 0.0%" xfId="150" xr:uid="{4FB32541-ADC2-4483-828E-CB9B85410358}"/>
    <cellStyle name="Percent 0.0% Long Underline" xfId="151" xr:uid="{6FC5F8D9-344A-48F0-9EDC-3186ECF80FD7}"/>
    <cellStyle name="Percent 0.00%" xfId="152" xr:uid="{3F5D77DB-9F3A-4CD1-9CA0-D6DCDD095F1B}"/>
    <cellStyle name="Percent 0.00% Long Underline" xfId="153" xr:uid="{6DF678FC-EA28-453A-9CD6-D138E4F008A4}"/>
    <cellStyle name="Percent 0.000%" xfId="154" xr:uid="{9CAE2192-8380-4AAE-AE66-8B63759F1B63}"/>
    <cellStyle name="Percent 0.000% Long Underline" xfId="155" xr:uid="{02170C34-75E8-458B-BBA9-E2F344A26E24}"/>
    <cellStyle name="Percent 2" xfId="156" xr:uid="{7B9C016A-7A30-4382-886D-2BCF77B22EFC}"/>
    <cellStyle name="Percent 2 2" xfId="157" xr:uid="{872C5798-0E2B-4563-9024-D43059E0C4B5}"/>
    <cellStyle name="Percent 3" xfId="158" xr:uid="{FB516674-1449-46DA-9D87-6C57A1BBD670}"/>
    <cellStyle name="Percent 4" xfId="159" xr:uid="{FA548C83-2499-4C67-B4F2-1922904F89AE}"/>
    <cellStyle name="Porcentagem" xfId="3" builtinId="5"/>
    <cellStyle name="Porcentagem 2" xfId="160" xr:uid="{7640C1AD-AED2-480E-B21E-A2BA4A12D4B4}"/>
    <cellStyle name="Porcentagem 2 2" xfId="625" xr:uid="{55DFBCA1-F1E9-400D-952A-7A38C81E6C82}"/>
    <cellStyle name="Porcentagem 3" xfId="7" xr:uid="{B635090E-5DE4-488C-8805-875FBE65B78E}"/>
    <cellStyle name="PSChar" xfId="161" xr:uid="{D5866B7E-01E4-4FA6-84E1-45845C97D4A4}"/>
    <cellStyle name="Section name" xfId="162" xr:uid="{53FF23FB-5ED8-4DEE-985B-A17931DDB7A7}"/>
    <cellStyle name="Separador de m" xfId="163" xr:uid="{B4ECF6F3-8180-4E46-86C2-645A16AB14B1}"/>
    <cellStyle name="Separador de milhares 2" xfId="164" xr:uid="{5F6119F7-A2DC-487A-824B-4B378EF0966E}"/>
    <cellStyle name="Separador de milhares 2 2" xfId="191" xr:uid="{99418B78-B348-411A-96C1-9F13F6FB363A}"/>
    <cellStyle name="Separador de milhares 2 2 2" xfId="218" xr:uid="{D7EC9898-D654-48F6-B66E-BDEBDA97C554}"/>
    <cellStyle name="Separador de milhares 2 2 2 2" xfId="241" xr:uid="{CCDDA381-0F9C-423B-82CE-477A051458B2}"/>
    <cellStyle name="Separador de milhares 2 2 2 2 2" xfId="334" xr:uid="{132719A1-5C89-4C84-B1D9-BFD1D57E3F86}"/>
    <cellStyle name="Separador de milhares 2 2 2 2 2 2" xfId="426" xr:uid="{DF6EEB3F-25D8-43D9-B35C-2CA15FE288E3}"/>
    <cellStyle name="Separador de milhares 2 2 2 2 2 2 2" xfId="615" xr:uid="{C9EB4343-626B-407F-9368-0C96E3B183DF}"/>
    <cellStyle name="Separador de milhares 2 2 2 2 2 3" xfId="523" xr:uid="{DDCD455D-3893-48B5-B9A5-4FB3E70DE023}"/>
    <cellStyle name="Separador de milhares 2 2 2 2 3" xfId="380" xr:uid="{856B2F72-8219-4CDF-B77D-76EBF22C84F0}"/>
    <cellStyle name="Separador de milhares 2 2 2 2 3 2" xfId="569" xr:uid="{76793C92-4D9B-4AB0-B67D-B1CC71960B87}"/>
    <cellStyle name="Separador de milhares 2 2 2 2 4" xfId="288" xr:uid="{28051D7E-FBDA-4A81-B194-009F6FCB4D9C}"/>
    <cellStyle name="Separador de milhares 2 2 2 2 5" xfId="477" xr:uid="{07610E14-FD78-4506-AFF9-50E7D2261CF9}"/>
    <cellStyle name="Separador de milhares 2 2 2 3" xfId="311" xr:uid="{4F96CA21-430C-495B-89E1-B518C4CAD7C6}"/>
    <cellStyle name="Separador de milhares 2 2 2 3 2" xfId="403" xr:uid="{8808FD5E-91E6-4924-B1CC-B2AD6A49704D}"/>
    <cellStyle name="Separador de milhares 2 2 2 3 2 2" xfId="592" xr:uid="{A722493B-36BE-48F7-BFD9-E85EDAB74AC0}"/>
    <cellStyle name="Separador de milhares 2 2 2 3 3" xfId="500" xr:uid="{E92A6587-BACA-4061-A151-0FCC1CA562C2}"/>
    <cellStyle name="Separador de milhares 2 2 2 4" xfId="357" xr:uid="{EBF1B06B-2145-43B7-96CA-2DDBEA2785E4}"/>
    <cellStyle name="Separador de milhares 2 2 2 4 2" xfId="546" xr:uid="{2D0F9011-0E48-42DD-991E-9ADC79792915}"/>
    <cellStyle name="Separador de milhares 2 2 2 5" xfId="265" xr:uid="{450BF864-091D-4D3D-B4C7-F10A5886F936}"/>
    <cellStyle name="Separador de milhares 2 2 2 6" xfId="454" xr:uid="{B1627192-9A30-4F89-AAAE-A311C9B4E2A9}"/>
    <cellStyle name="Separador de milhares 2 3" xfId="212" xr:uid="{7DA4CDAE-31D6-414B-9731-18CD9A0AB323}"/>
    <cellStyle name="Separador de milhares 2 3 2" xfId="237" xr:uid="{3C2C3962-C3F6-48EB-9473-F31A158EAF54}"/>
    <cellStyle name="Separador de milhares 2 3 2 2" xfId="330" xr:uid="{3563759D-B359-4F19-9745-59B58B7E5BCE}"/>
    <cellStyle name="Separador de milhares 2 3 2 2 2" xfId="422" xr:uid="{0AC20A22-AB0E-4931-AFCE-D2CF4CA9031B}"/>
    <cellStyle name="Separador de milhares 2 3 2 2 2 2" xfId="611" xr:uid="{EA2137B6-C196-408B-A8D5-F3554F0257FF}"/>
    <cellStyle name="Separador de milhares 2 3 2 2 3" xfId="519" xr:uid="{AB862F6E-07F9-4AE8-ADD1-FF8212A12B2B}"/>
    <cellStyle name="Separador de milhares 2 3 2 3" xfId="376" xr:uid="{BB394625-E6E8-44D4-8E14-DD9204DD57CD}"/>
    <cellStyle name="Separador de milhares 2 3 2 3 2" xfId="565" xr:uid="{03ED9CD2-2B3B-489A-B7CA-0B649403ECA7}"/>
    <cellStyle name="Separador de milhares 2 3 2 4" xfId="284" xr:uid="{63CA7DD5-21F2-42C7-B6B1-7E5D33E2E8B0}"/>
    <cellStyle name="Separador de milhares 2 3 2 5" xfId="473" xr:uid="{38D007D8-D73F-4A23-82B3-AD56E799B34D}"/>
    <cellStyle name="Separador de milhares 2 3 3" xfId="307" xr:uid="{B05185D2-47BE-4C80-A923-0519C10CCC95}"/>
    <cellStyle name="Separador de milhares 2 3 3 2" xfId="399" xr:uid="{7579CD10-D94C-4264-ABEA-52E2E19083A8}"/>
    <cellStyle name="Separador de milhares 2 3 3 2 2" xfId="588" xr:uid="{E8226961-B61C-4432-A2CA-C7BC4F14F1D4}"/>
    <cellStyle name="Separador de milhares 2 3 3 3" xfId="496" xr:uid="{8E2A7385-22F8-471F-98D2-D818DE7AB0F2}"/>
    <cellStyle name="Separador de milhares 2 3 4" xfId="353" xr:uid="{17C959B6-37AC-4085-8183-87EDF55E6ED5}"/>
    <cellStyle name="Separador de milhares 2 3 4 2" xfId="542" xr:uid="{E547A7E2-E7D4-4AC5-A6ED-82D728195A8C}"/>
    <cellStyle name="Separador de milhares 2 3 5" xfId="261" xr:uid="{272F7F76-B74C-49EF-B8DE-45BF2C864239}"/>
    <cellStyle name="Separador de milhares 2 3 6" xfId="450" xr:uid="{58BC286D-2DF9-432C-B540-9CC411C8EF78}"/>
    <cellStyle name="Separador de milhares 3" xfId="165" xr:uid="{B372F555-C9D6-454A-985A-7AA7045D4214}"/>
    <cellStyle name="Separador de milhares 3 2" xfId="213" xr:uid="{429C16AD-3B2B-441A-B08E-3A9643EBC6B8}"/>
    <cellStyle name="Separador de milhares 3 2 2" xfId="238" xr:uid="{3871B64B-39E7-4069-B906-1133E14BE5C6}"/>
    <cellStyle name="Separador de milhares 3 2 2 2" xfId="331" xr:uid="{53FAF6DA-463A-4A0D-B9D5-7F2BD4815877}"/>
    <cellStyle name="Separador de milhares 3 2 2 2 2" xfId="423" xr:uid="{A2A95CD2-ECF5-49F2-A700-1921EF6F50C5}"/>
    <cellStyle name="Separador de milhares 3 2 2 2 2 2" xfId="612" xr:uid="{4C8DD9E5-D80F-48DC-A6FB-7CB78FEF92E6}"/>
    <cellStyle name="Separador de milhares 3 2 2 2 3" xfId="520" xr:uid="{3B34E2F1-CB50-49AD-A10A-9E15A0CAF539}"/>
    <cellStyle name="Separador de milhares 3 2 2 3" xfId="377" xr:uid="{D9658A03-FFF3-4BB3-B944-104BDA079CC5}"/>
    <cellStyle name="Separador de milhares 3 2 2 3 2" xfId="566" xr:uid="{17392442-F6D0-4F0C-A6C7-5D48A4F6E3AE}"/>
    <cellStyle name="Separador de milhares 3 2 2 4" xfId="285" xr:uid="{3F8214C0-610F-4B99-A785-A77FAE9CCA8A}"/>
    <cellStyle name="Separador de milhares 3 2 2 5" xfId="474" xr:uid="{911A6047-1312-4CCE-B79D-E5764858936F}"/>
    <cellStyle name="Separador de milhares 3 2 3" xfId="308" xr:uid="{6BC7A510-33EF-493C-BE65-BD8B0284D054}"/>
    <cellStyle name="Separador de milhares 3 2 3 2" xfId="400" xr:uid="{9CA4B9EE-6007-4B2A-B1E4-BD949B803F63}"/>
    <cellStyle name="Separador de milhares 3 2 3 2 2" xfId="589" xr:uid="{B53D78C6-C46A-4948-A483-C7C94D073A96}"/>
    <cellStyle name="Separador de milhares 3 2 3 3" xfId="497" xr:uid="{13FFEA48-9A4B-4EC2-B8B2-EDE32EF2D114}"/>
    <cellStyle name="Separador de milhares 3 2 4" xfId="354" xr:uid="{AEE5C0B9-C5E5-4FF1-8BC2-06D8404ECAA2}"/>
    <cellStyle name="Separador de milhares 3 2 4 2" xfId="543" xr:uid="{783C0A58-57A8-4F42-BE53-02503F9B0788}"/>
    <cellStyle name="Separador de milhares 3 2 5" xfId="262" xr:uid="{761E36BD-3CFA-40F0-98E8-AE41D45C042D}"/>
    <cellStyle name="Separador de milhares 3 2 6" xfId="451" xr:uid="{97E92F26-75D6-4048-A9BC-30E7364826D4}"/>
    <cellStyle name="Separador de milhares 4" xfId="189" xr:uid="{DD4F5CA2-38A6-4FFE-ABAB-A9F869C2397D}"/>
    <cellStyle name="Separador de milhares 4 2" xfId="216" xr:uid="{D0555AAD-C570-4E82-9A9C-668856E6854F}"/>
    <cellStyle name="Separador de milhares 4 2 2" xfId="240" xr:uid="{11A16C95-B034-468F-B1B7-7C3BD9C4C07A}"/>
    <cellStyle name="Separador de milhares 4 2 2 2" xfId="333" xr:uid="{67273D5D-082F-48DB-B415-D374F1F0105A}"/>
    <cellStyle name="Separador de milhares 4 2 2 2 2" xfId="425" xr:uid="{655C7A48-6E7B-43A6-BB44-B3422E2002CD}"/>
    <cellStyle name="Separador de milhares 4 2 2 2 2 2" xfId="614" xr:uid="{59E56360-D187-4876-A4CD-DB85C5FFA5FB}"/>
    <cellStyle name="Separador de milhares 4 2 2 2 3" xfId="522" xr:uid="{54972DE3-B4BA-4F8B-B593-C59D637281C5}"/>
    <cellStyle name="Separador de milhares 4 2 2 3" xfId="379" xr:uid="{21DBDA7B-DDB8-4486-A73B-6622F2E354CE}"/>
    <cellStyle name="Separador de milhares 4 2 2 3 2" xfId="568" xr:uid="{35AA65DC-B418-443F-B135-12E14BAE4A87}"/>
    <cellStyle name="Separador de milhares 4 2 2 4" xfId="287" xr:uid="{5EFC5DF0-F7EA-42D1-8A48-546FB4EC343C}"/>
    <cellStyle name="Separador de milhares 4 2 2 5" xfId="476" xr:uid="{B2117502-89FF-4FB8-B696-3A860CB133A9}"/>
    <cellStyle name="Separador de milhares 4 2 3" xfId="310" xr:uid="{95BD87DA-3EA1-4BBB-A34F-C404447E08B0}"/>
    <cellStyle name="Separador de milhares 4 2 3 2" xfId="402" xr:uid="{FB3A75A2-489A-4BF2-9556-2A53D71FB78B}"/>
    <cellStyle name="Separador de milhares 4 2 3 2 2" xfId="591" xr:uid="{33B02924-CBA1-4362-B923-A6E424AA3438}"/>
    <cellStyle name="Separador de milhares 4 2 3 3" xfId="499" xr:uid="{A001C433-5A20-4711-B4EC-49647527FA52}"/>
    <cellStyle name="Separador de milhares 4 2 4" xfId="356" xr:uid="{77184203-31CB-43A4-A51D-18937857D532}"/>
    <cellStyle name="Separador de milhares 4 2 4 2" xfId="545" xr:uid="{8BCD5872-4570-4E19-82C5-16D4531CC01E}"/>
    <cellStyle name="Separador de milhares 4 2 5" xfId="264" xr:uid="{6A1BCE56-75AB-4221-BD66-3D7A226D4DBB}"/>
    <cellStyle name="Separador de milhares 4 2 6" xfId="453" xr:uid="{5C19C96B-64EC-4C37-8AFE-F111A590D720}"/>
    <cellStyle name="Separador de milhares 5" xfId="193" xr:uid="{D865F7AC-538D-4605-A4BD-EE2C3230C5AF}"/>
    <cellStyle name="Separador de milhares 6" xfId="195" xr:uid="{30F3B70D-73E9-448D-83E8-AB92EF28AA18}"/>
    <cellStyle name="Separador de milhares 6 2" xfId="219" xr:uid="{28A4790F-32B8-4F76-A2F6-CECDA69C2269}"/>
    <cellStyle name="Separador de milhares 6 2 2" xfId="242" xr:uid="{E084EE6C-FB29-4DBD-B8B5-1BEF8CCB857C}"/>
    <cellStyle name="Separador de milhares 6 2 2 2" xfId="335" xr:uid="{996D2146-A301-4938-AF3A-AA95CD9B356F}"/>
    <cellStyle name="Separador de milhares 6 2 2 2 2" xfId="427" xr:uid="{6E2325E0-95DD-4703-990A-A6834267CD4D}"/>
    <cellStyle name="Separador de milhares 6 2 2 2 2 2" xfId="616" xr:uid="{5C177C25-6587-4C3F-9E5A-2C2319097419}"/>
    <cellStyle name="Separador de milhares 6 2 2 2 3" xfId="524" xr:uid="{787923B7-803B-4751-9F05-A4F03239E8E2}"/>
    <cellStyle name="Separador de milhares 6 2 2 3" xfId="381" xr:uid="{509C7B2F-8F2A-4822-B8AD-A7EB900DDE09}"/>
    <cellStyle name="Separador de milhares 6 2 2 3 2" xfId="570" xr:uid="{E232AD5B-4C31-47E8-805B-EAA0793831B9}"/>
    <cellStyle name="Separador de milhares 6 2 2 4" xfId="289" xr:uid="{CCC2200A-426D-4AF3-8F8D-132108C3D0B0}"/>
    <cellStyle name="Separador de milhares 6 2 2 5" xfId="478" xr:uid="{DBD9D044-E6C2-4CF3-B700-049C84183662}"/>
    <cellStyle name="Separador de milhares 6 2 3" xfId="312" xr:uid="{E4664413-7E87-4F28-80BE-12B197DDE9DD}"/>
    <cellStyle name="Separador de milhares 6 2 3 2" xfId="404" xr:uid="{9AA0D0A5-33DD-4E42-9A3B-2A031F26D227}"/>
    <cellStyle name="Separador de milhares 6 2 3 2 2" xfId="593" xr:uid="{328AB539-FEFD-493E-A7FE-D675B3641C22}"/>
    <cellStyle name="Separador de milhares 6 2 3 3" xfId="501" xr:uid="{B2717F67-D634-422B-9149-3B8B6ABF3C34}"/>
    <cellStyle name="Separador de milhares 6 2 4" xfId="358" xr:uid="{5BAA649A-77F4-4556-8FFE-4C7B627605C3}"/>
    <cellStyle name="Separador de milhares 6 2 4 2" xfId="547" xr:uid="{B83FDD2E-A39F-418E-9841-BCEFD5952206}"/>
    <cellStyle name="Separador de milhares 6 2 5" xfId="266" xr:uid="{6D8073E9-2BE8-457B-B821-1310C2AD9DA9}"/>
    <cellStyle name="Separador de milhares 6 2 6" xfId="455" xr:uid="{90A28451-BD24-495C-8539-41F2F0160ADC}"/>
    <cellStyle name="Separador de milhares 6 3" xfId="226" xr:uid="{F5983ABD-3144-45E9-8268-1251E6F8B9D9}"/>
    <cellStyle name="Separador de milhares 6 3 2" xfId="319" xr:uid="{4D50AEBC-3868-47FD-AF53-811616BF7D64}"/>
    <cellStyle name="Separador de milhares 6 3 2 2" xfId="411" xr:uid="{C7C23461-BD78-44D3-B824-0165A76057D7}"/>
    <cellStyle name="Separador de milhares 6 3 2 2 2" xfId="600" xr:uid="{0D77FBE4-754E-4707-B3AD-FD537B68239D}"/>
    <cellStyle name="Separador de milhares 6 3 2 3" xfId="508" xr:uid="{7494A5A3-2689-4146-9D46-C9CC9B8566DE}"/>
    <cellStyle name="Separador de milhares 6 3 3" xfId="365" xr:uid="{40EDF9E9-9962-4B1E-89DF-E5205409D0A4}"/>
    <cellStyle name="Separador de milhares 6 3 3 2" xfId="554" xr:uid="{A72143A6-9E7A-4D2F-8ECF-414ADC62DBCB}"/>
    <cellStyle name="Separador de milhares 6 3 4" xfId="273" xr:uid="{E3BBB841-5D22-459C-9C5E-E1D969E16390}"/>
    <cellStyle name="Separador de milhares 6 3 5" xfId="462" xr:uid="{A4D28880-BBFA-43F6-8A46-EAEF65A456E2}"/>
    <cellStyle name="Separador de milhares 6 4" xfId="296" xr:uid="{A0A42F0A-791B-45DC-845D-6160C6385253}"/>
    <cellStyle name="Separador de milhares 6 4 2" xfId="388" xr:uid="{7DBEEB48-264E-422D-9E6A-186EB7400E57}"/>
    <cellStyle name="Separador de milhares 6 4 2 2" xfId="577" xr:uid="{45FBE5B4-9D94-4F5A-B548-9E67F2942999}"/>
    <cellStyle name="Separador de milhares 6 4 3" xfId="485" xr:uid="{D0A82454-0D6F-4800-B5C9-D7587BC2CF41}"/>
    <cellStyle name="Separador de milhares 6 5" xfId="342" xr:uid="{DE96DF41-B79C-45BC-B88E-17BA0D4025C8}"/>
    <cellStyle name="Separador de milhares 6 5 2" xfId="531" xr:uid="{8AA6E7F8-FC77-4BCB-80D7-E9D605C64430}"/>
    <cellStyle name="Separador de milhares 6 6" xfId="250" xr:uid="{FC15CB0E-B9AF-4BE9-B5BD-72CC216A7E71}"/>
    <cellStyle name="Separador de milhares 6 7" xfId="439" xr:uid="{84685B47-F1B6-4C0B-8D3D-148A6C891F1F}"/>
    <cellStyle name="Separador de milhares 7" xfId="201" xr:uid="{9871A569-5337-41F1-929A-3658542FEBB9}"/>
    <cellStyle name="Separador de milhares 7 2" xfId="222" xr:uid="{E890E00B-DDAE-4E08-A4D5-9F856C0A8FCE}"/>
    <cellStyle name="Separador de milhares 7 2 2" xfId="245" xr:uid="{93105385-121B-400B-90FD-918F5B0DAD71}"/>
    <cellStyle name="Separador de milhares 7 2 2 2" xfId="338" xr:uid="{D1D7BB85-EF6D-4809-8B2F-F2320E53E44D}"/>
    <cellStyle name="Separador de milhares 7 2 2 2 2" xfId="430" xr:uid="{D25DA486-0C4A-4569-A01E-9ABE626A3298}"/>
    <cellStyle name="Separador de milhares 7 2 2 2 2 2" xfId="619" xr:uid="{0792ECE8-7DBD-4576-9331-FFF2E56966DD}"/>
    <cellStyle name="Separador de milhares 7 2 2 2 3" xfId="527" xr:uid="{A40B2417-8EE2-474A-9D1C-EC42875D95EB}"/>
    <cellStyle name="Separador de milhares 7 2 2 3" xfId="384" xr:uid="{0F5259BC-F890-4ABC-813F-6C399B40CB27}"/>
    <cellStyle name="Separador de milhares 7 2 2 3 2" xfId="573" xr:uid="{AA2441C0-CB39-4F81-9E56-3516808CC1E5}"/>
    <cellStyle name="Separador de milhares 7 2 2 4" xfId="292" xr:uid="{02E06414-1060-453D-A71D-A4DACE771A2A}"/>
    <cellStyle name="Separador de milhares 7 2 2 5" xfId="481" xr:uid="{DA2AF020-F6B4-40DB-B58B-218F9A4E6439}"/>
    <cellStyle name="Separador de milhares 7 2 3" xfId="315" xr:uid="{0D84FFB1-18EC-4EEE-961B-F5F19E354B7B}"/>
    <cellStyle name="Separador de milhares 7 2 3 2" xfId="407" xr:uid="{D91F6218-0EED-43D8-AEA7-EE6A29A54F0F}"/>
    <cellStyle name="Separador de milhares 7 2 3 2 2" xfId="596" xr:uid="{B1082280-53A6-4230-80EF-DB94F5306EE6}"/>
    <cellStyle name="Separador de milhares 7 2 3 3" xfId="504" xr:uid="{3AC1243D-7A64-49C7-8D23-372984E66AC9}"/>
    <cellStyle name="Separador de milhares 7 2 4" xfId="361" xr:uid="{2379227B-A015-4C1F-ACE5-ABF65E9D05B2}"/>
    <cellStyle name="Separador de milhares 7 2 4 2" xfId="550" xr:uid="{D41656F2-A81D-41DE-80E6-B603D7DF91A4}"/>
    <cellStyle name="Separador de milhares 7 2 5" xfId="269" xr:uid="{6A2B9EAB-03B7-4931-A415-5795F722EB5E}"/>
    <cellStyle name="Separador de milhares 7 2 6" xfId="458" xr:uid="{F7579CD1-2567-4FF8-89BC-9C90FB8A0F45}"/>
    <cellStyle name="Separador de milhares 7 3" xfId="228" xr:uid="{C16A8FAF-CFCE-42F3-A8DE-B644F58C60BE}"/>
    <cellStyle name="Separador de milhares 7 3 2" xfId="321" xr:uid="{08F67290-7CA1-4E1C-8492-1C1449CF4F6A}"/>
    <cellStyle name="Separador de milhares 7 3 2 2" xfId="413" xr:uid="{B6873D38-6610-4031-91B0-F664EC9E0403}"/>
    <cellStyle name="Separador de milhares 7 3 2 2 2" xfId="602" xr:uid="{5F56B960-57D1-4FD4-8512-60B5BC573C54}"/>
    <cellStyle name="Separador de milhares 7 3 2 3" xfId="510" xr:uid="{1B63F22B-ADD2-4A89-8235-F115D35BED3E}"/>
    <cellStyle name="Separador de milhares 7 3 3" xfId="367" xr:uid="{262A4940-0371-44A6-A6FF-65F249D305AC}"/>
    <cellStyle name="Separador de milhares 7 3 3 2" xfId="556" xr:uid="{1CFF97DD-FEE4-4410-8F49-6DF8FF3D93A8}"/>
    <cellStyle name="Separador de milhares 7 3 4" xfId="275" xr:uid="{994BE01B-096D-45F4-A793-2F0E97AF99A9}"/>
    <cellStyle name="Separador de milhares 7 3 5" xfId="464" xr:uid="{5C52189F-BA7B-4C10-8417-7EE8EE7F235E}"/>
    <cellStyle name="Separador de milhares 7 4" xfId="298" xr:uid="{FB0492B0-C9CF-4C65-A8B8-7B990FBA8267}"/>
    <cellStyle name="Separador de milhares 7 4 2" xfId="390" xr:uid="{04760907-4077-4DEC-B065-37090925C227}"/>
    <cellStyle name="Separador de milhares 7 4 2 2" xfId="579" xr:uid="{FB9204A7-6E61-4B07-AADB-3AB65279C0C5}"/>
    <cellStyle name="Separador de milhares 7 4 3" xfId="487" xr:uid="{9B0452EE-310B-4560-927F-0D1C2EB1A5B6}"/>
    <cellStyle name="Separador de milhares 7 5" xfId="344" xr:uid="{8C8930F3-92C1-4600-AA18-E7309920566D}"/>
    <cellStyle name="Separador de milhares 7 5 2" xfId="533" xr:uid="{D9146198-8032-49DB-8C79-05851F4690CA}"/>
    <cellStyle name="Separador de milhares 7 6" xfId="252" xr:uid="{4EB55757-986E-4039-9B07-413F3D79FFE6}"/>
    <cellStyle name="Separador de milhares 7 7" xfId="441" xr:uid="{3BEADE49-2F78-41D0-B4BE-3A7AA81025AB}"/>
    <cellStyle name="SubHead" xfId="166" xr:uid="{F7418BA0-11EC-489D-A9FA-0C89C60942A1}"/>
    <cellStyle name="SubHeading" xfId="167" xr:uid="{794A905A-7E05-4E8D-A4FD-B6E529099282}"/>
    <cellStyle name="Texto de Aviso 2" xfId="168" xr:uid="{F104BC28-F711-4BC8-8C1B-4A97F6B6BF01}"/>
    <cellStyle name="Tickmark" xfId="169" xr:uid="{4DCC4371-E8B9-4997-BA1F-16235600187C}"/>
    <cellStyle name="Title 2" xfId="170" xr:uid="{D6D586B2-D3C8-4D24-8321-7E4516F03B49}"/>
    <cellStyle name="Title 3" xfId="171" xr:uid="{02AFC436-B78C-4527-93FB-58E764C85DDD}"/>
    <cellStyle name="Titulo1" xfId="172" xr:uid="{07DE4B36-F243-43F3-8B6D-52545BBF042F}"/>
    <cellStyle name="Total 2" xfId="173" xr:uid="{D6818BCE-6D1B-49C8-999F-654B10C9FB28}"/>
    <cellStyle name="Total 3" xfId="174" xr:uid="{D010B2B4-4063-4C1B-83F4-45AFE3E2DB0A}"/>
    <cellStyle name="Um usuário do Microsoft Office satisfeito" xfId="175" xr:uid="{0D158E88-8446-457A-BC47-4EA7F7553DB1}"/>
    <cellStyle name="Um usuário do Microsoft Office satisfeito 2" xfId="214" xr:uid="{41ED28EC-C133-458F-A22E-1279BF301F98}"/>
    <cellStyle name="Um usuário do Microsoft Office satisfeito 2 2" xfId="239" xr:uid="{05E65C1D-1089-409E-910D-53A0C2FFB4E7}"/>
    <cellStyle name="Um usuário do Microsoft Office satisfeito 2 2 2" xfId="332" xr:uid="{2BD9DCD1-445F-4E5C-8D52-EAF70DF633D7}"/>
    <cellStyle name="Um usuário do Microsoft Office satisfeito 2 2 2 2" xfId="424" xr:uid="{88FF06C3-462A-4D57-BFE4-C2AFD8122991}"/>
    <cellStyle name="Um usuário do Microsoft Office satisfeito 2 2 2 2 2" xfId="613" xr:uid="{F6B6F14A-E506-4712-8E31-FA7250D76434}"/>
    <cellStyle name="Um usuário do Microsoft Office satisfeito 2 2 2 3" xfId="521" xr:uid="{18A7ACAF-27ED-468E-A761-4AA8B239AFBC}"/>
    <cellStyle name="Um usuário do Microsoft Office satisfeito 2 2 3" xfId="378" xr:uid="{854FA0AB-B4EB-457D-962D-B94D5820615B}"/>
    <cellStyle name="Um usuário do Microsoft Office satisfeito 2 2 3 2" xfId="567" xr:uid="{96E32378-FA86-49FD-8855-C066DF6CA4DB}"/>
    <cellStyle name="Um usuário do Microsoft Office satisfeito 2 2 4" xfId="286" xr:uid="{EFC9AF00-2F80-4A1B-B430-E4F2306B5D14}"/>
    <cellStyle name="Um usuário do Microsoft Office satisfeito 2 2 5" xfId="475" xr:uid="{7610EE23-7C4F-4D3E-890F-7EFF428261EC}"/>
    <cellStyle name="Um usuário do Microsoft Office satisfeito 2 3" xfId="309" xr:uid="{767595F0-DA50-4CED-A287-F7EC36D61735}"/>
    <cellStyle name="Um usuário do Microsoft Office satisfeito 2 3 2" xfId="401" xr:uid="{30558858-984C-4AE5-B8A0-5D4DC29F5F27}"/>
    <cellStyle name="Um usuário do Microsoft Office satisfeito 2 3 2 2" xfId="590" xr:uid="{42A637EB-B0BD-49EB-BC33-2CBFEBE0E230}"/>
    <cellStyle name="Um usuário do Microsoft Office satisfeito 2 3 3" xfId="498" xr:uid="{5E3F9AFE-22C2-44D2-BF67-E86AEF4E6D5C}"/>
    <cellStyle name="Um usuário do Microsoft Office satisfeito 2 4" xfId="355" xr:uid="{70E2A709-40A8-4FC7-BEF9-C40D90EEB7BD}"/>
    <cellStyle name="Um usuário do Microsoft Office satisfeito 2 4 2" xfId="544" xr:uid="{D5E133CE-6461-4F1B-BA6F-153C8481436F}"/>
    <cellStyle name="Um usuário do Microsoft Office satisfeito 2 5" xfId="263" xr:uid="{F3A6DB34-6EA7-484D-8F08-E6F1CA3611AE}"/>
    <cellStyle name="Um usuário do Microsoft Office satisfeito 2 6" xfId="452" xr:uid="{8BE18199-E0C2-4215-BAA4-56833444286D}"/>
    <cellStyle name="Um usuário do Microsoft Office satisfeito 3" xfId="225" xr:uid="{95C3CE93-A6B5-4135-8173-4C97AEE12EC8}"/>
    <cellStyle name="Um usuário do Microsoft Office satisfeito 3 2" xfId="318" xr:uid="{65416C61-9E8D-4170-8B33-F8939452665D}"/>
    <cellStyle name="Um usuário do Microsoft Office satisfeito 3 2 2" xfId="410" xr:uid="{D334C31F-A684-4E3B-932E-20E4FDA95C75}"/>
    <cellStyle name="Um usuário do Microsoft Office satisfeito 3 2 2 2" xfId="599" xr:uid="{E4C97743-F2FA-4DDA-AB89-C2D2A27FA581}"/>
    <cellStyle name="Um usuário do Microsoft Office satisfeito 3 2 3" xfId="507" xr:uid="{C1DFAD98-75EA-4048-8520-CA5F6CD0108E}"/>
    <cellStyle name="Um usuário do Microsoft Office satisfeito 3 3" xfId="364" xr:uid="{0FCA8A73-32AE-41D9-8B13-29F0B795FE11}"/>
    <cellStyle name="Um usuário do Microsoft Office satisfeito 3 3 2" xfId="553" xr:uid="{542BE1B9-2698-41F7-A266-CFF28A11ACEF}"/>
    <cellStyle name="Um usuário do Microsoft Office satisfeito 3 4" xfId="272" xr:uid="{76043307-1459-4BD2-9614-E5CEFB1A132E}"/>
    <cellStyle name="Um usuário do Microsoft Office satisfeito 3 5" xfId="461" xr:uid="{64AA89BD-D9B0-4653-AF2D-BEAC738C84BB}"/>
    <cellStyle name="Um usuário do Microsoft Office satisfeito 4" xfId="295" xr:uid="{BB55976A-D368-44F1-86E4-F5794420BDAC}"/>
    <cellStyle name="Um usuário do Microsoft Office satisfeito 4 2" xfId="387" xr:uid="{9BEF6C87-9113-4E94-B63E-17457C72D98D}"/>
    <cellStyle name="Um usuário do Microsoft Office satisfeito 4 2 2" xfId="576" xr:uid="{70CBD90F-A1E3-4DA3-87C4-7A8E8D0745C1}"/>
    <cellStyle name="Um usuário do Microsoft Office satisfeito 4 3" xfId="484" xr:uid="{C57FE678-D558-43D1-B6D5-4E7B24990BBE}"/>
    <cellStyle name="Um usuário do Microsoft Office satisfeito 5" xfId="341" xr:uid="{D09D8497-3658-4E8F-9483-F35E4BA768FF}"/>
    <cellStyle name="Um usuário do Microsoft Office satisfeito 5 2" xfId="530" xr:uid="{88A91EC9-23CD-4D35-B1CB-A796748019D0}"/>
    <cellStyle name="Um usuário do Microsoft Office satisfeito 6" xfId="249" xr:uid="{9EF7DBF0-C40B-47CE-ADC2-983F418D12EA}"/>
    <cellStyle name="Um usuário do Microsoft Office satisfeito 7" xfId="438" xr:uid="{E558D6FB-EE17-487A-8FED-6B5EC66E21EE}"/>
    <cellStyle name="Vírgula" xfId="1" builtinId="3"/>
    <cellStyle name="Vírgula 2" xfId="6" xr:uid="{DEB36D6E-9EA2-4A6F-A371-AD1F98E20BF6}"/>
    <cellStyle name="Vírgula 21" xfId="246" xr:uid="{3B4A52AA-64CE-4A3D-8C17-3BC10B739293}"/>
    <cellStyle name="Vírgula 3" xfId="624" xr:uid="{4BA2980B-414A-4FD8-AD0F-EF5D09F0775A}"/>
    <cellStyle name="Vírgula 4" xfId="623" xr:uid="{8C91151F-855D-4A48-BFED-609FC18780A7}"/>
    <cellStyle name="Warning Text 2" xfId="176" xr:uid="{53204901-2A40-45C9-8203-669FD2D30A4A}"/>
    <cellStyle name="Warning Text 3" xfId="177" xr:uid="{B3240492-779C-416A-9F7D-2628F9223362}"/>
    <cellStyle name="XComma" xfId="178" xr:uid="{B59AC56F-A5E5-4C0F-B973-A8B8D256D8B2}"/>
    <cellStyle name="XComma 0.0" xfId="179" xr:uid="{B8B348BC-5B18-41AF-A0A2-CEE3CB64D57D}"/>
    <cellStyle name="XComma 0.00" xfId="180" xr:uid="{69C530A3-DE85-4F75-952F-565D03246793}"/>
    <cellStyle name="XComma 0.000" xfId="181" xr:uid="{944C3990-4180-4767-90CA-EFF0948941F1}"/>
    <cellStyle name="XCurrency" xfId="182" xr:uid="{1EB15859-DE9D-4B6C-8656-CED1BB2192C1}"/>
    <cellStyle name="XCurrency 0.0" xfId="183" xr:uid="{09E04198-A9A5-4858-9A4B-D45C7BACB512}"/>
    <cellStyle name="XCurrency 0.00" xfId="184" xr:uid="{5DFAEBBF-F5B6-4513-A37C-FF42DB53C9E4}"/>
    <cellStyle name="XCurrency 0.000" xfId="185" xr:uid="{17EF9B18-B83E-4C64-86F8-26A0A41867B8}"/>
  </cellStyles>
  <dxfs count="0"/>
  <tableStyles count="0" defaultTableStyle="TableStyleMedium2" defaultPivotStyle="PivotStyleLight16"/>
  <colors>
    <mruColors>
      <color rgb="FFFCEB14"/>
      <color rgb="FFF8E708"/>
      <color rgb="FFF7FC18"/>
      <color rgb="FFF9FD5D"/>
      <color rgb="FF00943B"/>
      <color rgb="FFFFCC00"/>
      <color rgb="FFBF9000"/>
      <color rgb="FFD1A915"/>
      <color rgb="FF98C69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Sum&#225;rio!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hyperlink" Target="#Sum&#225;rio!A1"/><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hyperlink" Target="#Sum&#225;rio!A1"/><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hyperlink" Target="#Sum&#225;rio!A1"/><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hyperlink" Target="#Sum&#225;rio!A1"/><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hyperlink" Target="#Sum&#225;rio!A1"/><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hyperlink" Target="#Sum&#225;rio!A1"/><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hyperlink" Target="#Sum&#225;rio!A1"/><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hyperlink" Target="#Sum&#225;rio!A1"/><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hyperlink" Target="#Sum&#225;rio!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Sum&#225;rio!A1"/><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hyperlink" Target="#Sum&#225;r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Sum&#225;r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Sum&#225;r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Sum&#225;r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Sum&#225;ri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Sum&#225;ri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Sum&#225;ri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Sum&#225;ri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157277</xdr:rowOff>
    </xdr:from>
    <xdr:to>
      <xdr:col>8</xdr:col>
      <xdr:colOff>456280</xdr:colOff>
      <xdr:row>3</xdr:row>
      <xdr:rowOff>33455</xdr:rowOff>
    </xdr:to>
    <xdr:pic>
      <xdr:nvPicPr>
        <xdr:cNvPr id="2" name="Imagem 1">
          <a:extLst>
            <a:ext uri="{FF2B5EF4-FFF2-40B4-BE49-F238E27FC236}">
              <a16:creationId xmlns:a16="http://schemas.microsoft.com/office/drawing/2014/main" id="{0707A2BF-1EEB-40AC-BD53-A1808AF505EF}"/>
            </a:ext>
          </a:extLst>
        </xdr:cNvPr>
        <xdr:cNvPicPr>
          <a:picLocks noChangeAspect="1"/>
        </xdr:cNvPicPr>
      </xdr:nvPicPr>
      <xdr:blipFill rotWithShape="1">
        <a:blip xmlns:r="http://schemas.openxmlformats.org/officeDocument/2006/relationships" r:embed="rId1"/>
        <a:srcRect t="12729"/>
        <a:stretch/>
      </xdr:blipFill>
      <xdr:spPr>
        <a:xfrm>
          <a:off x="7031522" y="157277"/>
          <a:ext cx="2285080" cy="619128"/>
        </a:xfrm>
        <a:prstGeom prst="rect">
          <a:avLst/>
        </a:prstGeom>
      </xdr:spPr>
    </xdr:pic>
    <xdr:clientData/>
  </xdr:twoCellAnchor>
  <xdr:twoCellAnchor>
    <xdr:from>
      <xdr:col>0</xdr:col>
      <xdr:colOff>0</xdr:colOff>
      <xdr:row>0</xdr:row>
      <xdr:rowOff>0</xdr:rowOff>
    </xdr:from>
    <xdr:to>
      <xdr:col>2</xdr:col>
      <xdr:colOff>123825</xdr:colOff>
      <xdr:row>5</xdr:row>
      <xdr:rowOff>19050</xdr:rowOff>
    </xdr:to>
    <xdr:grpSp>
      <xdr:nvGrpSpPr>
        <xdr:cNvPr id="3" name="Agrupar 2">
          <a:extLst>
            <a:ext uri="{FF2B5EF4-FFF2-40B4-BE49-F238E27FC236}">
              <a16:creationId xmlns:a16="http://schemas.microsoft.com/office/drawing/2014/main" id="{F180B5A8-2E5A-4397-8FA5-E84270A12B88}"/>
            </a:ext>
          </a:extLst>
        </xdr:cNvPr>
        <xdr:cNvGrpSpPr/>
      </xdr:nvGrpSpPr>
      <xdr:grpSpPr>
        <a:xfrm>
          <a:off x="0" y="0"/>
          <a:ext cx="1495425" cy="1143000"/>
          <a:chOff x="0" y="0"/>
          <a:chExt cx="2933700" cy="2177592"/>
        </a:xfrm>
      </xdr:grpSpPr>
      <xdr:pic>
        <xdr:nvPicPr>
          <xdr:cNvPr id="4" name="Agrupar 2">
            <a:extLst>
              <a:ext uri="{FF2B5EF4-FFF2-40B4-BE49-F238E27FC236}">
                <a16:creationId xmlns:a16="http://schemas.microsoft.com/office/drawing/2014/main" id="{C1AF9466-6AE8-E085-FEDD-B15DBE246267}"/>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0" y="0"/>
            <a:ext cx="2933700" cy="2177592"/>
          </a:xfrm>
          <a:prstGeom prst="rect">
            <a:avLst/>
          </a:prstGeom>
        </xdr:spPr>
      </xdr:pic>
      <xdr:pic>
        <xdr:nvPicPr>
          <xdr:cNvPr id="5" name="Agrupar 2">
            <a:extLst>
              <a:ext uri="{FF2B5EF4-FFF2-40B4-BE49-F238E27FC236}">
                <a16:creationId xmlns:a16="http://schemas.microsoft.com/office/drawing/2014/main" id="{41392CD1-385F-CFB2-81FA-EF69753EC3AF}"/>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0" y="0"/>
            <a:ext cx="2933700" cy="2177592"/>
          </a:xfrm>
          <a:prstGeom prst="rect">
            <a:avLst/>
          </a:prstGeom>
        </xdr:spPr>
      </xdr:pic>
    </xdr:grpSp>
    <xdr:clientData/>
  </xdr:twoCellAnchor>
  <xdr:twoCellAnchor>
    <xdr:from>
      <xdr:col>0</xdr:col>
      <xdr:colOff>0</xdr:colOff>
      <xdr:row>34</xdr:row>
      <xdr:rowOff>171451</xdr:rowOff>
    </xdr:from>
    <xdr:to>
      <xdr:col>5</xdr:col>
      <xdr:colOff>0</xdr:colOff>
      <xdr:row>42</xdr:row>
      <xdr:rowOff>0</xdr:rowOff>
    </xdr:to>
    <xdr:sp macro="" textlink="">
      <xdr:nvSpPr>
        <xdr:cNvPr id="6" name="Retângulo 5">
          <a:extLst>
            <a:ext uri="{FF2B5EF4-FFF2-40B4-BE49-F238E27FC236}">
              <a16:creationId xmlns:a16="http://schemas.microsoft.com/office/drawing/2014/main" id="{6E6314A0-647A-4395-B8DD-4C19420B317A}"/>
            </a:ext>
          </a:extLst>
        </xdr:cNvPr>
        <xdr:cNvSpPr/>
      </xdr:nvSpPr>
      <xdr:spPr>
        <a:xfrm>
          <a:off x="0" y="6477001"/>
          <a:ext cx="3067050" cy="781049"/>
        </a:xfrm>
        <a:prstGeom prst="rect">
          <a:avLst/>
        </a:prstGeom>
        <a:blipFill dpi="0" rotWithShape="1">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a:ln>
          <a:solidFill>
            <a:srgbClr val="00943B"/>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400" b="1"/>
        </a:p>
      </xdr:txBody>
    </xdr:sp>
    <xdr:clientData/>
  </xdr:twoCellAnchor>
  <xdr:twoCellAnchor>
    <xdr:from>
      <xdr:col>5</xdr:col>
      <xdr:colOff>0</xdr:colOff>
      <xdr:row>34</xdr:row>
      <xdr:rowOff>171451</xdr:rowOff>
    </xdr:from>
    <xdr:to>
      <xdr:col>9</xdr:col>
      <xdr:colOff>0</xdr:colOff>
      <xdr:row>42</xdr:row>
      <xdr:rowOff>0</xdr:rowOff>
    </xdr:to>
    <xdr:sp macro="" textlink="">
      <xdr:nvSpPr>
        <xdr:cNvPr id="8" name="Retângulo 7">
          <a:extLst>
            <a:ext uri="{FF2B5EF4-FFF2-40B4-BE49-F238E27FC236}">
              <a16:creationId xmlns:a16="http://schemas.microsoft.com/office/drawing/2014/main" id="{502CE16E-53CD-4E3E-819A-4820EC9E7564}"/>
            </a:ext>
          </a:extLst>
        </xdr:cNvPr>
        <xdr:cNvSpPr/>
      </xdr:nvSpPr>
      <xdr:spPr>
        <a:xfrm>
          <a:off x="6410325" y="6477001"/>
          <a:ext cx="3067050" cy="781049"/>
        </a:xfrm>
        <a:prstGeom prst="rect">
          <a:avLst/>
        </a:prstGeom>
        <a:blipFill dpi="0" rotWithShape="1">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a:ln>
          <a:solidFill>
            <a:srgbClr val="00943B"/>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400" b="1"/>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142875</xdr:rowOff>
    </xdr:from>
    <xdr:to>
      <xdr:col>2</xdr:col>
      <xdr:colOff>1679526</xdr:colOff>
      <xdr:row>3</xdr:row>
      <xdr:rowOff>59266</xdr:rowOff>
    </xdr:to>
    <xdr:pic>
      <xdr:nvPicPr>
        <xdr:cNvPr id="2" name="Imagem 1">
          <a:extLst>
            <a:ext uri="{FF2B5EF4-FFF2-40B4-BE49-F238E27FC236}">
              <a16:creationId xmlns:a16="http://schemas.microsoft.com/office/drawing/2014/main" id="{5085FC08-0573-4789-966F-C12717031EE6}"/>
            </a:ext>
          </a:extLst>
        </xdr:cNvPr>
        <xdr:cNvPicPr>
          <a:picLocks noChangeAspect="1"/>
        </xdr:cNvPicPr>
      </xdr:nvPicPr>
      <xdr:blipFill rotWithShape="1">
        <a:blip xmlns:r="http://schemas.openxmlformats.org/officeDocument/2006/relationships" r:embed="rId1"/>
        <a:srcRect l="4416" t="12729" b="6233"/>
        <a:stretch/>
      </xdr:blipFill>
      <xdr:spPr>
        <a:xfrm>
          <a:off x="28575" y="142875"/>
          <a:ext cx="1860501" cy="476250"/>
        </a:xfrm>
        <a:prstGeom prst="rect">
          <a:avLst/>
        </a:prstGeom>
      </xdr:spPr>
    </xdr:pic>
    <xdr:clientData/>
  </xdr:twoCellAnchor>
  <xdr:twoCellAnchor>
    <xdr:from>
      <xdr:col>15</xdr:col>
      <xdr:colOff>0</xdr:colOff>
      <xdr:row>0</xdr:row>
      <xdr:rowOff>0</xdr:rowOff>
    </xdr:from>
    <xdr:to>
      <xdr:col>16</xdr:col>
      <xdr:colOff>66675</xdr:colOff>
      <xdr:row>1</xdr:row>
      <xdr:rowOff>142875</xdr:rowOff>
    </xdr:to>
    <xdr:sp macro="" textlink="">
      <xdr:nvSpPr>
        <xdr:cNvPr id="3" name="Retângulo: Biselado 2">
          <a:hlinkClick xmlns:r="http://schemas.openxmlformats.org/officeDocument/2006/relationships" r:id="rId2"/>
          <a:extLst>
            <a:ext uri="{FF2B5EF4-FFF2-40B4-BE49-F238E27FC236}">
              <a16:creationId xmlns:a16="http://schemas.microsoft.com/office/drawing/2014/main" id="{369778CA-AB21-473C-9BA1-440DB6AF6496}"/>
            </a:ext>
          </a:extLst>
        </xdr:cNvPr>
        <xdr:cNvSpPr/>
      </xdr:nvSpPr>
      <xdr:spPr>
        <a:xfrm>
          <a:off x="18230850" y="0"/>
          <a:ext cx="676275" cy="314325"/>
        </a:xfrm>
        <a:prstGeom prst="bevel">
          <a:avLst/>
        </a:prstGeom>
        <a:solidFill>
          <a:srgbClr val="00943B"/>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800"/>
            <a:t>Sumário</a:t>
          </a:r>
          <a:r>
            <a:rPr lang="en-US" sz="800" baseline="0"/>
            <a:t> Summary</a:t>
          </a:r>
          <a:endParaRPr lang="en-US" sz="8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4</xdr:col>
      <xdr:colOff>45460</xdr:colOff>
      <xdr:row>2</xdr:row>
      <xdr:rowOff>123825</xdr:rowOff>
    </xdr:to>
    <xdr:pic>
      <xdr:nvPicPr>
        <xdr:cNvPr id="2" name="Imagem 1">
          <a:extLst>
            <a:ext uri="{FF2B5EF4-FFF2-40B4-BE49-F238E27FC236}">
              <a16:creationId xmlns:a16="http://schemas.microsoft.com/office/drawing/2014/main" id="{93FA1BE8-0F89-405D-9316-68453A31034A}"/>
            </a:ext>
          </a:extLst>
        </xdr:cNvPr>
        <xdr:cNvPicPr>
          <a:picLocks noChangeAspect="1"/>
        </xdr:cNvPicPr>
      </xdr:nvPicPr>
      <xdr:blipFill rotWithShape="1">
        <a:blip xmlns:r="http://schemas.openxmlformats.org/officeDocument/2006/relationships" r:embed="rId1"/>
        <a:srcRect l="4416" t="12729" b="6233"/>
        <a:stretch/>
      </xdr:blipFill>
      <xdr:spPr>
        <a:xfrm>
          <a:off x="114300" y="57150"/>
          <a:ext cx="1855210" cy="495300"/>
        </a:xfrm>
        <a:prstGeom prst="rect">
          <a:avLst/>
        </a:prstGeom>
      </xdr:spPr>
    </xdr:pic>
    <xdr:clientData/>
  </xdr:twoCellAnchor>
  <xdr:twoCellAnchor>
    <xdr:from>
      <xdr:col>19</xdr:col>
      <xdr:colOff>180975</xdr:colOff>
      <xdr:row>0</xdr:row>
      <xdr:rowOff>142875</xdr:rowOff>
    </xdr:from>
    <xdr:to>
      <xdr:col>20</xdr:col>
      <xdr:colOff>247650</xdr:colOff>
      <xdr:row>2</xdr:row>
      <xdr:rowOff>19050</xdr:rowOff>
    </xdr:to>
    <xdr:sp macro="" textlink="">
      <xdr:nvSpPr>
        <xdr:cNvPr id="4" name="Retângulo: Biselado 3">
          <a:hlinkClick xmlns:r="http://schemas.openxmlformats.org/officeDocument/2006/relationships" r:id="rId2"/>
          <a:extLst>
            <a:ext uri="{FF2B5EF4-FFF2-40B4-BE49-F238E27FC236}">
              <a16:creationId xmlns:a16="http://schemas.microsoft.com/office/drawing/2014/main" id="{FC7352A1-E719-4795-B16D-4C1F21C0A36E}"/>
            </a:ext>
          </a:extLst>
        </xdr:cNvPr>
        <xdr:cNvSpPr/>
      </xdr:nvSpPr>
      <xdr:spPr>
        <a:xfrm>
          <a:off x="11544300" y="142875"/>
          <a:ext cx="676275" cy="304800"/>
        </a:xfrm>
        <a:prstGeom prst="bevel">
          <a:avLst/>
        </a:prstGeom>
        <a:solidFill>
          <a:srgbClr val="00943B"/>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800"/>
            <a:t>Sumário</a:t>
          </a:r>
          <a:r>
            <a:rPr lang="en-US" sz="800" baseline="0"/>
            <a:t> Summary</a:t>
          </a:r>
          <a:endParaRPr lang="en-US" sz="8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200025</xdr:colOff>
      <xdr:row>0</xdr:row>
      <xdr:rowOff>142875</xdr:rowOff>
    </xdr:from>
    <xdr:to>
      <xdr:col>5</xdr:col>
      <xdr:colOff>588385</xdr:colOff>
      <xdr:row>3</xdr:row>
      <xdr:rowOff>19050</xdr:rowOff>
    </xdr:to>
    <xdr:pic>
      <xdr:nvPicPr>
        <xdr:cNvPr id="2" name="Imagem 1">
          <a:extLst>
            <a:ext uri="{FF2B5EF4-FFF2-40B4-BE49-F238E27FC236}">
              <a16:creationId xmlns:a16="http://schemas.microsoft.com/office/drawing/2014/main" id="{FAC26FAD-539F-4BAE-9450-7AD481CA8A1C}"/>
            </a:ext>
          </a:extLst>
        </xdr:cNvPr>
        <xdr:cNvPicPr>
          <a:picLocks noChangeAspect="1"/>
        </xdr:cNvPicPr>
      </xdr:nvPicPr>
      <xdr:blipFill rotWithShape="1">
        <a:blip xmlns:r="http://schemas.openxmlformats.org/officeDocument/2006/relationships" r:embed="rId1"/>
        <a:srcRect l="4416" t="12729" b="6233"/>
        <a:stretch/>
      </xdr:blipFill>
      <xdr:spPr>
        <a:xfrm>
          <a:off x="371475" y="142875"/>
          <a:ext cx="1855210" cy="495300"/>
        </a:xfrm>
        <a:prstGeom prst="rect">
          <a:avLst/>
        </a:prstGeom>
      </xdr:spPr>
    </xdr:pic>
    <xdr:clientData/>
  </xdr:twoCellAnchor>
  <xdr:twoCellAnchor>
    <xdr:from>
      <xdr:col>17</xdr:col>
      <xdr:colOff>381000</xdr:colOff>
      <xdr:row>1</xdr:row>
      <xdr:rowOff>171450</xdr:rowOff>
    </xdr:from>
    <xdr:to>
      <xdr:col>19</xdr:col>
      <xdr:colOff>285750</xdr:colOff>
      <xdr:row>3</xdr:row>
      <xdr:rowOff>47625</xdr:rowOff>
    </xdr:to>
    <xdr:sp macro="" textlink="">
      <xdr:nvSpPr>
        <xdr:cNvPr id="3" name="Retângulo: Biselado 2">
          <a:hlinkClick xmlns:r="http://schemas.openxmlformats.org/officeDocument/2006/relationships" r:id="rId2"/>
          <a:extLst>
            <a:ext uri="{FF2B5EF4-FFF2-40B4-BE49-F238E27FC236}">
              <a16:creationId xmlns:a16="http://schemas.microsoft.com/office/drawing/2014/main" id="{86A535BF-999D-4C33-9A04-B3971D8DBA02}"/>
            </a:ext>
          </a:extLst>
        </xdr:cNvPr>
        <xdr:cNvSpPr/>
      </xdr:nvSpPr>
      <xdr:spPr>
        <a:xfrm>
          <a:off x="7029450" y="361950"/>
          <a:ext cx="676275" cy="304800"/>
        </a:xfrm>
        <a:prstGeom prst="bevel">
          <a:avLst/>
        </a:prstGeom>
        <a:solidFill>
          <a:srgbClr val="00943B"/>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800"/>
            <a:t>Sumário</a:t>
          </a:r>
          <a:r>
            <a:rPr lang="en-US" sz="800" baseline="0"/>
            <a:t> Summary</a:t>
          </a:r>
          <a:endParaRPr lang="en-US" sz="8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4</xdr:col>
      <xdr:colOff>45460</xdr:colOff>
      <xdr:row>2</xdr:row>
      <xdr:rowOff>171450</xdr:rowOff>
    </xdr:to>
    <xdr:pic>
      <xdr:nvPicPr>
        <xdr:cNvPr id="2" name="Imagem 1">
          <a:extLst>
            <a:ext uri="{FF2B5EF4-FFF2-40B4-BE49-F238E27FC236}">
              <a16:creationId xmlns:a16="http://schemas.microsoft.com/office/drawing/2014/main" id="{59D5A0C5-B01C-4CE8-86B2-31C9D59E79BD}"/>
            </a:ext>
          </a:extLst>
        </xdr:cNvPr>
        <xdr:cNvPicPr>
          <a:picLocks noChangeAspect="1"/>
        </xdr:cNvPicPr>
      </xdr:nvPicPr>
      <xdr:blipFill rotWithShape="1">
        <a:blip xmlns:r="http://schemas.openxmlformats.org/officeDocument/2006/relationships" r:embed="rId1"/>
        <a:srcRect l="4416" t="12729" b="6233"/>
        <a:stretch/>
      </xdr:blipFill>
      <xdr:spPr>
        <a:xfrm>
          <a:off x="114300" y="57150"/>
          <a:ext cx="1855210" cy="542925"/>
        </a:xfrm>
        <a:prstGeom prst="rect">
          <a:avLst/>
        </a:prstGeom>
      </xdr:spPr>
    </xdr:pic>
    <xdr:clientData/>
  </xdr:twoCellAnchor>
  <xdr:twoCellAnchor>
    <xdr:from>
      <xdr:col>9</xdr:col>
      <xdr:colOff>133350</xdr:colOff>
      <xdr:row>0</xdr:row>
      <xdr:rowOff>142875</xdr:rowOff>
    </xdr:from>
    <xdr:to>
      <xdr:col>10</xdr:col>
      <xdr:colOff>485775</xdr:colOff>
      <xdr:row>2</xdr:row>
      <xdr:rowOff>19050</xdr:rowOff>
    </xdr:to>
    <xdr:sp macro="" textlink="">
      <xdr:nvSpPr>
        <xdr:cNvPr id="3" name="Retângulo: Biselado 2">
          <a:hlinkClick xmlns:r="http://schemas.openxmlformats.org/officeDocument/2006/relationships" r:id="rId2"/>
          <a:extLst>
            <a:ext uri="{FF2B5EF4-FFF2-40B4-BE49-F238E27FC236}">
              <a16:creationId xmlns:a16="http://schemas.microsoft.com/office/drawing/2014/main" id="{F6D3845D-B552-4388-863A-26DEC6951D74}"/>
            </a:ext>
          </a:extLst>
        </xdr:cNvPr>
        <xdr:cNvSpPr/>
      </xdr:nvSpPr>
      <xdr:spPr>
        <a:xfrm>
          <a:off x="5743575" y="142875"/>
          <a:ext cx="676275" cy="304800"/>
        </a:xfrm>
        <a:prstGeom prst="bevel">
          <a:avLst/>
        </a:prstGeom>
        <a:solidFill>
          <a:srgbClr val="00943B"/>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800"/>
            <a:t>Sumário</a:t>
          </a:r>
          <a:r>
            <a:rPr lang="en-US" sz="800" baseline="0"/>
            <a:t> Summary</a:t>
          </a:r>
          <a:endParaRPr lang="en-US" sz="800"/>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95250</xdr:colOff>
      <xdr:row>0</xdr:row>
      <xdr:rowOff>85725</xdr:rowOff>
    </xdr:from>
    <xdr:to>
      <xdr:col>3</xdr:col>
      <xdr:colOff>16885</xdr:colOff>
      <xdr:row>3</xdr:row>
      <xdr:rowOff>9525</xdr:rowOff>
    </xdr:to>
    <xdr:pic>
      <xdr:nvPicPr>
        <xdr:cNvPr id="2" name="Imagem 1">
          <a:extLst>
            <a:ext uri="{FF2B5EF4-FFF2-40B4-BE49-F238E27FC236}">
              <a16:creationId xmlns:a16="http://schemas.microsoft.com/office/drawing/2014/main" id="{39CB1EFB-B5EF-43F6-B091-4199F822A65C}"/>
            </a:ext>
          </a:extLst>
        </xdr:cNvPr>
        <xdr:cNvPicPr>
          <a:picLocks noChangeAspect="1"/>
        </xdr:cNvPicPr>
      </xdr:nvPicPr>
      <xdr:blipFill rotWithShape="1">
        <a:blip xmlns:r="http://schemas.openxmlformats.org/officeDocument/2006/relationships" r:embed="rId1"/>
        <a:srcRect l="4416" t="12729" b="6233"/>
        <a:stretch/>
      </xdr:blipFill>
      <xdr:spPr>
        <a:xfrm>
          <a:off x="95250" y="85725"/>
          <a:ext cx="1855210" cy="542925"/>
        </a:xfrm>
        <a:prstGeom prst="rect">
          <a:avLst/>
        </a:prstGeom>
      </xdr:spPr>
    </xdr:pic>
    <xdr:clientData/>
  </xdr:twoCellAnchor>
  <xdr:twoCellAnchor>
    <xdr:from>
      <xdr:col>25</xdr:col>
      <xdr:colOff>561975</xdr:colOff>
      <xdr:row>1</xdr:row>
      <xdr:rowOff>0</xdr:rowOff>
    </xdr:from>
    <xdr:to>
      <xdr:col>27</xdr:col>
      <xdr:colOff>19050</xdr:colOff>
      <xdr:row>2</xdr:row>
      <xdr:rowOff>66675</xdr:rowOff>
    </xdr:to>
    <xdr:sp macro="" textlink="">
      <xdr:nvSpPr>
        <xdr:cNvPr id="3" name="Retângulo: Biselado 2">
          <a:hlinkClick xmlns:r="http://schemas.openxmlformats.org/officeDocument/2006/relationships" r:id="rId2"/>
          <a:extLst>
            <a:ext uri="{FF2B5EF4-FFF2-40B4-BE49-F238E27FC236}">
              <a16:creationId xmlns:a16="http://schemas.microsoft.com/office/drawing/2014/main" id="{BEDD54F7-593B-46D5-AFEB-64229FA8A1BC}"/>
            </a:ext>
          </a:extLst>
        </xdr:cNvPr>
        <xdr:cNvSpPr/>
      </xdr:nvSpPr>
      <xdr:spPr>
        <a:xfrm>
          <a:off x="7991475" y="190500"/>
          <a:ext cx="676275" cy="304800"/>
        </a:xfrm>
        <a:prstGeom prst="bevel">
          <a:avLst/>
        </a:prstGeom>
        <a:solidFill>
          <a:srgbClr val="00943B"/>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800"/>
            <a:t>Sumário</a:t>
          </a:r>
          <a:r>
            <a:rPr lang="en-US" sz="800" baseline="0"/>
            <a:t> Summary</a:t>
          </a:r>
          <a:endParaRPr lang="en-US" sz="800"/>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142875</xdr:rowOff>
    </xdr:from>
    <xdr:to>
      <xdr:col>2</xdr:col>
      <xdr:colOff>1674235</xdr:colOff>
      <xdr:row>3</xdr:row>
      <xdr:rowOff>95250</xdr:rowOff>
    </xdr:to>
    <xdr:pic>
      <xdr:nvPicPr>
        <xdr:cNvPr id="2" name="Imagem 1">
          <a:extLst>
            <a:ext uri="{FF2B5EF4-FFF2-40B4-BE49-F238E27FC236}">
              <a16:creationId xmlns:a16="http://schemas.microsoft.com/office/drawing/2014/main" id="{E426F527-7B87-446D-B5E2-64E9E2B71C29}"/>
            </a:ext>
          </a:extLst>
        </xdr:cNvPr>
        <xdr:cNvPicPr>
          <a:picLocks noChangeAspect="1"/>
        </xdr:cNvPicPr>
      </xdr:nvPicPr>
      <xdr:blipFill rotWithShape="1">
        <a:blip xmlns:r="http://schemas.openxmlformats.org/officeDocument/2006/relationships" r:embed="rId1"/>
        <a:srcRect l="4416" t="12729" b="6233"/>
        <a:stretch/>
      </xdr:blipFill>
      <xdr:spPr>
        <a:xfrm>
          <a:off x="28575" y="114300"/>
          <a:ext cx="1855210" cy="495300"/>
        </a:xfrm>
        <a:prstGeom prst="rect">
          <a:avLst/>
        </a:prstGeom>
      </xdr:spPr>
    </xdr:pic>
    <xdr:clientData/>
  </xdr:twoCellAnchor>
  <xdr:twoCellAnchor>
    <xdr:from>
      <xdr:col>105</xdr:col>
      <xdr:colOff>266700</xdr:colOff>
      <xdr:row>1</xdr:row>
      <xdr:rowOff>38100</xdr:rowOff>
    </xdr:from>
    <xdr:to>
      <xdr:col>106</xdr:col>
      <xdr:colOff>333375</xdr:colOff>
      <xdr:row>2</xdr:row>
      <xdr:rowOff>104775</xdr:rowOff>
    </xdr:to>
    <xdr:sp macro="" textlink="">
      <xdr:nvSpPr>
        <xdr:cNvPr id="4" name="Retângulo: Biselado 3">
          <a:hlinkClick xmlns:r="http://schemas.openxmlformats.org/officeDocument/2006/relationships" r:id="rId2"/>
          <a:extLst>
            <a:ext uri="{FF2B5EF4-FFF2-40B4-BE49-F238E27FC236}">
              <a16:creationId xmlns:a16="http://schemas.microsoft.com/office/drawing/2014/main" id="{422F80D3-5A4A-47BB-ABB8-724FD507DAE5}"/>
            </a:ext>
          </a:extLst>
        </xdr:cNvPr>
        <xdr:cNvSpPr/>
      </xdr:nvSpPr>
      <xdr:spPr>
        <a:xfrm>
          <a:off x="9248775" y="152400"/>
          <a:ext cx="676275" cy="304800"/>
        </a:xfrm>
        <a:prstGeom prst="bevel">
          <a:avLst/>
        </a:prstGeom>
        <a:solidFill>
          <a:srgbClr val="00943B"/>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800"/>
            <a:t>Sumário</a:t>
          </a:r>
          <a:r>
            <a:rPr lang="en-US" sz="800" baseline="0"/>
            <a:t> Summary</a:t>
          </a:r>
          <a:endParaRPr lang="en-US" sz="800"/>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142875</xdr:rowOff>
    </xdr:from>
    <xdr:to>
      <xdr:col>2</xdr:col>
      <xdr:colOff>1674235</xdr:colOff>
      <xdr:row>3</xdr:row>
      <xdr:rowOff>95250</xdr:rowOff>
    </xdr:to>
    <xdr:pic>
      <xdr:nvPicPr>
        <xdr:cNvPr id="2" name="Imagem 1">
          <a:extLst>
            <a:ext uri="{FF2B5EF4-FFF2-40B4-BE49-F238E27FC236}">
              <a16:creationId xmlns:a16="http://schemas.microsoft.com/office/drawing/2014/main" id="{8C22F815-EFF3-45F4-868D-8A5B9E348C9A}"/>
            </a:ext>
          </a:extLst>
        </xdr:cNvPr>
        <xdr:cNvPicPr>
          <a:picLocks noChangeAspect="1"/>
        </xdr:cNvPicPr>
      </xdr:nvPicPr>
      <xdr:blipFill rotWithShape="1">
        <a:blip xmlns:r="http://schemas.openxmlformats.org/officeDocument/2006/relationships" r:embed="rId1"/>
        <a:srcRect l="4416" t="12729" b="6233"/>
        <a:stretch/>
      </xdr:blipFill>
      <xdr:spPr>
        <a:xfrm>
          <a:off x="28575" y="114300"/>
          <a:ext cx="1855210" cy="495300"/>
        </a:xfrm>
        <a:prstGeom prst="rect">
          <a:avLst/>
        </a:prstGeom>
      </xdr:spPr>
    </xdr:pic>
    <xdr:clientData/>
  </xdr:twoCellAnchor>
  <xdr:twoCellAnchor>
    <xdr:from>
      <xdr:col>11</xdr:col>
      <xdr:colOff>590550</xdr:colOff>
      <xdr:row>53</xdr:row>
      <xdr:rowOff>0</xdr:rowOff>
    </xdr:from>
    <xdr:to>
      <xdr:col>13</xdr:col>
      <xdr:colOff>85725</xdr:colOff>
      <xdr:row>55</xdr:row>
      <xdr:rowOff>76200</xdr:rowOff>
    </xdr:to>
    <xdr:sp macro="" textlink="">
      <xdr:nvSpPr>
        <xdr:cNvPr id="3" name="Elipse 2">
          <a:extLst>
            <a:ext uri="{FF2B5EF4-FFF2-40B4-BE49-F238E27FC236}">
              <a16:creationId xmlns:a16="http://schemas.microsoft.com/office/drawing/2014/main" id="{2ED5E645-1F62-47AD-95D3-B317A216F1D3}"/>
            </a:ext>
          </a:extLst>
        </xdr:cNvPr>
        <xdr:cNvSpPr/>
      </xdr:nvSpPr>
      <xdr:spPr>
        <a:xfrm>
          <a:off x="7839075" y="11877675"/>
          <a:ext cx="714375"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171450</xdr:colOff>
      <xdr:row>0</xdr:row>
      <xdr:rowOff>95250</xdr:rowOff>
    </xdr:from>
    <xdr:to>
      <xdr:col>20</xdr:col>
      <xdr:colOff>238125</xdr:colOff>
      <xdr:row>2</xdr:row>
      <xdr:rowOff>47625</xdr:rowOff>
    </xdr:to>
    <xdr:sp macro="" textlink="">
      <xdr:nvSpPr>
        <xdr:cNvPr id="5" name="Retângulo: Biselado 4">
          <a:hlinkClick xmlns:r="http://schemas.openxmlformats.org/officeDocument/2006/relationships" r:id="rId2"/>
          <a:extLst>
            <a:ext uri="{FF2B5EF4-FFF2-40B4-BE49-F238E27FC236}">
              <a16:creationId xmlns:a16="http://schemas.microsoft.com/office/drawing/2014/main" id="{119834D8-A7BB-45AE-9AAC-C1FA6255865E}"/>
            </a:ext>
          </a:extLst>
        </xdr:cNvPr>
        <xdr:cNvSpPr/>
      </xdr:nvSpPr>
      <xdr:spPr>
        <a:xfrm>
          <a:off x="12944475" y="95250"/>
          <a:ext cx="676275" cy="304800"/>
        </a:xfrm>
        <a:prstGeom prst="bevel">
          <a:avLst/>
        </a:prstGeom>
        <a:solidFill>
          <a:srgbClr val="00943B"/>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800"/>
            <a:t>Sumário</a:t>
          </a:r>
          <a:r>
            <a:rPr lang="en-US" sz="800" baseline="0"/>
            <a:t> Summary</a:t>
          </a:r>
          <a:endParaRPr lang="en-US" sz="800"/>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12</xdr:col>
      <xdr:colOff>369310</xdr:colOff>
      <xdr:row>3</xdr:row>
      <xdr:rowOff>28575</xdr:rowOff>
    </xdr:to>
    <xdr:pic>
      <xdr:nvPicPr>
        <xdr:cNvPr id="2" name="Imagem 1">
          <a:extLst>
            <a:ext uri="{FF2B5EF4-FFF2-40B4-BE49-F238E27FC236}">
              <a16:creationId xmlns:a16="http://schemas.microsoft.com/office/drawing/2014/main" id="{37B5C5A5-6AE2-453A-B88C-E6249F0A5F1A}"/>
            </a:ext>
          </a:extLst>
        </xdr:cNvPr>
        <xdr:cNvPicPr>
          <a:picLocks noChangeAspect="1"/>
        </xdr:cNvPicPr>
      </xdr:nvPicPr>
      <xdr:blipFill rotWithShape="1">
        <a:blip xmlns:r="http://schemas.openxmlformats.org/officeDocument/2006/relationships" r:embed="rId1"/>
        <a:srcRect l="4416" t="12729" b="6233"/>
        <a:stretch/>
      </xdr:blipFill>
      <xdr:spPr>
        <a:xfrm>
          <a:off x="0" y="76200"/>
          <a:ext cx="1855210" cy="514350"/>
        </a:xfrm>
        <a:prstGeom prst="rect">
          <a:avLst/>
        </a:prstGeom>
      </xdr:spPr>
    </xdr:pic>
    <xdr:clientData/>
  </xdr:twoCellAnchor>
  <xdr:twoCellAnchor>
    <xdr:from>
      <xdr:col>58</xdr:col>
      <xdr:colOff>171450</xdr:colOff>
      <xdr:row>0</xdr:row>
      <xdr:rowOff>0</xdr:rowOff>
    </xdr:from>
    <xdr:to>
      <xdr:col>59</xdr:col>
      <xdr:colOff>238125</xdr:colOff>
      <xdr:row>1</xdr:row>
      <xdr:rowOff>142875</xdr:rowOff>
    </xdr:to>
    <xdr:sp macro="" textlink="">
      <xdr:nvSpPr>
        <xdr:cNvPr id="3" name="Retângulo: Biselado 2">
          <a:hlinkClick xmlns:r="http://schemas.openxmlformats.org/officeDocument/2006/relationships" r:id="rId2"/>
          <a:extLst>
            <a:ext uri="{FF2B5EF4-FFF2-40B4-BE49-F238E27FC236}">
              <a16:creationId xmlns:a16="http://schemas.microsoft.com/office/drawing/2014/main" id="{9420D68D-4293-4D0F-8FBC-DD74BAC53068}"/>
            </a:ext>
          </a:extLst>
        </xdr:cNvPr>
        <xdr:cNvSpPr/>
      </xdr:nvSpPr>
      <xdr:spPr>
        <a:xfrm>
          <a:off x="9153525" y="0"/>
          <a:ext cx="676275" cy="304800"/>
        </a:xfrm>
        <a:prstGeom prst="bevel">
          <a:avLst/>
        </a:prstGeom>
        <a:solidFill>
          <a:srgbClr val="00943B"/>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800"/>
            <a:t>Sumário</a:t>
          </a:r>
          <a:r>
            <a:rPr lang="en-US" sz="800" baseline="0"/>
            <a:t> Summary</a:t>
          </a:r>
          <a:endParaRPr lang="en-US" sz="800"/>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3</xdr:col>
      <xdr:colOff>416935</xdr:colOff>
      <xdr:row>2</xdr:row>
      <xdr:rowOff>95250</xdr:rowOff>
    </xdr:to>
    <xdr:pic>
      <xdr:nvPicPr>
        <xdr:cNvPr id="2" name="Imagem 1">
          <a:extLst>
            <a:ext uri="{FF2B5EF4-FFF2-40B4-BE49-F238E27FC236}">
              <a16:creationId xmlns:a16="http://schemas.microsoft.com/office/drawing/2014/main" id="{0AB4F278-DBD5-4111-AAE7-7143996B3EB9}"/>
            </a:ext>
          </a:extLst>
        </xdr:cNvPr>
        <xdr:cNvPicPr>
          <a:picLocks noChangeAspect="1"/>
        </xdr:cNvPicPr>
      </xdr:nvPicPr>
      <xdr:blipFill rotWithShape="1">
        <a:blip xmlns:r="http://schemas.openxmlformats.org/officeDocument/2006/relationships" r:embed="rId1"/>
        <a:srcRect l="4416" t="12729" b="6233"/>
        <a:stretch/>
      </xdr:blipFill>
      <xdr:spPr>
        <a:xfrm>
          <a:off x="0" y="76200"/>
          <a:ext cx="1855210" cy="495300"/>
        </a:xfrm>
        <a:prstGeom prst="rect">
          <a:avLst/>
        </a:prstGeom>
      </xdr:spPr>
    </xdr:pic>
    <xdr:clientData/>
  </xdr:twoCellAnchor>
  <xdr:twoCellAnchor>
    <xdr:from>
      <xdr:col>21</xdr:col>
      <xdr:colOff>247650</xdr:colOff>
      <xdr:row>1</xdr:row>
      <xdr:rowOff>0</xdr:rowOff>
    </xdr:from>
    <xdr:to>
      <xdr:col>22</xdr:col>
      <xdr:colOff>295275</xdr:colOff>
      <xdr:row>2</xdr:row>
      <xdr:rowOff>66675</xdr:rowOff>
    </xdr:to>
    <xdr:sp macro="" textlink="">
      <xdr:nvSpPr>
        <xdr:cNvPr id="5" name="Retângulo: Biselado 4">
          <a:hlinkClick xmlns:r="http://schemas.openxmlformats.org/officeDocument/2006/relationships" r:id="rId2"/>
          <a:extLst>
            <a:ext uri="{FF2B5EF4-FFF2-40B4-BE49-F238E27FC236}">
              <a16:creationId xmlns:a16="http://schemas.microsoft.com/office/drawing/2014/main" id="{75CB9A6A-56EF-43A9-8337-33032E50D8C4}"/>
            </a:ext>
          </a:extLst>
        </xdr:cNvPr>
        <xdr:cNvSpPr/>
      </xdr:nvSpPr>
      <xdr:spPr>
        <a:xfrm>
          <a:off x="11953875" y="238125"/>
          <a:ext cx="676275" cy="304800"/>
        </a:xfrm>
        <a:prstGeom prst="bevel">
          <a:avLst/>
        </a:prstGeom>
        <a:solidFill>
          <a:srgbClr val="00943B"/>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800"/>
            <a:t>Sumário</a:t>
          </a:r>
          <a:r>
            <a:rPr lang="en-US" sz="800" baseline="0"/>
            <a:t> Summary</a:t>
          </a:r>
          <a:endParaRPr lang="en-US" sz="800"/>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3</xdr:col>
      <xdr:colOff>416935</xdr:colOff>
      <xdr:row>3</xdr:row>
      <xdr:rowOff>9525</xdr:rowOff>
    </xdr:to>
    <xdr:pic>
      <xdr:nvPicPr>
        <xdr:cNvPr id="2" name="Imagem 1">
          <a:extLst>
            <a:ext uri="{FF2B5EF4-FFF2-40B4-BE49-F238E27FC236}">
              <a16:creationId xmlns:a16="http://schemas.microsoft.com/office/drawing/2014/main" id="{F33A0276-ADD2-4E4F-8798-B131B573088E}"/>
            </a:ext>
          </a:extLst>
        </xdr:cNvPr>
        <xdr:cNvPicPr>
          <a:picLocks noChangeAspect="1"/>
        </xdr:cNvPicPr>
      </xdr:nvPicPr>
      <xdr:blipFill rotWithShape="1">
        <a:blip xmlns:r="http://schemas.openxmlformats.org/officeDocument/2006/relationships" r:embed="rId1"/>
        <a:srcRect l="4416" t="12729" b="6233"/>
        <a:stretch/>
      </xdr:blipFill>
      <xdr:spPr>
        <a:xfrm>
          <a:off x="0" y="76200"/>
          <a:ext cx="1855210" cy="495300"/>
        </a:xfrm>
        <a:prstGeom prst="rect">
          <a:avLst/>
        </a:prstGeom>
      </xdr:spPr>
    </xdr:pic>
    <xdr:clientData/>
  </xdr:twoCellAnchor>
  <xdr:twoCellAnchor>
    <xdr:from>
      <xdr:col>17</xdr:col>
      <xdr:colOff>0</xdr:colOff>
      <xdr:row>0</xdr:row>
      <xdr:rowOff>95250</xdr:rowOff>
    </xdr:from>
    <xdr:to>
      <xdr:col>18</xdr:col>
      <xdr:colOff>47625</xdr:colOff>
      <xdr:row>2</xdr:row>
      <xdr:rowOff>0</xdr:rowOff>
    </xdr:to>
    <xdr:sp macro="" textlink="">
      <xdr:nvSpPr>
        <xdr:cNvPr id="4" name="Retângulo: Biselado 3">
          <a:hlinkClick xmlns:r="http://schemas.openxmlformats.org/officeDocument/2006/relationships" r:id="rId2"/>
          <a:extLst>
            <a:ext uri="{FF2B5EF4-FFF2-40B4-BE49-F238E27FC236}">
              <a16:creationId xmlns:a16="http://schemas.microsoft.com/office/drawing/2014/main" id="{82EAE133-6CB1-4459-A7D3-8C10B9190CEF}"/>
            </a:ext>
          </a:extLst>
        </xdr:cNvPr>
        <xdr:cNvSpPr/>
      </xdr:nvSpPr>
      <xdr:spPr>
        <a:xfrm>
          <a:off x="12573000" y="95250"/>
          <a:ext cx="676275" cy="304800"/>
        </a:xfrm>
        <a:prstGeom prst="bevel">
          <a:avLst/>
        </a:prstGeom>
        <a:solidFill>
          <a:srgbClr val="00943B"/>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800"/>
            <a:t>Sumário</a:t>
          </a:r>
          <a:r>
            <a:rPr lang="en-US" sz="800" baseline="0"/>
            <a:t> Summary</a:t>
          </a:r>
          <a:endParaRPr lang="en-US" sz="8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xdr:col>
      <xdr:colOff>1959985</xdr:colOff>
      <xdr:row>2</xdr:row>
      <xdr:rowOff>123825</xdr:rowOff>
    </xdr:to>
    <xdr:pic>
      <xdr:nvPicPr>
        <xdr:cNvPr id="2" name="Imagem 1">
          <a:extLst>
            <a:ext uri="{FF2B5EF4-FFF2-40B4-BE49-F238E27FC236}">
              <a16:creationId xmlns:a16="http://schemas.microsoft.com/office/drawing/2014/main" id="{E535F96F-40EC-449D-AC55-FCF28ED2C10D}"/>
            </a:ext>
          </a:extLst>
        </xdr:cNvPr>
        <xdr:cNvPicPr>
          <a:picLocks noChangeAspect="1"/>
        </xdr:cNvPicPr>
      </xdr:nvPicPr>
      <xdr:blipFill rotWithShape="1">
        <a:blip xmlns:r="http://schemas.openxmlformats.org/officeDocument/2006/relationships" r:embed="rId1"/>
        <a:srcRect t="12729"/>
        <a:stretch/>
      </xdr:blipFill>
      <xdr:spPr>
        <a:xfrm>
          <a:off x="219075" y="28575"/>
          <a:ext cx="1940935" cy="523875"/>
        </a:xfrm>
        <a:prstGeom prst="rect">
          <a:avLst/>
        </a:prstGeom>
      </xdr:spPr>
    </xdr:pic>
    <xdr:clientData/>
  </xdr:twoCellAnchor>
  <xdr:twoCellAnchor>
    <xdr:from>
      <xdr:col>23</xdr:col>
      <xdr:colOff>247650</xdr:colOff>
      <xdr:row>0</xdr:row>
      <xdr:rowOff>133350</xdr:rowOff>
    </xdr:from>
    <xdr:to>
      <xdr:col>24</xdr:col>
      <xdr:colOff>314325</xdr:colOff>
      <xdr:row>2</xdr:row>
      <xdr:rowOff>38100</xdr:rowOff>
    </xdr:to>
    <xdr:sp macro="" textlink="">
      <xdr:nvSpPr>
        <xdr:cNvPr id="3" name="Retângulo: Biselado 2">
          <a:hlinkClick xmlns:r="http://schemas.openxmlformats.org/officeDocument/2006/relationships" r:id="rId2"/>
          <a:extLst>
            <a:ext uri="{FF2B5EF4-FFF2-40B4-BE49-F238E27FC236}">
              <a16:creationId xmlns:a16="http://schemas.microsoft.com/office/drawing/2014/main" id="{FEA5AA41-4FC7-425A-84DC-F0FD18434C05}"/>
            </a:ext>
          </a:extLst>
        </xdr:cNvPr>
        <xdr:cNvSpPr/>
      </xdr:nvSpPr>
      <xdr:spPr>
        <a:xfrm>
          <a:off x="15592425" y="133350"/>
          <a:ext cx="933450" cy="304800"/>
        </a:xfrm>
        <a:prstGeom prst="bevel">
          <a:avLst/>
        </a:prstGeom>
        <a:solidFill>
          <a:srgbClr val="00943B"/>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800"/>
            <a:t>Sumário</a:t>
          </a:r>
          <a:r>
            <a:rPr lang="en-US" sz="800" baseline="0"/>
            <a:t> Summary</a:t>
          </a:r>
          <a:endParaRPr lang="en-US" sz="800"/>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3</xdr:col>
      <xdr:colOff>416935</xdr:colOff>
      <xdr:row>3</xdr:row>
      <xdr:rowOff>9525</xdr:rowOff>
    </xdr:to>
    <xdr:pic>
      <xdr:nvPicPr>
        <xdr:cNvPr id="2" name="Imagem 1">
          <a:extLst>
            <a:ext uri="{FF2B5EF4-FFF2-40B4-BE49-F238E27FC236}">
              <a16:creationId xmlns:a16="http://schemas.microsoft.com/office/drawing/2014/main" id="{D4F3A489-A5F4-49B2-A214-3B10929CBD66}"/>
            </a:ext>
          </a:extLst>
        </xdr:cNvPr>
        <xdr:cNvPicPr>
          <a:picLocks noChangeAspect="1"/>
        </xdr:cNvPicPr>
      </xdr:nvPicPr>
      <xdr:blipFill rotWithShape="1">
        <a:blip xmlns:r="http://schemas.openxmlformats.org/officeDocument/2006/relationships" r:embed="rId1"/>
        <a:srcRect l="4416" t="12729" b="6233"/>
        <a:stretch/>
      </xdr:blipFill>
      <xdr:spPr>
        <a:xfrm>
          <a:off x="0" y="76200"/>
          <a:ext cx="1855210" cy="495300"/>
        </a:xfrm>
        <a:prstGeom prst="rect">
          <a:avLst/>
        </a:prstGeom>
      </xdr:spPr>
    </xdr:pic>
    <xdr:clientData/>
  </xdr:twoCellAnchor>
  <xdr:twoCellAnchor>
    <xdr:from>
      <xdr:col>12</xdr:col>
      <xdr:colOff>285750</xdr:colOff>
      <xdr:row>0</xdr:row>
      <xdr:rowOff>95250</xdr:rowOff>
    </xdr:from>
    <xdr:to>
      <xdr:col>13</xdr:col>
      <xdr:colOff>333375</xdr:colOff>
      <xdr:row>2</xdr:row>
      <xdr:rowOff>0</xdr:rowOff>
    </xdr:to>
    <xdr:sp macro="" textlink="">
      <xdr:nvSpPr>
        <xdr:cNvPr id="3" name="Retângulo: Biselado 2">
          <a:hlinkClick xmlns:r="http://schemas.openxmlformats.org/officeDocument/2006/relationships" r:id="rId2"/>
          <a:extLst>
            <a:ext uri="{FF2B5EF4-FFF2-40B4-BE49-F238E27FC236}">
              <a16:creationId xmlns:a16="http://schemas.microsoft.com/office/drawing/2014/main" id="{134A3298-183B-42CE-A3CA-C8AE87B28F6A}"/>
            </a:ext>
          </a:extLst>
        </xdr:cNvPr>
        <xdr:cNvSpPr/>
      </xdr:nvSpPr>
      <xdr:spPr>
        <a:xfrm>
          <a:off x="7686675" y="95250"/>
          <a:ext cx="676275" cy="304800"/>
        </a:xfrm>
        <a:prstGeom prst="bevel">
          <a:avLst/>
        </a:prstGeom>
        <a:solidFill>
          <a:srgbClr val="00943B"/>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800"/>
            <a:t>Sumário</a:t>
          </a:r>
          <a:r>
            <a:rPr lang="en-US" sz="800" baseline="0"/>
            <a:t> Summary</a:t>
          </a:r>
          <a:endParaRPr lang="en-US" sz="8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xdr:col>
      <xdr:colOff>1959985</xdr:colOff>
      <xdr:row>2</xdr:row>
      <xdr:rowOff>152400</xdr:rowOff>
    </xdr:to>
    <xdr:pic>
      <xdr:nvPicPr>
        <xdr:cNvPr id="2" name="Imagem 1">
          <a:extLst>
            <a:ext uri="{FF2B5EF4-FFF2-40B4-BE49-F238E27FC236}">
              <a16:creationId xmlns:a16="http://schemas.microsoft.com/office/drawing/2014/main" id="{CE959976-482D-41E8-A473-19784F060306}"/>
            </a:ext>
          </a:extLst>
        </xdr:cNvPr>
        <xdr:cNvPicPr>
          <a:picLocks noChangeAspect="1"/>
        </xdr:cNvPicPr>
      </xdr:nvPicPr>
      <xdr:blipFill rotWithShape="1">
        <a:blip xmlns:r="http://schemas.openxmlformats.org/officeDocument/2006/relationships" r:embed="rId1"/>
        <a:srcRect t="12729"/>
        <a:stretch/>
      </xdr:blipFill>
      <xdr:spPr>
        <a:xfrm>
          <a:off x="219075" y="28575"/>
          <a:ext cx="1940935" cy="523875"/>
        </a:xfrm>
        <a:prstGeom prst="rect">
          <a:avLst/>
        </a:prstGeom>
      </xdr:spPr>
    </xdr:pic>
    <xdr:clientData/>
  </xdr:twoCellAnchor>
  <xdr:twoCellAnchor>
    <xdr:from>
      <xdr:col>30</xdr:col>
      <xdr:colOff>114300</xdr:colOff>
      <xdr:row>0</xdr:row>
      <xdr:rowOff>142875</xdr:rowOff>
    </xdr:from>
    <xdr:to>
      <xdr:col>31</xdr:col>
      <xdr:colOff>180975</xdr:colOff>
      <xdr:row>2</xdr:row>
      <xdr:rowOff>47625</xdr:rowOff>
    </xdr:to>
    <xdr:sp macro="" textlink="">
      <xdr:nvSpPr>
        <xdr:cNvPr id="3" name="Retângulo: Biselado 2">
          <a:hlinkClick xmlns:r="http://schemas.openxmlformats.org/officeDocument/2006/relationships" r:id="rId2"/>
          <a:extLst>
            <a:ext uri="{FF2B5EF4-FFF2-40B4-BE49-F238E27FC236}">
              <a16:creationId xmlns:a16="http://schemas.microsoft.com/office/drawing/2014/main" id="{577BFFA2-1DD4-478B-8BEA-9F5F97D82A55}"/>
            </a:ext>
          </a:extLst>
        </xdr:cNvPr>
        <xdr:cNvSpPr/>
      </xdr:nvSpPr>
      <xdr:spPr>
        <a:xfrm>
          <a:off x="20212050" y="142875"/>
          <a:ext cx="676275" cy="304800"/>
        </a:xfrm>
        <a:prstGeom prst="bevel">
          <a:avLst/>
        </a:prstGeom>
        <a:solidFill>
          <a:srgbClr val="00943B"/>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800"/>
            <a:t>Sumário</a:t>
          </a:r>
          <a:r>
            <a:rPr lang="en-US" sz="800" baseline="0"/>
            <a:t> Summary</a:t>
          </a:r>
          <a:endParaRPr lang="en-US" sz="8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xdr:col>
      <xdr:colOff>1959985</xdr:colOff>
      <xdr:row>2</xdr:row>
      <xdr:rowOff>152400</xdr:rowOff>
    </xdr:to>
    <xdr:pic>
      <xdr:nvPicPr>
        <xdr:cNvPr id="2" name="Imagem 1">
          <a:extLst>
            <a:ext uri="{FF2B5EF4-FFF2-40B4-BE49-F238E27FC236}">
              <a16:creationId xmlns:a16="http://schemas.microsoft.com/office/drawing/2014/main" id="{2E6E1AD1-F9E8-4AFE-BFCA-B2E44F1969E4}"/>
            </a:ext>
          </a:extLst>
        </xdr:cNvPr>
        <xdr:cNvPicPr>
          <a:picLocks noChangeAspect="1"/>
        </xdr:cNvPicPr>
      </xdr:nvPicPr>
      <xdr:blipFill rotWithShape="1">
        <a:blip xmlns:r="http://schemas.openxmlformats.org/officeDocument/2006/relationships" r:embed="rId1"/>
        <a:srcRect t="12729"/>
        <a:stretch/>
      </xdr:blipFill>
      <xdr:spPr>
        <a:xfrm>
          <a:off x="219075" y="28575"/>
          <a:ext cx="1940935" cy="523875"/>
        </a:xfrm>
        <a:prstGeom prst="rect">
          <a:avLst/>
        </a:prstGeom>
      </xdr:spPr>
    </xdr:pic>
    <xdr:clientData/>
  </xdr:twoCellAnchor>
  <xdr:twoCellAnchor>
    <xdr:from>
      <xdr:col>38</xdr:col>
      <xdr:colOff>57150</xdr:colOff>
      <xdr:row>0</xdr:row>
      <xdr:rowOff>66675</xdr:rowOff>
    </xdr:from>
    <xdr:to>
      <xdr:col>39</xdr:col>
      <xdr:colOff>28575</xdr:colOff>
      <xdr:row>1</xdr:row>
      <xdr:rowOff>209550</xdr:rowOff>
    </xdr:to>
    <xdr:sp macro="" textlink="">
      <xdr:nvSpPr>
        <xdr:cNvPr id="3" name="Retângulo: Biselado 2">
          <a:hlinkClick xmlns:r="http://schemas.openxmlformats.org/officeDocument/2006/relationships" r:id="rId2"/>
          <a:extLst>
            <a:ext uri="{FF2B5EF4-FFF2-40B4-BE49-F238E27FC236}">
              <a16:creationId xmlns:a16="http://schemas.microsoft.com/office/drawing/2014/main" id="{A79E6DC0-1C24-4B15-9FAE-DB1EE6C01FEA}"/>
            </a:ext>
          </a:extLst>
        </xdr:cNvPr>
        <xdr:cNvSpPr/>
      </xdr:nvSpPr>
      <xdr:spPr>
        <a:xfrm>
          <a:off x="28317825" y="66675"/>
          <a:ext cx="676275" cy="304800"/>
        </a:xfrm>
        <a:prstGeom prst="bevel">
          <a:avLst/>
        </a:prstGeom>
        <a:solidFill>
          <a:srgbClr val="00943B"/>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800"/>
            <a:t>Sumário</a:t>
          </a:r>
          <a:r>
            <a:rPr lang="en-US" sz="800" baseline="0"/>
            <a:t> Summary</a:t>
          </a:r>
          <a:endParaRPr lang="en-US" sz="8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xdr:col>
      <xdr:colOff>1959985</xdr:colOff>
      <xdr:row>2</xdr:row>
      <xdr:rowOff>152400</xdr:rowOff>
    </xdr:to>
    <xdr:pic>
      <xdr:nvPicPr>
        <xdr:cNvPr id="2" name="Imagem 1">
          <a:extLst>
            <a:ext uri="{FF2B5EF4-FFF2-40B4-BE49-F238E27FC236}">
              <a16:creationId xmlns:a16="http://schemas.microsoft.com/office/drawing/2014/main" id="{B1A49A92-94EB-4F89-846A-2E81DC47D188}"/>
            </a:ext>
          </a:extLst>
        </xdr:cNvPr>
        <xdr:cNvPicPr>
          <a:picLocks noChangeAspect="1"/>
        </xdr:cNvPicPr>
      </xdr:nvPicPr>
      <xdr:blipFill rotWithShape="1">
        <a:blip xmlns:r="http://schemas.openxmlformats.org/officeDocument/2006/relationships" r:embed="rId1"/>
        <a:srcRect t="12729"/>
        <a:stretch/>
      </xdr:blipFill>
      <xdr:spPr>
        <a:xfrm>
          <a:off x="219075" y="28575"/>
          <a:ext cx="1940935" cy="523875"/>
        </a:xfrm>
        <a:prstGeom prst="rect">
          <a:avLst/>
        </a:prstGeom>
      </xdr:spPr>
    </xdr:pic>
    <xdr:clientData/>
  </xdr:twoCellAnchor>
  <xdr:twoCellAnchor>
    <xdr:from>
      <xdr:col>35</xdr:col>
      <xdr:colOff>95250</xdr:colOff>
      <xdr:row>1</xdr:row>
      <xdr:rowOff>0</xdr:rowOff>
    </xdr:from>
    <xdr:to>
      <xdr:col>36</xdr:col>
      <xdr:colOff>161925</xdr:colOff>
      <xdr:row>2</xdr:row>
      <xdr:rowOff>66675</xdr:rowOff>
    </xdr:to>
    <xdr:sp macro="" textlink="">
      <xdr:nvSpPr>
        <xdr:cNvPr id="3" name="Retângulo: Biselado 2">
          <a:hlinkClick xmlns:r="http://schemas.openxmlformats.org/officeDocument/2006/relationships" r:id="rId2"/>
          <a:extLst>
            <a:ext uri="{FF2B5EF4-FFF2-40B4-BE49-F238E27FC236}">
              <a16:creationId xmlns:a16="http://schemas.microsoft.com/office/drawing/2014/main" id="{0F41A075-F22A-4786-82C6-6A553E706DA7}"/>
            </a:ext>
          </a:extLst>
        </xdr:cNvPr>
        <xdr:cNvSpPr/>
      </xdr:nvSpPr>
      <xdr:spPr>
        <a:xfrm>
          <a:off x="18707100" y="161925"/>
          <a:ext cx="933450" cy="304800"/>
        </a:xfrm>
        <a:prstGeom prst="bevel">
          <a:avLst/>
        </a:prstGeom>
        <a:solidFill>
          <a:srgbClr val="00943B"/>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800"/>
            <a:t>Sumário</a:t>
          </a:r>
          <a:r>
            <a:rPr lang="en-US" sz="800" baseline="0"/>
            <a:t> Summary</a:t>
          </a:r>
          <a:endParaRPr lang="en-US" sz="8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285750</xdr:colOff>
      <xdr:row>0</xdr:row>
      <xdr:rowOff>228600</xdr:rowOff>
    </xdr:from>
    <xdr:to>
      <xdr:col>1</xdr:col>
      <xdr:colOff>1855210</xdr:colOff>
      <xdr:row>2</xdr:row>
      <xdr:rowOff>76200</xdr:rowOff>
    </xdr:to>
    <xdr:pic>
      <xdr:nvPicPr>
        <xdr:cNvPr id="2" name="Imagem 1" descr="Texto&#10;&#10;Descrição gerada automaticamente com confiança baixa">
          <a:extLst>
            <a:ext uri="{FF2B5EF4-FFF2-40B4-BE49-F238E27FC236}">
              <a16:creationId xmlns:a16="http://schemas.microsoft.com/office/drawing/2014/main" id="{ECCCEDC4-50A3-4F82-9B4A-C8ECABAE327B}"/>
            </a:ext>
          </a:extLst>
        </xdr:cNvPr>
        <xdr:cNvPicPr>
          <a:picLocks noChangeAspect="1"/>
        </xdr:cNvPicPr>
      </xdr:nvPicPr>
      <xdr:blipFill rotWithShape="1">
        <a:blip xmlns:r="http://schemas.openxmlformats.org/officeDocument/2006/relationships" r:embed="rId1"/>
        <a:srcRect t="12729"/>
        <a:stretch/>
      </xdr:blipFill>
      <xdr:spPr>
        <a:xfrm>
          <a:off x="285750" y="228600"/>
          <a:ext cx="1940935" cy="523875"/>
        </a:xfrm>
        <a:prstGeom prst="rect">
          <a:avLst/>
        </a:prstGeom>
      </xdr:spPr>
    </xdr:pic>
    <xdr:clientData/>
  </xdr:twoCellAnchor>
  <xdr:twoCellAnchor>
    <xdr:from>
      <xdr:col>28</xdr:col>
      <xdr:colOff>304800</xdr:colOff>
      <xdr:row>0</xdr:row>
      <xdr:rowOff>76200</xdr:rowOff>
    </xdr:from>
    <xdr:to>
      <xdr:col>29</xdr:col>
      <xdr:colOff>561975</xdr:colOff>
      <xdr:row>0</xdr:row>
      <xdr:rowOff>381000</xdr:rowOff>
    </xdr:to>
    <xdr:sp macro="" textlink="">
      <xdr:nvSpPr>
        <xdr:cNvPr id="3" name="Retângulo: Biselado 2">
          <a:hlinkClick xmlns:r="http://schemas.openxmlformats.org/officeDocument/2006/relationships" r:id="rId2"/>
          <a:extLst>
            <a:ext uri="{FF2B5EF4-FFF2-40B4-BE49-F238E27FC236}">
              <a16:creationId xmlns:a16="http://schemas.microsoft.com/office/drawing/2014/main" id="{4551DBEA-1556-468F-8B77-B6BEF8C0F458}"/>
            </a:ext>
          </a:extLst>
        </xdr:cNvPr>
        <xdr:cNvSpPr/>
      </xdr:nvSpPr>
      <xdr:spPr>
        <a:xfrm>
          <a:off x="13916025" y="76200"/>
          <a:ext cx="866775" cy="304800"/>
        </a:xfrm>
        <a:prstGeom prst="bevel">
          <a:avLst/>
        </a:prstGeom>
        <a:solidFill>
          <a:srgbClr val="00943B"/>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800"/>
            <a:t>Sumário</a:t>
          </a:r>
          <a:r>
            <a:rPr lang="en-US" sz="800" baseline="0"/>
            <a:t> Summary</a:t>
          </a:r>
          <a:endParaRPr lang="en-US" sz="8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371475</xdr:colOff>
      <xdr:row>0</xdr:row>
      <xdr:rowOff>57150</xdr:rowOff>
    </xdr:from>
    <xdr:to>
      <xdr:col>1</xdr:col>
      <xdr:colOff>2226685</xdr:colOff>
      <xdr:row>3</xdr:row>
      <xdr:rowOff>28575</xdr:rowOff>
    </xdr:to>
    <xdr:pic>
      <xdr:nvPicPr>
        <xdr:cNvPr id="2" name="Imagem 1">
          <a:extLst>
            <a:ext uri="{FF2B5EF4-FFF2-40B4-BE49-F238E27FC236}">
              <a16:creationId xmlns:a16="http://schemas.microsoft.com/office/drawing/2014/main" id="{8FE24581-3598-4598-9EBA-F640F21500D8}"/>
            </a:ext>
          </a:extLst>
        </xdr:cNvPr>
        <xdr:cNvPicPr>
          <a:picLocks noChangeAspect="1"/>
        </xdr:cNvPicPr>
      </xdr:nvPicPr>
      <xdr:blipFill rotWithShape="1">
        <a:blip xmlns:r="http://schemas.openxmlformats.org/officeDocument/2006/relationships" r:embed="rId1"/>
        <a:srcRect l="4416" t="12729" b="6233"/>
        <a:stretch/>
      </xdr:blipFill>
      <xdr:spPr>
        <a:xfrm>
          <a:off x="542925" y="57150"/>
          <a:ext cx="1855210" cy="590550"/>
        </a:xfrm>
        <a:prstGeom prst="rect">
          <a:avLst/>
        </a:prstGeom>
      </xdr:spPr>
    </xdr:pic>
    <xdr:clientData/>
  </xdr:twoCellAnchor>
  <xdr:twoCellAnchor>
    <xdr:from>
      <xdr:col>40</xdr:col>
      <xdr:colOff>53961</xdr:colOff>
      <xdr:row>1</xdr:row>
      <xdr:rowOff>74084</xdr:rowOff>
    </xdr:from>
    <xdr:to>
      <xdr:col>41</xdr:col>
      <xdr:colOff>20094</xdr:colOff>
      <xdr:row>2</xdr:row>
      <xdr:rowOff>135467</xdr:rowOff>
    </xdr:to>
    <xdr:sp macro="" textlink="">
      <xdr:nvSpPr>
        <xdr:cNvPr id="3" name="Retângulo: Biselado 2">
          <a:hlinkClick xmlns:r="http://schemas.openxmlformats.org/officeDocument/2006/relationships" r:id="rId2"/>
          <a:extLst>
            <a:ext uri="{FF2B5EF4-FFF2-40B4-BE49-F238E27FC236}">
              <a16:creationId xmlns:a16="http://schemas.microsoft.com/office/drawing/2014/main" id="{B4EFEC86-AB86-4ADE-A6B0-5006C501F389}"/>
            </a:ext>
          </a:extLst>
        </xdr:cNvPr>
        <xdr:cNvSpPr/>
      </xdr:nvSpPr>
      <xdr:spPr>
        <a:xfrm>
          <a:off x="22977461" y="264584"/>
          <a:ext cx="876300" cy="304800"/>
        </a:xfrm>
        <a:prstGeom prst="bevel">
          <a:avLst/>
        </a:prstGeom>
        <a:solidFill>
          <a:srgbClr val="00943B"/>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800"/>
            <a:t>Sumário</a:t>
          </a:r>
          <a:r>
            <a:rPr lang="en-US" sz="800" baseline="0"/>
            <a:t> Summary</a:t>
          </a:r>
          <a:endParaRPr lang="en-US" sz="8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114300</xdr:colOff>
      <xdr:row>1</xdr:row>
      <xdr:rowOff>57150</xdr:rowOff>
    </xdr:from>
    <xdr:to>
      <xdr:col>1</xdr:col>
      <xdr:colOff>1798060</xdr:colOff>
      <xdr:row>3</xdr:row>
      <xdr:rowOff>123825</xdr:rowOff>
    </xdr:to>
    <xdr:pic>
      <xdr:nvPicPr>
        <xdr:cNvPr id="2" name="Imagem 1" descr="Texto&#10;&#10;Descrição gerada automaticamente com confiança baixa">
          <a:extLst>
            <a:ext uri="{FF2B5EF4-FFF2-40B4-BE49-F238E27FC236}">
              <a16:creationId xmlns:a16="http://schemas.microsoft.com/office/drawing/2014/main" id="{4CEFF05C-3135-4FCD-B9E6-444AC19E982A}"/>
            </a:ext>
          </a:extLst>
        </xdr:cNvPr>
        <xdr:cNvPicPr>
          <a:picLocks noChangeAspect="1"/>
        </xdr:cNvPicPr>
      </xdr:nvPicPr>
      <xdr:blipFill rotWithShape="1">
        <a:blip xmlns:r="http://schemas.openxmlformats.org/officeDocument/2006/relationships" r:embed="rId1"/>
        <a:srcRect l="4416" t="12729" b="6233"/>
        <a:stretch/>
      </xdr:blipFill>
      <xdr:spPr>
        <a:xfrm>
          <a:off x="114300" y="247650"/>
          <a:ext cx="1855210" cy="495300"/>
        </a:xfrm>
        <a:prstGeom prst="rect">
          <a:avLst/>
        </a:prstGeom>
      </xdr:spPr>
    </xdr:pic>
    <xdr:clientData/>
  </xdr:twoCellAnchor>
  <xdr:twoCellAnchor>
    <xdr:from>
      <xdr:col>14</xdr:col>
      <xdr:colOff>180975</xdr:colOff>
      <xdr:row>1</xdr:row>
      <xdr:rowOff>38100</xdr:rowOff>
    </xdr:from>
    <xdr:to>
      <xdr:col>15</xdr:col>
      <xdr:colOff>447675</xdr:colOff>
      <xdr:row>2</xdr:row>
      <xdr:rowOff>152400</xdr:rowOff>
    </xdr:to>
    <xdr:sp macro="" textlink="">
      <xdr:nvSpPr>
        <xdr:cNvPr id="3" name="Retângulo: Biselado 2">
          <a:hlinkClick xmlns:r="http://schemas.openxmlformats.org/officeDocument/2006/relationships" r:id="rId2"/>
          <a:extLst>
            <a:ext uri="{FF2B5EF4-FFF2-40B4-BE49-F238E27FC236}">
              <a16:creationId xmlns:a16="http://schemas.microsoft.com/office/drawing/2014/main" id="{7B975610-C0FA-4552-AE45-CC10A0921C51}"/>
            </a:ext>
          </a:extLst>
        </xdr:cNvPr>
        <xdr:cNvSpPr/>
      </xdr:nvSpPr>
      <xdr:spPr>
        <a:xfrm>
          <a:off x="14697075" y="228600"/>
          <a:ext cx="876300" cy="304800"/>
        </a:xfrm>
        <a:prstGeom prst="bevel">
          <a:avLst/>
        </a:prstGeom>
        <a:solidFill>
          <a:srgbClr val="00943B"/>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800"/>
            <a:t>Sumário</a:t>
          </a:r>
          <a:r>
            <a:rPr lang="en-US" sz="800" baseline="0"/>
            <a:t> Summary</a:t>
          </a:r>
          <a:endParaRPr lang="en-US" sz="8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209550</xdr:colOff>
      <xdr:row>0</xdr:row>
      <xdr:rowOff>66675</xdr:rowOff>
    </xdr:from>
    <xdr:to>
      <xdr:col>3</xdr:col>
      <xdr:colOff>616960</xdr:colOff>
      <xdr:row>2</xdr:row>
      <xdr:rowOff>133350</xdr:rowOff>
    </xdr:to>
    <xdr:pic>
      <xdr:nvPicPr>
        <xdr:cNvPr id="2" name="Imagem 1">
          <a:extLst>
            <a:ext uri="{FF2B5EF4-FFF2-40B4-BE49-F238E27FC236}">
              <a16:creationId xmlns:a16="http://schemas.microsoft.com/office/drawing/2014/main" id="{4005E20F-56A2-4FE0-B8CC-B2B5814D6375}"/>
            </a:ext>
          </a:extLst>
        </xdr:cNvPr>
        <xdr:cNvPicPr>
          <a:picLocks noChangeAspect="1"/>
        </xdr:cNvPicPr>
      </xdr:nvPicPr>
      <xdr:blipFill rotWithShape="1">
        <a:blip xmlns:r="http://schemas.openxmlformats.org/officeDocument/2006/relationships" r:embed="rId1"/>
        <a:srcRect l="4416" t="12729" b="6233"/>
        <a:stretch/>
      </xdr:blipFill>
      <xdr:spPr>
        <a:xfrm>
          <a:off x="581025" y="66675"/>
          <a:ext cx="1855210" cy="495300"/>
        </a:xfrm>
        <a:prstGeom prst="rect">
          <a:avLst/>
        </a:prstGeom>
      </xdr:spPr>
    </xdr:pic>
    <xdr:clientData/>
  </xdr:twoCellAnchor>
  <xdr:twoCellAnchor>
    <xdr:from>
      <xdr:col>18</xdr:col>
      <xdr:colOff>19050</xdr:colOff>
      <xdr:row>0</xdr:row>
      <xdr:rowOff>171450</xdr:rowOff>
    </xdr:from>
    <xdr:to>
      <xdr:col>19</xdr:col>
      <xdr:colOff>85725</xdr:colOff>
      <xdr:row>2</xdr:row>
      <xdr:rowOff>47625</xdr:rowOff>
    </xdr:to>
    <xdr:sp macro="" textlink="">
      <xdr:nvSpPr>
        <xdr:cNvPr id="5" name="Retângulo: Biselado 4">
          <a:hlinkClick xmlns:r="http://schemas.openxmlformats.org/officeDocument/2006/relationships" r:id="rId2"/>
          <a:extLst>
            <a:ext uri="{FF2B5EF4-FFF2-40B4-BE49-F238E27FC236}">
              <a16:creationId xmlns:a16="http://schemas.microsoft.com/office/drawing/2014/main" id="{E6417208-3B02-4510-877A-FD1C7308C305}"/>
            </a:ext>
          </a:extLst>
        </xdr:cNvPr>
        <xdr:cNvSpPr/>
      </xdr:nvSpPr>
      <xdr:spPr>
        <a:xfrm>
          <a:off x="11134725" y="171450"/>
          <a:ext cx="676275" cy="304800"/>
        </a:xfrm>
        <a:prstGeom prst="bevel">
          <a:avLst/>
        </a:prstGeom>
        <a:solidFill>
          <a:srgbClr val="00943B"/>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800"/>
            <a:t>Sumário</a:t>
          </a:r>
          <a:r>
            <a:rPr lang="en-US" sz="800" baseline="0"/>
            <a:t> Summary</a:t>
          </a:r>
          <a:endParaRPr lang="en-US" sz="800"/>
        </a:p>
      </xdr:txBody>
    </xdr:sp>
    <xdr:clientData/>
  </xdr:two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eia.gov/dnav/pet/hist/LeafHandler.ashx?n=PET&amp;s=RBRTE&amp;f=M" TargetMode="External"/><Relationship Id="rId1" Type="http://schemas.openxmlformats.org/officeDocument/2006/relationships/hyperlink" Target="https://www.theice.com/marketdata/reports/10"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3B52E-889A-463B-B09C-D9CD78A9A038}">
  <dimension ref="A1:X42"/>
  <sheetViews>
    <sheetView showGridLines="0" tabSelected="1" zoomScaleNormal="100" workbookViewId="0"/>
  </sheetViews>
  <sheetFormatPr defaultColWidth="0" defaultRowHeight="15" customHeight="1" zeroHeight="1"/>
  <cols>
    <col min="1" max="1" width="9.140625" customWidth="1"/>
    <col min="2" max="2" width="11.42578125" customWidth="1"/>
    <col min="3" max="3" width="5" customWidth="1"/>
    <col min="4" max="4" width="71.5703125" bestFit="1" customWidth="1"/>
    <col min="5" max="9" width="9.140625" customWidth="1"/>
    <col min="10" max="10" width="9.140625" hidden="1" customWidth="1"/>
    <col min="11" max="24" width="0" hidden="1" customWidth="1"/>
    <col min="25" max="16384" width="9.140625" hidden="1"/>
  </cols>
  <sheetData>
    <row r="1" spans="1:16"/>
    <row r="2" spans="1:16"/>
    <row r="3" spans="1:16" ht="28.5">
      <c r="C3" s="20"/>
      <c r="D3" s="187" t="s">
        <v>786</v>
      </c>
      <c r="F3" s="21"/>
      <c r="G3" s="21"/>
    </row>
    <row r="4" spans="1:16"/>
    <row r="5" spans="1:16">
      <c r="D5" s="21"/>
      <c r="E5" s="21"/>
      <c r="F5" s="21"/>
      <c r="G5" s="21"/>
      <c r="H5" s="21"/>
      <c r="I5" s="21"/>
      <c r="J5" s="21"/>
      <c r="K5" s="21"/>
      <c r="L5" s="21"/>
      <c r="M5" s="21"/>
      <c r="N5" s="21"/>
      <c r="O5" s="21"/>
      <c r="P5" s="21"/>
    </row>
    <row r="6" spans="1:16"/>
    <row r="7" spans="1:16" ht="18.75">
      <c r="C7" s="182" t="s">
        <v>957</v>
      </c>
    </row>
    <row r="8" spans="1:16">
      <c r="A8" s="216"/>
      <c r="B8" s="216"/>
      <c r="C8" s="216"/>
      <c r="D8" s="217" t="s">
        <v>958</v>
      </c>
      <c r="E8" s="216"/>
    </row>
    <row r="9" spans="1:16">
      <c r="A9" s="216"/>
      <c r="B9" s="216"/>
      <c r="C9" s="216"/>
      <c r="D9" s="217" t="s">
        <v>959</v>
      </c>
      <c r="E9" s="216"/>
    </row>
    <row r="10" spans="1:16">
      <c r="A10" s="216"/>
      <c r="B10" s="216"/>
      <c r="C10" s="216"/>
      <c r="D10" s="217" t="s">
        <v>960</v>
      </c>
      <c r="E10" s="216"/>
    </row>
    <row r="11" spans="1:16">
      <c r="A11" s="216"/>
      <c r="B11" s="216"/>
      <c r="C11" s="216"/>
      <c r="D11" s="217" t="s">
        <v>961</v>
      </c>
      <c r="E11" s="216"/>
    </row>
    <row r="12" spans="1:16">
      <c r="A12" s="216"/>
      <c r="B12" s="216"/>
      <c r="C12" s="216"/>
      <c r="D12" s="217" t="s">
        <v>1214</v>
      </c>
      <c r="E12" s="216"/>
    </row>
    <row r="13" spans="1:16">
      <c r="A13" s="216"/>
      <c r="B13" s="216"/>
      <c r="C13" s="216"/>
      <c r="D13" s="216"/>
      <c r="E13" s="216"/>
    </row>
    <row r="14" spans="1:16" ht="18.75">
      <c r="A14" s="216"/>
      <c r="B14" s="216"/>
      <c r="C14" s="218" t="s">
        <v>962</v>
      </c>
      <c r="D14" s="216"/>
      <c r="E14" s="216"/>
    </row>
    <row r="15" spans="1:16">
      <c r="A15" s="216"/>
      <c r="B15" s="216"/>
      <c r="C15" s="216"/>
      <c r="D15" s="217" t="s">
        <v>963</v>
      </c>
      <c r="E15" s="216"/>
    </row>
    <row r="16" spans="1:16" ht="14.25" customHeight="1">
      <c r="A16" s="216"/>
      <c r="B16" s="216"/>
      <c r="C16" s="216"/>
      <c r="D16" s="217" t="s">
        <v>964</v>
      </c>
      <c r="E16" s="216"/>
    </row>
    <row r="17" spans="1:5">
      <c r="A17" s="216"/>
      <c r="B17" s="216"/>
      <c r="C17" s="216"/>
      <c r="D17" s="217" t="s">
        <v>965</v>
      </c>
      <c r="E17" s="216"/>
    </row>
    <row r="18" spans="1:5">
      <c r="A18" s="216"/>
      <c r="B18" s="216"/>
      <c r="C18" s="216"/>
      <c r="D18" s="217" t="s">
        <v>1057</v>
      </c>
      <c r="E18" s="216"/>
    </row>
    <row r="19" spans="1:5">
      <c r="A19" s="216"/>
      <c r="B19" s="216"/>
      <c r="C19" s="216"/>
      <c r="D19" s="217" t="s">
        <v>966</v>
      </c>
      <c r="E19" s="216"/>
    </row>
    <row r="20" spans="1:5">
      <c r="A20" s="216"/>
      <c r="B20" s="216"/>
      <c r="C20" s="216"/>
      <c r="D20" s="267" t="s">
        <v>1089</v>
      </c>
      <c r="E20" s="216"/>
    </row>
    <row r="21" spans="1:5">
      <c r="A21" s="216"/>
      <c r="B21" s="216"/>
      <c r="C21" s="216"/>
      <c r="D21" s="217" t="s">
        <v>1169</v>
      </c>
      <c r="E21" s="216"/>
    </row>
    <row r="22" spans="1:5">
      <c r="A22" s="216"/>
      <c r="B22" s="216"/>
      <c r="C22" s="216"/>
      <c r="D22" s="217" t="s">
        <v>1170</v>
      </c>
      <c r="E22" s="216"/>
    </row>
    <row r="23" spans="1:5">
      <c r="A23" s="216"/>
      <c r="B23" s="216"/>
      <c r="C23" s="216"/>
      <c r="D23" s="216"/>
      <c r="E23" s="216"/>
    </row>
    <row r="24" spans="1:5" ht="18.75">
      <c r="A24" s="216"/>
      <c r="B24" s="216"/>
      <c r="C24" s="218" t="s">
        <v>967</v>
      </c>
      <c r="D24" s="216"/>
      <c r="E24" s="216"/>
    </row>
    <row r="25" spans="1:5" ht="18.75">
      <c r="A25" s="216"/>
      <c r="B25" s="216"/>
      <c r="C25" s="218"/>
      <c r="D25" s="217" t="s">
        <v>968</v>
      </c>
      <c r="E25" s="216"/>
    </row>
    <row r="26" spans="1:5">
      <c r="A26" s="216"/>
      <c r="B26" s="216"/>
      <c r="C26" s="216"/>
      <c r="D26" s="216"/>
      <c r="E26" s="216"/>
    </row>
    <row r="27" spans="1:5" ht="18.75">
      <c r="A27" s="216"/>
      <c r="B27" s="216"/>
      <c r="C27" s="218" t="s">
        <v>1191</v>
      </c>
      <c r="D27" s="216"/>
      <c r="E27" s="216"/>
    </row>
    <row r="28" spans="1:5">
      <c r="A28" s="216"/>
      <c r="B28" s="216"/>
      <c r="C28" s="216"/>
      <c r="D28" s="217" t="s">
        <v>969</v>
      </c>
      <c r="E28" s="216"/>
    </row>
    <row r="29" spans="1:5">
      <c r="A29" s="216"/>
      <c r="B29" s="216"/>
      <c r="C29" s="216"/>
      <c r="D29" s="217" t="s">
        <v>1203</v>
      </c>
      <c r="E29" s="216"/>
    </row>
    <row r="30" spans="1:5">
      <c r="A30" s="216"/>
      <c r="B30" s="216"/>
      <c r="C30" s="216"/>
      <c r="D30" s="217" t="s">
        <v>970</v>
      </c>
      <c r="E30" s="216"/>
    </row>
    <row r="31" spans="1:5">
      <c r="A31" s="216"/>
      <c r="B31" s="216"/>
      <c r="C31" s="216"/>
      <c r="D31" s="217" t="s">
        <v>971</v>
      </c>
      <c r="E31" s="216"/>
    </row>
    <row r="32" spans="1:5">
      <c r="A32" s="216"/>
      <c r="B32" s="216"/>
      <c r="C32" s="216"/>
      <c r="D32" s="217" t="s">
        <v>976</v>
      </c>
      <c r="E32" s="216"/>
    </row>
    <row r="33" spans="1:5">
      <c r="A33" s="216"/>
      <c r="B33" s="216"/>
      <c r="C33" s="216"/>
      <c r="D33" s="216"/>
      <c r="E33" s="216"/>
    </row>
    <row r="34" spans="1:5">
      <c r="A34" s="216"/>
      <c r="B34" s="216"/>
      <c r="C34" s="216"/>
      <c r="D34" s="216"/>
      <c r="E34" s="216"/>
    </row>
    <row r="35" spans="1:5"/>
    <row r="36" spans="1:5" ht="15" customHeight="1"/>
    <row r="39" spans="1:5"/>
    <row r="40" spans="1:5"/>
    <row r="41" spans="1:5"/>
    <row r="42" spans="1:5"/>
  </sheetData>
  <hyperlinks>
    <hyperlink ref="D8" location="'Balanço Patrimonial'!A1" display="1.1. Balanço Patrimonial | Balance Sheet" xr:uid="{BF73E10C-045C-4744-A5DE-C218F330B5B4}"/>
    <hyperlink ref="D9" location="'DRE (resumida)'!A1" display="1.2. Demonstração de Resultados (Resumida) |  Income Statement (Summary)" xr:uid="{DF9EB6F7-56CC-4137-B88F-759448F2A79A}"/>
    <hyperlink ref="D10" location="'DRE (detalhada)'!A1" display="1.3. Demonstração de Resultados (Detalhada) |  Income Statement (Detailed)" xr:uid="{0AD30623-6D4C-42FA-8AC5-E813B7697F4C}"/>
    <hyperlink ref="D11" location="'Fluxo de Caixa'!A1" display="1.4. Fluxo de Caixa | Cash Flow" xr:uid="{6330CF92-C68B-4934-AC1C-878A25003D02}"/>
    <hyperlink ref="D15" location="Realização!A1" display="2.1 Preço de Realização | Realization Price" xr:uid="{54769A6A-03D7-4D70-AE32-E6170BABFF8D}"/>
    <hyperlink ref="D16" location="'Lifting Cost'!A1" display="2.2. Custo Operacional | Lifting Cost" xr:uid="{51CE99CC-9A7F-4FA6-8CD0-DE917978FA43}"/>
    <hyperlink ref="D17" location="'Referências de Preço Petróleo'!A1" display="2.3. Referências de Preço de Petróleo | Oil Price Reference " xr:uid="{BE2566DC-0666-49DD-A430-CE6AFE902B6C}"/>
    <hyperlink ref="D18" location="Impostos!A1" display="2.4. Impostos sobre a Receita  | Revenue Taxes" xr:uid="{157081C7-9BC3-4C83-AB9D-FED8D76D8A68}"/>
    <hyperlink ref="D19" location="'QDC  Gás '!A1" display="2.5. Contratos Firmes Gás Seco | Dry Gas Firm Contracts" xr:uid="{9398D7C1-AFB1-4836-B107-304AB8A2AF45}"/>
    <hyperlink ref="D25" location="'Produção WI'!A1" display="3.1. Produção de Titularidade da Companhia | Working Interest Production" xr:uid="{1A084FB6-F0C8-4445-82BE-AC6993CF69B3}"/>
    <hyperlink ref="D28" location="'Certificação de Reservas'!A1" display="4.1. Reservas de Participação Bruta | Gross Working Interest Reserves" xr:uid="{CF6E5C07-9C63-4D93-81CD-4DEF33ACC214}"/>
    <hyperlink ref="D29" location="Receita!A1" display="4.2. Receita Bruta e Líquida por Produto | Gross and Net Revenue by Product" xr:uid="{3E33F08D-763F-4D34-BAB6-BAB84A5322C8}"/>
    <hyperlink ref="D30" location="Custos!A1" display="4.3. Deduções e Despesas Líquidas | Deductions and Net Expenses" xr:uid="{A96FA8D8-2C23-4440-8B55-C1C746078AFB}"/>
    <hyperlink ref="D31" location="Opex!A1" display="4.4. Opex Breakdown" xr:uid="{1AED0412-7BE4-42C0-8149-374499F5B261}"/>
    <hyperlink ref="D32" location="Capex!A1" display="4.5. Capex por Ativo | Capex by Asset" xr:uid="{EDE2AA3D-384F-47DB-AEFF-697F4B0FB2B0}"/>
    <hyperlink ref="D12" location="'Imob e Intang'!A1" display="1.5. Capex 2023 | Ativo Imobilizado e Intangível" xr:uid="{AC7B32CA-639A-4465-B022-757A3A2E5AF9}"/>
    <hyperlink ref="D20" location="'Tabela de Conversão'!A1" display="2.6. Tabela de Conversão | Conversion Table" xr:uid="{17B7CC68-1490-41D1-9533-7BF95A18FAB4}"/>
    <hyperlink ref="D21" location="Hedge!A1" display="2.6. Histórico de Hedge | Hedge History" xr:uid="{0D47617F-ACD5-44B4-9EDF-DAF8209C8703}"/>
    <hyperlink ref="D22" location="Aquisições!A1" display="2.7. Valores a Pagar por Aquisições | Acquisitions Paybles" xr:uid="{32A7018F-4415-45B3-B1D4-81F0DA855BB5}"/>
  </hyperlinks>
  <pageMargins left="0.511811024" right="0.511811024" top="0.78740157499999996" bottom="0.78740157499999996" header="0.31496062000000002" footer="0.31496062000000002"/>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DB7C3-E40D-47EC-97AA-1CC2BE4A66B7}">
  <sheetPr>
    <pageSetUpPr fitToPage="1"/>
  </sheetPr>
  <dimension ref="B1:Q48"/>
  <sheetViews>
    <sheetView showGridLines="0" showRowColHeaders="0" zoomScale="90" zoomScaleNormal="90" workbookViewId="0">
      <pane xSplit="3" ySplit="5" topLeftCell="D6" activePane="bottomRight" state="frozen"/>
      <selection activeCell="I24" sqref="I24"/>
      <selection pane="topRight" activeCell="I24" sqref="I24"/>
      <selection pane="bottomLeft" activeCell="I24" sqref="I24"/>
      <selection pane="bottomRight"/>
    </sheetView>
  </sheetViews>
  <sheetFormatPr defaultRowHeight="15"/>
  <cols>
    <col min="1" max="1" width="1.85546875" customWidth="1"/>
    <col min="2" max="2" width="1.28515625" style="3" customWidth="1"/>
    <col min="3" max="3" width="27.5703125" customWidth="1"/>
    <col min="4" max="4" width="1.5703125" style="148" customWidth="1"/>
    <col min="5" max="5" width="47.42578125" customWidth="1"/>
    <col min="6" max="6" width="1.5703125" style="148" customWidth="1"/>
    <col min="7" max="7" width="49" customWidth="1"/>
    <col min="8" max="8" width="1.5703125" style="148" customWidth="1"/>
    <col min="9" max="9" width="17.5703125" customWidth="1"/>
    <col min="10" max="10" width="1.5703125" style="148" customWidth="1"/>
    <col min="11" max="11" width="14.5703125" bestFit="1" customWidth="1"/>
    <col min="12" max="12" width="1.5703125" style="148" customWidth="1"/>
    <col min="13" max="13" width="55.140625" style="160" bestFit="1" customWidth="1"/>
    <col min="14" max="14" width="1.5703125" style="148" customWidth="1"/>
    <col min="15" max="15" width="49.5703125" style="160" bestFit="1" customWidth="1"/>
  </cols>
  <sheetData>
    <row r="1" spans="2:17" s="3" customFormat="1" ht="12.75">
      <c r="D1" s="38"/>
      <c r="F1" s="38"/>
      <c r="H1" s="38"/>
      <c r="J1" s="38"/>
      <c r="L1" s="38"/>
      <c r="M1" s="12"/>
      <c r="N1" s="38"/>
      <c r="O1" s="12"/>
    </row>
    <row r="2" spans="2:17" s="3" customFormat="1" ht="18.75">
      <c r="D2" s="141"/>
      <c r="E2" s="377" t="s">
        <v>1047</v>
      </c>
      <c r="F2" s="377"/>
      <c r="G2" s="377"/>
      <c r="H2" s="377"/>
      <c r="I2" s="378"/>
      <c r="J2" s="377"/>
      <c r="K2" s="378"/>
      <c r="L2" s="377"/>
      <c r="M2" s="377"/>
      <c r="N2" s="377"/>
      <c r="O2" s="377"/>
      <c r="P2" s="377"/>
    </row>
    <row r="3" spans="2:17" s="3" customFormat="1" ht="12.75">
      <c r="D3" s="142"/>
      <c r="E3" s="44"/>
      <c r="F3" s="142"/>
      <c r="G3" s="44"/>
      <c r="H3" s="142"/>
      <c r="I3" s="44"/>
      <c r="J3" s="142"/>
      <c r="K3" s="18"/>
      <c r="L3" s="142"/>
      <c r="M3" s="12"/>
      <c r="N3" s="142"/>
      <c r="O3" s="12"/>
    </row>
    <row r="4" spans="2:17" s="3" customFormat="1" ht="12.75">
      <c r="D4" s="38"/>
      <c r="F4" s="38"/>
      <c r="H4" s="38"/>
      <c r="J4" s="38"/>
      <c r="L4" s="38"/>
      <c r="M4" s="12"/>
      <c r="N4" s="38"/>
      <c r="O4" s="12"/>
    </row>
    <row r="5" spans="2:17" ht="45">
      <c r="B5"/>
      <c r="C5" s="245" t="s">
        <v>931</v>
      </c>
      <c r="D5" s="144"/>
      <c r="E5" s="145" t="s">
        <v>666</v>
      </c>
      <c r="F5" s="144"/>
      <c r="G5" s="145" t="s">
        <v>789</v>
      </c>
      <c r="H5" s="144"/>
      <c r="I5" s="145" t="s">
        <v>1265</v>
      </c>
      <c r="J5" s="144"/>
      <c r="K5" s="146" t="s">
        <v>787</v>
      </c>
      <c r="L5" s="144"/>
      <c r="M5" s="146" t="s">
        <v>667</v>
      </c>
      <c r="N5" s="144"/>
      <c r="O5" s="146" t="s">
        <v>790</v>
      </c>
    </row>
    <row r="6" spans="2:17" ht="15.75" thickBot="1">
      <c r="B6" s="107"/>
      <c r="D6" s="147"/>
      <c r="E6" s="25"/>
      <c r="F6" s="147"/>
      <c r="G6" s="25"/>
      <c r="H6" s="147"/>
      <c r="I6" s="25"/>
      <c r="J6" s="147"/>
      <c r="K6" s="65"/>
      <c r="L6" s="147"/>
      <c r="N6" s="147"/>
    </row>
    <row r="7" spans="2:17" ht="16.5" thickTop="1" thickBot="1">
      <c r="C7" s="129" t="s">
        <v>668</v>
      </c>
      <c r="D7" s="149"/>
      <c r="E7" s="150" t="s">
        <v>669</v>
      </c>
      <c r="F7" s="149"/>
      <c r="G7" s="150" t="s">
        <v>788</v>
      </c>
      <c r="H7" s="149"/>
      <c r="I7" s="220">
        <v>9.2499999999999999E-2</v>
      </c>
      <c r="J7" s="220"/>
      <c r="K7" s="220">
        <v>9.2499999999999999E-2</v>
      </c>
      <c r="L7" s="149"/>
      <c r="M7" s="221" t="s">
        <v>672</v>
      </c>
      <c r="N7" s="162"/>
      <c r="O7" s="238" t="s">
        <v>1030</v>
      </c>
    </row>
    <row r="8" spans="2:17" ht="4.5" customHeight="1" thickTop="1" thickBot="1">
      <c r="C8" s="152"/>
      <c r="D8" s="149"/>
      <c r="E8" s="241"/>
      <c r="F8" s="149"/>
      <c r="G8" s="150"/>
      <c r="H8" s="149"/>
      <c r="I8" s="164"/>
      <c r="J8" s="164"/>
      <c r="K8" s="164"/>
      <c r="L8" s="149"/>
      <c r="M8" s="239"/>
      <c r="N8" s="162"/>
      <c r="O8" s="222"/>
    </row>
    <row r="9" spans="2:17" s="148" customFormat="1" ht="16.5" customHeight="1" thickTop="1" thickBot="1">
      <c r="B9" s="38"/>
      <c r="C9" s="225"/>
      <c r="D9" s="149"/>
      <c r="E9" s="153" t="s">
        <v>1001</v>
      </c>
      <c r="F9" s="188"/>
      <c r="G9" s="235" t="s">
        <v>1002</v>
      </c>
      <c r="H9" s="147"/>
      <c r="I9" s="151">
        <v>9.2499999999999999E-2</v>
      </c>
      <c r="K9" s="151">
        <v>9.2499999999999999E-2</v>
      </c>
      <c r="L9" s="149"/>
      <c r="M9" s="379" t="s">
        <v>1266</v>
      </c>
      <c r="N9" s="240"/>
      <c r="O9" s="379" t="s">
        <v>1267</v>
      </c>
      <c r="Q9"/>
    </row>
    <row r="10" spans="2:17" ht="4.5" customHeight="1" thickTop="1" thickBot="1">
      <c r="C10" s="152"/>
      <c r="D10" s="149"/>
      <c r="E10" s="241"/>
      <c r="F10" s="149"/>
      <c r="G10" s="150"/>
      <c r="H10" s="149"/>
      <c r="I10" s="164"/>
      <c r="J10" s="164"/>
      <c r="K10" s="164"/>
      <c r="L10" s="149"/>
      <c r="M10" s="379"/>
      <c r="N10" s="162"/>
      <c r="O10" s="379"/>
    </row>
    <row r="11" spans="2:17" ht="16.5" customHeight="1" thickTop="1">
      <c r="C11" s="152"/>
      <c r="D11" s="149"/>
      <c r="E11" s="153" t="s">
        <v>1003</v>
      </c>
      <c r="F11" s="149"/>
      <c r="G11" s="150" t="s">
        <v>1004</v>
      </c>
      <c r="H11" s="149"/>
      <c r="I11" s="165">
        <v>9.2499999999999999E-2</v>
      </c>
      <c r="J11" s="165"/>
      <c r="K11" s="165">
        <v>9.2499999999999999E-2</v>
      </c>
      <c r="L11" s="149"/>
      <c r="M11" s="379"/>
      <c r="N11" s="162"/>
      <c r="O11" s="379"/>
    </row>
    <row r="12" spans="2:17" ht="4.5" customHeight="1">
      <c r="C12" s="152"/>
      <c r="D12" s="149"/>
      <c r="E12" s="241"/>
      <c r="F12" s="149"/>
      <c r="G12" s="150"/>
      <c r="H12" s="149"/>
      <c r="I12" s="164"/>
      <c r="J12" s="164"/>
      <c r="K12" s="164"/>
      <c r="L12" s="149"/>
      <c r="M12" s="75"/>
      <c r="N12" s="162"/>
      <c r="O12" s="222"/>
    </row>
    <row r="13" spans="2:17" ht="15.75" thickBot="1">
      <c r="C13" s="152"/>
      <c r="D13" s="149"/>
      <c r="E13" s="241" t="s">
        <v>989</v>
      </c>
      <c r="G13" s="150" t="s">
        <v>990</v>
      </c>
      <c r="H13" s="149"/>
      <c r="I13" s="242">
        <v>9.2499999999999999E-2</v>
      </c>
      <c r="K13" s="242" t="s">
        <v>670</v>
      </c>
      <c r="L13" s="149"/>
      <c r="M13" s="75"/>
      <c r="N13" s="162"/>
      <c r="O13" s="222"/>
    </row>
    <row r="14" spans="2:17" ht="4.5" customHeight="1" thickTop="1" thickBot="1">
      <c r="C14" s="152"/>
      <c r="D14" s="149"/>
      <c r="E14" s="241"/>
      <c r="F14" s="149"/>
      <c r="G14" s="150"/>
      <c r="H14" s="149"/>
      <c r="I14" s="164"/>
      <c r="J14" s="164"/>
      <c r="K14" s="164"/>
      <c r="L14" s="149"/>
      <c r="M14" s="75"/>
      <c r="N14" s="162"/>
      <c r="O14" s="222"/>
    </row>
    <row r="15" spans="2:17" ht="16.5" thickTop="1" thickBot="1">
      <c r="C15" s="152"/>
      <c r="D15" s="149"/>
      <c r="E15" s="153" t="s">
        <v>988</v>
      </c>
      <c r="G15" s="150" t="s">
        <v>995</v>
      </c>
      <c r="H15" s="149"/>
      <c r="I15" s="151" t="s">
        <v>670</v>
      </c>
      <c r="K15" s="151">
        <v>9.2499999999999999E-2</v>
      </c>
      <c r="L15" s="149"/>
      <c r="M15" s="221" t="s">
        <v>672</v>
      </c>
      <c r="N15" s="162"/>
      <c r="O15" s="238" t="s">
        <v>1030</v>
      </c>
    </row>
    <row r="16" spans="2:17" ht="4.5" customHeight="1" thickTop="1" thickBot="1">
      <c r="C16" s="152"/>
      <c r="D16" s="149"/>
      <c r="E16" s="241"/>
      <c r="F16" s="149"/>
      <c r="G16" s="150"/>
      <c r="H16" s="149"/>
      <c r="I16" s="164"/>
      <c r="J16" s="164"/>
      <c r="K16" s="164"/>
      <c r="L16" s="149"/>
      <c r="M16" s="239"/>
      <c r="N16" s="162"/>
      <c r="O16" s="222"/>
    </row>
    <row r="17" spans="2:15" ht="16.5" thickTop="1" thickBot="1">
      <c r="C17" s="152"/>
      <c r="D17" s="149"/>
      <c r="E17" s="153" t="s">
        <v>991</v>
      </c>
      <c r="G17" s="150" t="s">
        <v>992</v>
      </c>
      <c r="H17" s="154"/>
      <c r="I17" s="151" t="s">
        <v>670</v>
      </c>
      <c r="K17" s="151">
        <v>0.28520000000000001</v>
      </c>
      <c r="L17" s="149"/>
      <c r="M17" s="221" t="s">
        <v>1268</v>
      </c>
      <c r="N17" s="162"/>
      <c r="O17" s="221" t="s">
        <v>1269</v>
      </c>
    </row>
    <row r="18" spans="2:15" ht="4.5" customHeight="1" thickTop="1" thickBot="1">
      <c r="C18" s="152"/>
      <c r="D18" s="149"/>
      <c r="E18" s="241"/>
      <c r="F18" s="149"/>
      <c r="G18" s="150"/>
      <c r="H18" s="149"/>
      <c r="I18" s="164"/>
      <c r="J18" s="164"/>
      <c r="K18" s="164"/>
      <c r="L18" s="149"/>
      <c r="M18" s="239"/>
      <c r="N18" s="162"/>
      <c r="O18" s="222"/>
    </row>
    <row r="19" spans="2:15" ht="16.5" thickTop="1" thickBot="1">
      <c r="C19" s="152"/>
      <c r="D19" s="149"/>
      <c r="E19" s="153" t="s">
        <v>1270</v>
      </c>
      <c r="F19" s="154"/>
      <c r="G19" s="150" t="s">
        <v>1271</v>
      </c>
      <c r="H19" s="154"/>
      <c r="I19" s="220" t="s">
        <v>670</v>
      </c>
      <c r="J19" s="165"/>
      <c r="K19" s="168">
        <v>0</v>
      </c>
      <c r="L19" s="149"/>
      <c r="M19" s="221" t="s">
        <v>993</v>
      </c>
      <c r="N19" s="162"/>
      <c r="O19" s="221" t="s">
        <v>994</v>
      </c>
    </row>
    <row r="20" spans="2:15" ht="16.5" thickTop="1" thickBot="1">
      <c r="C20" s="152"/>
      <c r="D20" s="149"/>
      <c r="E20" s="153" t="s">
        <v>1272</v>
      </c>
      <c r="F20" s="154"/>
      <c r="G20" s="150" t="s">
        <v>1273</v>
      </c>
      <c r="H20" s="154"/>
      <c r="I20" s="220" t="s">
        <v>670</v>
      </c>
      <c r="J20" s="165"/>
      <c r="K20" s="164" t="s">
        <v>1274</v>
      </c>
      <c r="L20" s="149"/>
      <c r="M20" s="221" t="s">
        <v>1275</v>
      </c>
      <c r="N20" s="162"/>
      <c r="O20" s="221" t="s">
        <v>1276</v>
      </c>
    </row>
    <row r="21" spans="2:15" ht="16.5" thickTop="1" thickBot="1">
      <c r="C21" s="152"/>
      <c r="D21" s="149"/>
      <c r="E21" s="241"/>
      <c r="F21" s="149"/>
      <c r="G21" s="241"/>
      <c r="H21" s="149"/>
      <c r="I21" s="164"/>
      <c r="J21" s="164"/>
      <c r="K21" s="164"/>
      <c r="L21" s="149"/>
      <c r="M21" s="12"/>
      <c r="N21" s="149"/>
      <c r="O21" s="12"/>
    </row>
    <row r="22" spans="2:15" ht="15.75" thickBot="1">
      <c r="D22" s="154"/>
      <c r="E22" s="246"/>
      <c r="F22" s="247"/>
      <c r="G22" s="246"/>
      <c r="H22" s="247"/>
      <c r="I22" s="248"/>
      <c r="J22" s="247"/>
      <c r="K22" s="248"/>
      <c r="L22" s="247"/>
      <c r="M22" s="249"/>
      <c r="N22" s="247"/>
      <c r="O22" s="249"/>
    </row>
    <row r="23" spans="2:15" ht="16.5" thickTop="1" thickBot="1">
      <c r="C23" s="129" t="s">
        <v>671</v>
      </c>
      <c r="D23" s="149"/>
      <c r="E23" s="150" t="s">
        <v>669</v>
      </c>
      <c r="F23" s="149"/>
      <c r="G23" s="150" t="s">
        <v>788</v>
      </c>
      <c r="H23" s="149"/>
      <c r="I23" s="339">
        <v>0</v>
      </c>
      <c r="J23" s="149"/>
      <c r="K23" s="156">
        <v>0</v>
      </c>
      <c r="L23" s="149"/>
      <c r="M23" s="221" t="s">
        <v>1277</v>
      </c>
      <c r="N23" s="162"/>
      <c r="O23" s="238" t="s">
        <v>1278</v>
      </c>
    </row>
    <row r="24" spans="2:15" ht="4.5" customHeight="1" thickTop="1" thickBot="1">
      <c r="C24" s="152"/>
      <c r="D24" s="149"/>
      <c r="E24" s="241"/>
      <c r="F24" s="149"/>
      <c r="G24" s="150"/>
      <c r="H24" s="149"/>
      <c r="I24" s="164"/>
      <c r="J24" s="164"/>
      <c r="K24" s="164"/>
      <c r="L24" s="149"/>
      <c r="M24" s="239"/>
      <c r="N24" s="162"/>
      <c r="O24" s="222"/>
    </row>
    <row r="25" spans="2:15" s="148" customFormat="1" ht="16.5" thickTop="1" thickBot="1">
      <c r="B25" s="38"/>
      <c r="C25" s="226"/>
      <c r="D25" s="149"/>
      <c r="E25" s="153" t="s">
        <v>1001</v>
      </c>
      <c r="F25" s="188"/>
      <c r="G25" s="235" t="s">
        <v>1002</v>
      </c>
      <c r="H25" s="147"/>
      <c r="I25" s="236" t="s">
        <v>1031</v>
      </c>
      <c r="J25" s="151"/>
      <c r="K25" s="156">
        <v>0.18</v>
      </c>
      <c r="L25" s="149"/>
      <c r="M25" s="379" t="s">
        <v>1279</v>
      </c>
      <c r="N25" s="149"/>
      <c r="O25" s="379" t="s">
        <v>1280</v>
      </c>
    </row>
    <row r="26" spans="2:15" ht="4.5" customHeight="1" thickTop="1" thickBot="1">
      <c r="C26" s="152"/>
      <c r="D26" s="149"/>
      <c r="E26" s="241"/>
      <c r="F26" s="149"/>
      <c r="G26" s="150"/>
      <c r="H26" s="149"/>
      <c r="I26" s="164"/>
      <c r="J26" s="164"/>
      <c r="K26" s="164"/>
      <c r="L26" s="149"/>
      <c r="M26" s="379"/>
      <c r="N26" s="162"/>
      <c r="O26" s="379"/>
    </row>
    <row r="27" spans="2:15" ht="16.5" thickTop="1" thickBot="1">
      <c r="D27" s="147"/>
      <c r="E27" s="153" t="s">
        <v>1003</v>
      </c>
      <c r="F27" s="149"/>
      <c r="G27" s="150" t="s">
        <v>1004</v>
      </c>
      <c r="H27" s="149"/>
      <c r="I27" s="236" t="s">
        <v>1031</v>
      </c>
      <c r="J27" s="224"/>
      <c r="K27" s="164" t="s">
        <v>1281</v>
      </c>
      <c r="L27" s="147"/>
      <c r="M27" s="379"/>
      <c r="N27" s="147"/>
      <c r="O27" s="379"/>
    </row>
    <row r="28" spans="2:15" ht="4.5" customHeight="1" thickTop="1" thickBot="1">
      <c r="C28" s="152"/>
      <c r="D28" s="149"/>
      <c r="E28" s="241"/>
      <c r="F28" s="149"/>
      <c r="G28" s="150"/>
      <c r="H28" s="149"/>
      <c r="I28" s="164"/>
      <c r="J28" s="164"/>
      <c r="K28" s="164"/>
      <c r="L28" s="149"/>
      <c r="M28" s="237"/>
      <c r="N28" s="162"/>
      <c r="O28" s="222"/>
    </row>
    <row r="29" spans="2:15" ht="16.5" thickTop="1" thickBot="1">
      <c r="C29" s="152"/>
      <c r="D29" s="149"/>
      <c r="E29" s="153" t="s">
        <v>989</v>
      </c>
      <c r="G29" s="150" t="s">
        <v>990</v>
      </c>
      <c r="H29" s="149"/>
      <c r="I29" s="340">
        <v>0.20499999999999999</v>
      </c>
      <c r="J29" s="151"/>
      <c r="K29" s="220" t="s">
        <v>670</v>
      </c>
      <c r="L29" s="149"/>
      <c r="M29" s="161"/>
      <c r="N29" s="149"/>
      <c r="O29" s="161"/>
    </row>
    <row r="30" spans="2:15" ht="4.5" customHeight="1" thickTop="1" thickBot="1">
      <c r="C30" s="152"/>
      <c r="D30" s="149"/>
      <c r="E30" s="241"/>
      <c r="F30" s="149"/>
      <c r="G30" s="150"/>
      <c r="H30" s="149"/>
      <c r="I30" s="164"/>
      <c r="J30" s="164"/>
      <c r="K30" s="164"/>
      <c r="L30" s="149"/>
      <c r="M30" s="237"/>
      <c r="N30" s="162"/>
      <c r="O30" s="222"/>
    </row>
    <row r="31" spans="2:15" ht="16.5" thickTop="1" thickBot="1">
      <c r="C31" s="152"/>
      <c r="D31" s="149"/>
      <c r="E31" s="153" t="s">
        <v>991</v>
      </c>
      <c r="G31" s="150" t="s">
        <v>992</v>
      </c>
      <c r="H31" s="154"/>
      <c r="I31" s="220" t="s">
        <v>670</v>
      </c>
      <c r="J31" s="151"/>
      <c r="K31" s="156">
        <v>0.18</v>
      </c>
      <c r="L31" s="149"/>
      <c r="M31" s="12"/>
      <c r="N31" s="149"/>
      <c r="O31" s="222"/>
    </row>
    <row r="32" spans="2:15" ht="4.5" customHeight="1" thickTop="1" thickBot="1">
      <c r="C32" s="152"/>
      <c r="D32" s="149"/>
      <c r="E32" s="241"/>
      <c r="F32" s="149"/>
      <c r="G32" s="150"/>
      <c r="H32" s="149"/>
      <c r="I32" s="164"/>
      <c r="J32" s="164"/>
      <c r="K32" s="164"/>
      <c r="L32" s="149"/>
      <c r="M32" s="237"/>
      <c r="N32" s="162"/>
      <c r="O32" s="222"/>
    </row>
    <row r="33" spans="3:15" ht="16.5" thickTop="1" thickBot="1">
      <c r="C33" s="10"/>
      <c r="D33" s="149"/>
      <c r="E33" s="153" t="s">
        <v>1000</v>
      </c>
      <c r="F33" s="154"/>
      <c r="G33" s="150" t="s">
        <v>995</v>
      </c>
      <c r="H33" s="154"/>
      <c r="I33" s="220" t="s">
        <v>670</v>
      </c>
      <c r="J33" s="151"/>
      <c r="K33" s="156">
        <v>0.18</v>
      </c>
      <c r="L33" s="149"/>
      <c r="M33" s="12"/>
      <c r="N33" s="149"/>
      <c r="O33" s="12"/>
    </row>
    <row r="34" spans="3:15" ht="4.5" customHeight="1" thickTop="1" thickBot="1">
      <c r="C34" s="152"/>
      <c r="D34" s="149"/>
      <c r="E34" s="241"/>
      <c r="F34" s="149"/>
      <c r="G34" s="150"/>
      <c r="H34" s="149"/>
      <c r="I34" s="164"/>
      <c r="J34" s="164"/>
      <c r="K34" s="164"/>
      <c r="L34" s="149"/>
      <c r="M34" s="237"/>
      <c r="N34" s="162"/>
      <c r="O34" s="222"/>
    </row>
    <row r="35" spans="3:15" ht="16.5" thickTop="1" thickBot="1">
      <c r="C35" s="151"/>
      <c r="D35" s="154"/>
      <c r="E35" s="153" t="s">
        <v>996</v>
      </c>
      <c r="F35" s="154"/>
      <c r="G35" s="150" t="s">
        <v>997</v>
      </c>
      <c r="H35" s="154"/>
      <c r="I35" s="220" t="s">
        <v>670</v>
      </c>
      <c r="J35" s="164"/>
      <c r="K35" s="164" t="s">
        <v>1282</v>
      </c>
      <c r="L35" s="165"/>
      <c r="M35" s="221" t="s">
        <v>998</v>
      </c>
      <c r="N35" s="162"/>
      <c r="O35" s="221" t="s">
        <v>999</v>
      </c>
    </row>
    <row r="36" spans="3:15" ht="16.5" thickTop="1" thickBot="1">
      <c r="C36" s="152"/>
      <c r="D36" s="149"/>
      <c r="E36" s="241"/>
      <c r="F36" s="149"/>
      <c r="G36" s="241"/>
      <c r="H36" s="149"/>
      <c r="I36" s="164"/>
      <c r="J36" s="164"/>
      <c r="K36" s="164"/>
      <c r="L36" s="149"/>
      <c r="M36" s="12"/>
      <c r="N36" s="149"/>
      <c r="O36" s="12"/>
    </row>
    <row r="37" spans="3:15">
      <c r="D37" s="154"/>
      <c r="E37" s="246"/>
      <c r="F37" s="247"/>
      <c r="G37" s="246"/>
      <c r="H37" s="247"/>
      <c r="I37" s="248"/>
      <c r="J37" s="247"/>
      <c r="K37" s="248"/>
      <c r="L37" s="247"/>
      <c r="M37" s="249"/>
      <c r="N37" s="247"/>
      <c r="O37" s="249"/>
    </row>
    <row r="38" spans="3:15" ht="16.5" customHeight="1">
      <c r="D38" s="158"/>
      <c r="E38" s="159" t="s">
        <v>1032</v>
      </c>
      <c r="F38" s="158"/>
      <c r="G38" s="159"/>
      <c r="H38" s="158"/>
      <c r="I38" s="21"/>
      <c r="J38" s="158"/>
      <c r="K38" s="21"/>
      <c r="L38" s="158"/>
      <c r="N38" s="158"/>
    </row>
    <row r="39" spans="3:15">
      <c r="D39" s="158"/>
      <c r="E39" s="159" t="s">
        <v>1050</v>
      </c>
      <c r="F39" s="158"/>
      <c r="G39" s="159"/>
      <c r="H39" s="158"/>
      <c r="I39" s="21"/>
      <c r="J39" s="158"/>
      <c r="K39" s="21"/>
      <c r="L39" s="158"/>
      <c r="N39" s="158"/>
    </row>
    <row r="40" spans="3:15">
      <c r="D40" s="158"/>
      <c r="E40" s="159" t="s">
        <v>1051</v>
      </c>
      <c r="F40" s="158"/>
      <c r="G40" s="159"/>
      <c r="H40" s="158"/>
      <c r="I40" s="21"/>
      <c r="J40" s="158"/>
      <c r="K40" s="21"/>
      <c r="L40" s="158"/>
      <c r="N40" s="158"/>
    </row>
    <row r="41" spans="3:15" ht="15.75" thickBot="1">
      <c r="C41" s="250"/>
      <c r="D41" s="155"/>
      <c r="E41" s="166"/>
      <c r="F41" s="155"/>
      <c r="G41" s="166"/>
      <c r="H41" s="155"/>
      <c r="I41" s="167"/>
      <c r="J41" s="167"/>
      <c r="K41" s="167"/>
      <c r="L41" s="155"/>
      <c r="M41" s="163"/>
      <c r="N41" s="155"/>
      <c r="O41" s="163"/>
    </row>
    <row r="42" spans="3:15">
      <c r="E42" s="149"/>
      <c r="F42" s="149"/>
      <c r="G42" s="149"/>
      <c r="H42" s="149"/>
      <c r="I42" s="157"/>
      <c r="J42" s="157"/>
      <c r="K42" s="157"/>
    </row>
    <row r="43" spans="3:15" ht="18.75">
      <c r="C43" s="245" t="s">
        <v>1049</v>
      </c>
      <c r="E43" s="145" t="s">
        <v>1052</v>
      </c>
      <c r="F43" s="144"/>
      <c r="G43" s="145" t="s">
        <v>1053</v>
      </c>
    </row>
    <row r="44" spans="3:15" ht="19.5" thickBot="1">
      <c r="C44" s="245"/>
      <c r="E44" s="159"/>
    </row>
    <row r="45" spans="3:15" ht="16.5" thickTop="1" thickBot="1">
      <c r="C45" s="129" t="s">
        <v>1048</v>
      </c>
      <c r="E45" s="153" t="s">
        <v>1055</v>
      </c>
      <c r="G45" t="s">
        <v>1056</v>
      </c>
    </row>
    <row r="46" spans="3:15" ht="16.5" thickTop="1" thickBot="1">
      <c r="E46" s="153" t="s">
        <v>1063</v>
      </c>
      <c r="G46" t="s">
        <v>1056</v>
      </c>
    </row>
    <row r="47" spans="3:15" ht="16.5" thickTop="1" thickBot="1">
      <c r="E47" s="153" t="s">
        <v>1064</v>
      </c>
      <c r="G47" t="s">
        <v>1056</v>
      </c>
    </row>
    <row r="48" spans="3:15" ht="15.75" thickTop="1">
      <c r="E48" s="153"/>
    </row>
  </sheetData>
  <mergeCells count="5">
    <mergeCell ref="E2:P2"/>
    <mergeCell ref="M9:M11"/>
    <mergeCell ref="O9:O11"/>
    <mergeCell ref="M25:M27"/>
    <mergeCell ref="O25:O27"/>
  </mergeCells>
  <pageMargins left="0.511811024" right="0.511811024" top="0.78740157499999996" bottom="0.78740157499999996" header="0.31496062000000002" footer="0.31496062000000002"/>
  <pageSetup paperSize="9" scale="5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A9EA1-8BBF-4CEE-A4D3-1EF003D1994B}">
  <dimension ref="B2:Q21"/>
  <sheetViews>
    <sheetView showGridLines="0" zoomScaleNormal="100" workbookViewId="0">
      <selection activeCell="K24" sqref="K24"/>
    </sheetView>
  </sheetViews>
  <sheetFormatPr defaultColWidth="9.140625" defaultRowHeight="15"/>
  <cols>
    <col min="1" max="1" width="2.5703125" customWidth="1"/>
    <col min="2" max="2" width="17.140625" customWidth="1"/>
    <col min="3" max="3" width="6.28515625" customWidth="1"/>
    <col min="4" max="4" width="2.85546875" customWidth="1"/>
    <col min="5" max="5" width="2.5703125" customWidth="1"/>
    <col min="6" max="6" width="9.85546875" customWidth="1"/>
    <col min="7" max="7" width="1.7109375" customWidth="1"/>
    <col min="8" max="8" width="9.85546875" customWidth="1"/>
    <col min="9" max="9" width="1.7109375" customWidth="1"/>
    <col min="11" max="11" width="1.7109375" customWidth="1"/>
    <col min="13" max="13" width="1.7109375" customWidth="1"/>
    <col min="15" max="15" width="4" customWidth="1"/>
    <col min="16" max="16" width="4.85546875" customWidth="1"/>
    <col min="17" max="17" width="24.42578125" customWidth="1"/>
  </cols>
  <sheetData>
    <row r="2" spans="2:17" ht="18.75">
      <c r="E2" s="43" t="s">
        <v>858</v>
      </c>
    </row>
    <row r="3" spans="2:17">
      <c r="C3" s="44"/>
    </row>
    <row r="5" spans="2:17" s="3" customFormat="1" ht="12.75">
      <c r="F5" s="219" t="s">
        <v>836</v>
      </c>
      <c r="G5" s="219"/>
      <c r="H5" s="219"/>
      <c r="I5" s="219"/>
      <c r="J5" s="219"/>
      <c r="K5" s="219"/>
      <c r="L5" s="219"/>
      <c r="M5" s="219"/>
      <c r="N5" s="219"/>
    </row>
    <row r="6" spans="2:17" s="3" customFormat="1" ht="12.75">
      <c r="F6" s="208">
        <v>2024</v>
      </c>
      <c r="G6" s="189"/>
      <c r="H6" s="208">
        <v>2025</v>
      </c>
      <c r="I6" s="189"/>
      <c r="J6" s="208">
        <v>2026</v>
      </c>
      <c r="K6" s="189"/>
      <c r="L6" s="208" t="s">
        <v>886</v>
      </c>
      <c r="M6" s="189"/>
      <c r="N6" s="208">
        <v>2033</v>
      </c>
      <c r="Q6" s="213" t="s">
        <v>983</v>
      </c>
    </row>
    <row r="7" spans="2:17" s="3" customFormat="1" ht="12.75">
      <c r="B7" s="190" t="s">
        <v>838</v>
      </c>
      <c r="F7" s="191">
        <v>1100</v>
      </c>
      <c r="H7" s="191">
        <v>1100</v>
      </c>
      <c r="J7" s="191">
        <v>1000</v>
      </c>
      <c r="L7" s="191">
        <v>0</v>
      </c>
      <c r="N7" s="191">
        <v>0</v>
      </c>
      <c r="Q7" s="3" t="s">
        <v>918</v>
      </c>
    </row>
    <row r="8" spans="2:17" s="3" customFormat="1" ht="12.75">
      <c r="B8" s="190" t="s">
        <v>839</v>
      </c>
      <c r="F8" s="192">
        <v>80</v>
      </c>
      <c r="H8" s="192">
        <v>80</v>
      </c>
      <c r="J8" s="192">
        <v>0</v>
      </c>
      <c r="L8" s="192">
        <v>0</v>
      </c>
      <c r="N8" s="192">
        <v>0</v>
      </c>
      <c r="Q8" s="3" t="s">
        <v>921</v>
      </c>
    </row>
    <row r="9" spans="2:17" s="3" customFormat="1" ht="12.75">
      <c r="B9" s="190" t="s">
        <v>840</v>
      </c>
      <c r="F9" s="192">
        <v>0</v>
      </c>
      <c r="H9" s="192">
        <v>0</v>
      </c>
      <c r="J9" s="192">
        <v>0</v>
      </c>
      <c r="L9" s="192">
        <v>0</v>
      </c>
      <c r="N9" s="192">
        <v>0</v>
      </c>
      <c r="Q9" s="3" t="s">
        <v>919</v>
      </c>
    </row>
    <row r="10" spans="2:17" s="3" customFormat="1" ht="12.75">
      <c r="B10" s="190" t="s">
        <v>841</v>
      </c>
      <c r="F10" s="192">
        <v>0</v>
      </c>
      <c r="H10" s="192">
        <v>0</v>
      </c>
      <c r="J10" s="192">
        <v>0</v>
      </c>
      <c r="L10" s="192">
        <v>0</v>
      </c>
      <c r="N10" s="192">
        <v>0</v>
      </c>
      <c r="Q10" s="3" t="s">
        <v>920</v>
      </c>
    </row>
    <row r="11" spans="2:17" s="3" customFormat="1" ht="12.75">
      <c r="B11" s="190" t="s">
        <v>864</v>
      </c>
      <c r="F11" s="192">
        <v>0</v>
      </c>
      <c r="H11" s="192">
        <v>0</v>
      </c>
      <c r="J11" s="192">
        <v>0</v>
      </c>
      <c r="L11" s="192">
        <v>0</v>
      </c>
      <c r="N11" s="192">
        <v>0</v>
      </c>
      <c r="Q11" s="3" t="s">
        <v>919</v>
      </c>
    </row>
    <row r="12" spans="2:17" s="3" customFormat="1" ht="12.75">
      <c r="B12" s="190" t="s">
        <v>865</v>
      </c>
      <c r="F12" s="192">
        <v>0</v>
      </c>
      <c r="H12" s="192">
        <v>0</v>
      </c>
      <c r="J12" s="192">
        <v>0</v>
      </c>
      <c r="L12" s="192">
        <v>0</v>
      </c>
      <c r="N12" s="192">
        <v>0</v>
      </c>
      <c r="Q12" s="3" t="s">
        <v>920</v>
      </c>
    </row>
    <row r="13" spans="2:17" s="3" customFormat="1" ht="12.75">
      <c r="B13" s="190" t="s">
        <v>885</v>
      </c>
      <c r="F13" s="192">
        <v>100</v>
      </c>
      <c r="H13" s="192">
        <v>100</v>
      </c>
      <c r="J13" s="192">
        <v>100</v>
      </c>
      <c r="L13" s="192">
        <v>100</v>
      </c>
      <c r="N13" s="192">
        <v>0</v>
      </c>
      <c r="Q13" s="3" t="s">
        <v>921</v>
      </c>
    </row>
    <row r="14" spans="2:17" s="3" customFormat="1" ht="12.75">
      <c r="B14" s="190" t="s">
        <v>982</v>
      </c>
      <c r="F14" s="192">
        <v>150</v>
      </c>
      <c r="H14" s="192">
        <v>250</v>
      </c>
      <c r="J14" s="192">
        <v>250</v>
      </c>
      <c r="L14" s="192">
        <v>250</v>
      </c>
      <c r="N14" s="192">
        <v>250</v>
      </c>
      <c r="Q14" s="3" t="s">
        <v>921</v>
      </c>
    </row>
    <row r="15" spans="2:17" s="3" customFormat="1" ht="6" customHeight="1" thickBot="1">
      <c r="F15" s="192"/>
      <c r="H15" s="192"/>
      <c r="J15" s="192"/>
      <c r="L15" s="192"/>
      <c r="N15" s="192"/>
    </row>
    <row r="16" spans="2:17" s="3" customFormat="1" ht="13.5" thickBot="1">
      <c r="B16" s="193" t="s">
        <v>650</v>
      </c>
      <c r="F16" s="64">
        <f>SUM(F7:F14)</f>
        <v>1430</v>
      </c>
      <c r="G16" s="194"/>
      <c r="H16" s="64">
        <f>SUM(H7:H14)</f>
        <v>1530</v>
      </c>
      <c r="I16" s="194"/>
      <c r="J16" s="64">
        <f>SUM(J7:J14)</f>
        <v>1350</v>
      </c>
      <c r="K16" s="194"/>
      <c r="L16" s="64">
        <f>SUM(L7:L14)</f>
        <v>350</v>
      </c>
      <c r="M16" s="194"/>
      <c r="N16" s="64">
        <f>SUM(N7:N14)</f>
        <v>250</v>
      </c>
    </row>
    <row r="18" spans="2:6">
      <c r="B18" s="190"/>
      <c r="F18" s="207"/>
    </row>
    <row r="21" spans="2:6">
      <c r="F21" s="172"/>
    </row>
  </sheetData>
  <pageMargins left="0.511811024" right="0.511811024" top="0.78740157499999996" bottom="0.78740157499999996" header="0.31496062000000002" footer="0.31496062000000002"/>
  <pageSetup paperSize="9" orientation="portrait" r:id="rId1"/>
  <ignoredErrors>
    <ignoredError sqref="G16 I16 F16 J16:L16 H16 N16"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731DB-8414-45D0-9A5E-3D3C9CAB8537}">
  <dimension ref="C2:Z18"/>
  <sheetViews>
    <sheetView showGridLines="0" zoomScaleNormal="100" workbookViewId="0"/>
  </sheetViews>
  <sheetFormatPr defaultColWidth="9.140625" defaultRowHeight="15"/>
  <cols>
    <col min="1" max="1" width="2.5703125" customWidth="1"/>
    <col min="2" max="2" width="5.28515625" bestFit="1" customWidth="1"/>
    <col min="3" max="3" width="11.28515625" customWidth="1"/>
    <col min="4" max="4" width="2.85546875" customWidth="1"/>
    <col min="5" max="5" width="2.5703125" customWidth="1"/>
    <col min="6" max="6" width="13.28515625" customWidth="1"/>
    <col min="7" max="7" width="12.42578125" customWidth="1"/>
    <col min="8" max="8" width="9.85546875" customWidth="1"/>
    <col min="9" max="9" width="1.7109375" customWidth="1"/>
    <col min="10" max="10" width="13" customWidth="1"/>
    <col min="11" max="11" width="1.7109375" customWidth="1"/>
    <col min="12" max="12" width="9.85546875" hidden="1" customWidth="1"/>
    <col min="13" max="13" width="1.7109375" hidden="1" customWidth="1"/>
    <col min="14" max="14" width="9.85546875" customWidth="1"/>
    <col min="15" max="15" width="1.7109375" customWidth="1"/>
    <col min="16" max="16" width="9.85546875" customWidth="1"/>
    <col min="17" max="17" width="1.7109375" customWidth="1"/>
    <col min="18" max="18" width="9.85546875" customWidth="1"/>
    <col min="19" max="19" width="1.7109375" customWidth="1"/>
    <col min="20" max="20" width="9.85546875" customWidth="1"/>
    <col min="21" max="21" width="1.7109375" customWidth="1"/>
    <col min="23" max="23" width="1.7109375" customWidth="1"/>
    <col min="26" max="26" width="12.5703125" bestFit="1" customWidth="1"/>
  </cols>
  <sheetData>
    <row r="2" spans="3:26" ht="18.75">
      <c r="G2" s="43" t="s">
        <v>1085</v>
      </c>
    </row>
    <row r="3" spans="3:26">
      <c r="C3" s="44"/>
    </row>
    <row r="7" spans="3:26">
      <c r="C7" s="261"/>
      <c r="D7" s="262"/>
      <c r="E7" s="262"/>
      <c r="F7" s="262"/>
      <c r="G7" s="262"/>
      <c r="H7" s="262"/>
      <c r="I7" s="262"/>
      <c r="J7" s="262"/>
      <c r="K7" s="263"/>
    </row>
    <row r="8" spans="3:26">
      <c r="C8" s="320"/>
      <c r="D8" s="215" t="s">
        <v>1086</v>
      </c>
      <c r="E8" s="215"/>
      <c r="H8" s="290">
        <v>26.8081</v>
      </c>
      <c r="K8" s="321"/>
    </row>
    <row r="9" spans="3:26" ht="4.5" customHeight="1">
      <c r="C9" s="320"/>
      <c r="H9" s="290"/>
      <c r="K9" s="321"/>
    </row>
    <row r="10" spans="3:26" ht="17.25" customHeight="1">
      <c r="C10" s="320"/>
      <c r="D10" s="215" t="s">
        <v>1088</v>
      </c>
      <c r="H10" s="290">
        <v>37.302158675922577</v>
      </c>
      <c r="K10" s="321"/>
    </row>
    <row r="11" spans="3:26" ht="4.5" customHeight="1">
      <c r="C11" s="320"/>
      <c r="H11" s="290"/>
      <c r="K11" s="321"/>
    </row>
    <row r="12" spans="3:26">
      <c r="C12" s="320"/>
      <c r="D12" s="215" t="s">
        <v>1100</v>
      </c>
      <c r="H12" s="290">
        <v>6.2896999999999998</v>
      </c>
      <c r="K12" s="321"/>
    </row>
    <row r="13" spans="3:26" ht="4.5" customHeight="1">
      <c r="C13" s="320"/>
      <c r="H13" s="290"/>
      <c r="K13" s="321"/>
    </row>
    <row r="14" spans="3:26">
      <c r="C14" s="320"/>
      <c r="D14" s="215" t="s">
        <v>1101</v>
      </c>
      <c r="H14" s="290">
        <v>6.2896999999999998</v>
      </c>
      <c r="K14" s="321"/>
    </row>
    <row r="15" spans="3:26" ht="4.5" customHeight="1">
      <c r="C15" s="320"/>
      <c r="H15" s="290"/>
      <c r="K15" s="321"/>
    </row>
    <row r="16" spans="3:26">
      <c r="C16" s="320"/>
      <c r="D16" s="215" t="s">
        <v>1087</v>
      </c>
      <c r="E16" s="215"/>
      <c r="H16" s="290">
        <v>6</v>
      </c>
      <c r="K16" s="321"/>
      <c r="Z16" s="322"/>
    </row>
    <row r="17" spans="3:26">
      <c r="C17" s="264"/>
      <c r="D17" s="265"/>
      <c r="E17" s="265"/>
      <c r="F17" s="265"/>
      <c r="G17" s="265"/>
      <c r="H17" s="265"/>
      <c r="I17" s="265"/>
      <c r="J17" s="265"/>
      <c r="K17" s="266"/>
    </row>
    <row r="18" spans="3:26">
      <c r="Z18" s="233"/>
    </row>
  </sheetData>
  <pageMargins left="0.511811024" right="0.511811024" top="0.78740157499999996" bottom="0.78740157499999996" header="0.31496062000000002" footer="0.31496062000000002"/>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D17FF-B897-47F5-A8BA-7DC7872523ED}">
  <dimension ref="C2:I31"/>
  <sheetViews>
    <sheetView showGridLines="0" workbookViewId="0">
      <selection activeCell="L10" sqref="L10"/>
    </sheetView>
  </sheetViews>
  <sheetFormatPr defaultColWidth="9.140625" defaultRowHeight="15"/>
  <cols>
    <col min="1" max="1" width="2.5703125" customWidth="1"/>
    <col min="2" max="2" width="17.140625" customWidth="1"/>
    <col min="3" max="3" width="6.28515625" customWidth="1"/>
    <col min="4" max="4" width="2.85546875" customWidth="1"/>
    <col min="5" max="5" width="2.5703125" customWidth="1"/>
    <col min="6" max="6" width="18.7109375" customWidth="1"/>
    <col min="7" max="8" width="15" customWidth="1"/>
    <col min="9" max="9" width="13.42578125" customWidth="1"/>
    <col min="10" max="10" width="4.85546875" customWidth="1"/>
  </cols>
  <sheetData>
    <row r="2" spans="3:9" ht="18.75">
      <c r="E2" s="43" t="s">
        <v>1148</v>
      </c>
    </row>
    <row r="3" spans="3:9">
      <c r="C3" s="44"/>
    </row>
    <row r="5" spans="3:9" s="3" customFormat="1" ht="12.75">
      <c r="F5" s="129" t="s">
        <v>1171</v>
      </c>
      <c r="G5" s="129" t="s">
        <v>1149</v>
      </c>
      <c r="H5" s="129" t="s">
        <v>1150</v>
      </c>
    </row>
    <row r="6" spans="3:9" s="3" customFormat="1" ht="12.75">
      <c r="F6" s="136"/>
      <c r="G6" s="136" t="s">
        <v>1151</v>
      </c>
      <c r="H6" s="136" t="s">
        <v>1152</v>
      </c>
    </row>
    <row r="7" spans="3:9" s="3" customFormat="1" ht="12.75">
      <c r="F7" s="12" t="s">
        <v>1153</v>
      </c>
      <c r="G7" s="288">
        <v>512</v>
      </c>
      <c r="H7" s="289">
        <v>59.29</v>
      </c>
    </row>
    <row r="8" spans="3:9" s="3" customFormat="1" ht="12.75">
      <c r="F8" s="12" t="s">
        <v>1154</v>
      </c>
      <c r="G8" s="288">
        <v>453.34</v>
      </c>
      <c r="H8" s="289">
        <v>58.87</v>
      </c>
    </row>
    <row r="9" spans="3:9" s="3" customFormat="1" ht="12.75">
      <c r="F9" s="12" t="s">
        <v>1155</v>
      </c>
      <c r="G9" s="288">
        <v>527.86</v>
      </c>
      <c r="H9" s="289">
        <v>58.52</v>
      </c>
    </row>
    <row r="10" spans="3:9" s="3" customFormat="1" ht="12.75">
      <c r="F10" s="12" t="s">
        <v>1156</v>
      </c>
      <c r="G10" s="288">
        <v>557.24</v>
      </c>
      <c r="H10" s="289">
        <v>57.81946378580146</v>
      </c>
    </row>
    <row r="11" spans="3:9" s="3" customFormat="1" ht="12.75">
      <c r="F11" s="12" t="s">
        <v>1157</v>
      </c>
      <c r="G11" s="288">
        <v>510.52</v>
      </c>
      <c r="H11" s="289">
        <v>56.606277129201601</v>
      </c>
    </row>
    <row r="12" spans="3:9" s="3" customFormat="1" ht="12.75">
      <c r="F12" s="12" t="s">
        <v>1158</v>
      </c>
      <c r="G12" s="288">
        <v>482.68</v>
      </c>
      <c r="H12" s="289">
        <v>55.561620949697513</v>
      </c>
    </row>
    <row r="13" spans="3:9" s="3" customFormat="1" ht="12.75">
      <c r="F13" s="12" t="s">
        <v>1159</v>
      </c>
      <c r="G13" s="288">
        <v>484.72800000000001</v>
      </c>
      <c r="H13" s="289">
        <v>53.636475301612464</v>
      </c>
    </row>
    <row r="14" spans="3:9">
      <c r="D14" s="3"/>
      <c r="E14" s="3"/>
      <c r="F14" s="12" t="s">
        <v>1160</v>
      </c>
      <c r="G14" s="288">
        <v>519.48900000000003</v>
      </c>
      <c r="H14" s="289">
        <v>53.773841371039644</v>
      </c>
      <c r="I14" s="3"/>
    </row>
    <row r="15" spans="3:9">
      <c r="D15" s="3"/>
      <c r="E15" s="3"/>
      <c r="F15" s="12" t="s">
        <v>1161</v>
      </c>
      <c r="G15" s="288">
        <v>434.35</v>
      </c>
      <c r="H15" s="289">
        <v>51.168770576723837</v>
      </c>
      <c r="I15" s="3"/>
    </row>
    <row r="16" spans="3:9">
      <c r="D16" s="3"/>
      <c r="E16" s="3"/>
      <c r="F16" s="12" t="s">
        <v>1162</v>
      </c>
      <c r="G16" s="288">
        <v>462</v>
      </c>
      <c r="H16" s="289">
        <v>51.803733766233798</v>
      </c>
      <c r="I16" s="3"/>
    </row>
    <row r="17" spans="4:9">
      <c r="D17" s="3"/>
      <c r="E17" s="3"/>
      <c r="F17" s="12" t="s">
        <v>1163</v>
      </c>
      <c r="G17" s="288">
        <v>453</v>
      </c>
      <c r="H17" s="289">
        <v>51.904900662251656</v>
      </c>
      <c r="I17" s="3"/>
    </row>
    <row r="18" spans="4:9">
      <c r="D18" s="3"/>
      <c r="E18" s="3"/>
      <c r="F18" s="12" t="s">
        <v>1164</v>
      </c>
      <c r="G18" s="288">
        <v>446.75</v>
      </c>
      <c r="H18" s="289">
        <v>55.770637940682711</v>
      </c>
      <c r="I18" s="3"/>
    </row>
    <row r="19" spans="4:9">
      <c r="D19" s="3"/>
      <c r="E19" s="3"/>
      <c r="F19" s="12" t="s">
        <v>1165</v>
      </c>
      <c r="G19" s="288">
        <v>444.75</v>
      </c>
      <c r="H19" s="289">
        <v>56.034845418774594</v>
      </c>
      <c r="I19" s="3"/>
    </row>
    <row r="20" spans="4:9">
      <c r="D20" s="3"/>
      <c r="E20" s="3"/>
      <c r="F20" s="12" t="s">
        <v>1166</v>
      </c>
      <c r="G20" s="288">
        <v>236</v>
      </c>
      <c r="H20" s="289">
        <v>60.12970338983051</v>
      </c>
      <c r="I20" s="3"/>
    </row>
    <row r="21" spans="4:9">
      <c r="D21" s="3"/>
      <c r="E21" s="3"/>
      <c r="F21" s="12" t="s">
        <v>1167</v>
      </c>
      <c r="G21" s="288">
        <v>260</v>
      </c>
      <c r="H21" s="289">
        <v>59.716942307692307</v>
      </c>
      <c r="I21" s="3"/>
    </row>
    <row r="22" spans="4:9">
      <c r="D22" s="3"/>
      <c r="E22" s="3"/>
      <c r="F22" s="12" t="s">
        <v>1168</v>
      </c>
      <c r="G22" s="288">
        <v>71.5</v>
      </c>
      <c r="H22" s="289">
        <v>59.433846153846154</v>
      </c>
      <c r="I22" s="3"/>
    </row>
    <row r="27" spans="4:9">
      <c r="F27" s="129" t="s">
        <v>1172</v>
      </c>
      <c r="G27" s="129" t="s">
        <v>1149</v>
      </c>
      <c r="H27" s="380" t="s">
        <v>1173</v>
      </c>
      <c r="I27" s="381"/>
    </row>
    <row r="28" spans="4:9">
      <c r="F28" s="136"/>
      <c r="G28" s="136" t="s">
        <v>1151</v>
      </c>
      <c r="H28" s="136" t="s">
        <v>1174</v>
      </c>
      <c r="I28" s="136" t="s">
        <v>1175</v>
      </c>
    </row>
    <row r="29" spans="4:9">
      <c r="F29" s="12" t="s">
        <v>1166</v>
      </c>
      <c r="G29" s="288">
        <v>135</v>
      </c>
      <c r="H29" s="289">
        <v>65</v>
      </c>
      <c r="I29" s="289">
        <v>87.4</v>
      </c>
    </row>
    <row r="30" spans="4:9">
      <c r="F30" s="12" t="s">
        <v>1167</v>
      </c>
      <c r="G30" s="288">
        <v>135</v>
      </c>
      <c r="H30" s="289">
        <v>65</v>
      </c>
      <c r="I30" s="289">
        <v>86.22</v>
      </c>
    </row>
    <row r="31" spans="4:9">
      <c r="F31" s="12" t="s">
        <v>1168</v>
      </c>
      <c r="G31" s="288">
        <v>405</v>
      </c>
      <c r="H31" s="289">
        <v>65</v>
      </c>
      <c r="I31" s="289">
        <v>85.02</v>
      </c>
    </row>
  </sheetData>
  <mergeCells count="1">
    <mergeCell ref="H27:I27"/>
  </mergeCells>
  <pageMargins left="0.511811024" right="0.511811024" top="0.78740157499999996" bottom="0.78740157499999996" header="0.31496062000000002" footer="0.31496062000000002"/>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2037B-A950-46DE-AA5A-8356CA2676D2}">
  <dimension ref="B2:Y37"/>
  <sheetViews>
    <sheetView showGridLines="0" topLeftCell="A3" workbookViewId="0">
      <selection activeCell="J10" sqref="J10"/>
    </sheetView>
  </sheetViews>
  <sheetFormatPr defaultColWidth="9.140625" defaultRowHeight="15"/>
  <cols>
    <col min="1" max="1" width="2.5703125" customWidth="1"/>
    <col min="2" max="2" width="23.5703125" customWidth="1"/>
    <col min="3" max="3" width="2.85546875" customWidth="1"/>
    <col min="4" max="4" width="11.28515625" customWidth="1"/>
    <col min="5" max="5" width="1.7109375" customWidth="1"/>
    <col min="6" max="6" width="9.85546875" customWidth="1"/>
    <col min="7" max="7" width="1.7109375" customWidth="1"/>
    <col min="8" max="8" width="9.85546875" customWidth="1"/>
    <col min="9" max="9" width="1.7109375" customWidth="1"/>
    <col min="10" max="10" width="9.85546875" customWidth="1"/>
    <col min="11" max="11" width="1.7109375" customWidth="1"/>
    <col min="12" max="12" width="9.85546875" customWidth="1"/>
    <col min="13" max="13" width="1.7109375" customWidth="1"/>
    <col min="14" max="14" width="9.85546875" customWidth="1"/>
    <col min="15" max="15" width="1.7109375" customWidth="1"/>
    <col min="16" max="16" width="9.85546875" customWidth="1"/>
    <col min="17" max="17" width="1.7109375" customWidth="1"/>
    <col min="18" max="18" width="9.85546875" customWidth="1"/>
    <col min="19" max="19" width="1.7109375" customWidth="1"/>
    <col min="20" max="20" width="9.85546875" customWidth="1"/>
    <col min="21" max="21" width="1.7109375" customWidth="1"/>
    <col min="22" max="22" width="9.85546875" customWidth="1"/>
    <col min="23" max="23" width="1.7109375" customWidth="1"/>
    <col min="24" max="24" width="9.85546875" customWidth="1"/>
    <col min="25" max="25" width="1.7109375" customWidth="1"/>
  </cols>
  <sheetData>
    <row r="2" spans="2:25" ht="18.75">
      <c r="D2" s="281" t="s">
        <v>1129</v>
      </c>
    </row>
    <row r="5" spans="2:25" s="3" customFormat="1" ht="12.75">
      <c r="D5" s="208" t="s">
        <v>1231</v>
      </c>
      <c r="E5" s="189"/>
      <c r="F5" s="208" t="s">
        <v>1131</v>
      </c>
      <c r="G5" s="189"/>
      <c r="H5" s="208" t="s">
        <v>1132</v>
      </c>
      <c r="I5" s="189"/>
      <c r="J5" s="208" t="s">
        <v>1133</v>
      </c>
      <c r="K5" s="189"/>
      <c r="L5" s="208" t="s">
        <v>1134</v>
      </c>
      <c r="M5" s="189"/>
      <c r="N5" s="208" t="s">
        <v>1228</v>
      </c>
      <c r="O5" s="189"/>
      <c r="P5" s="208" t="s">
        <v>1229</v>
      </c>
      <c r="Q5" s="189"/>
      <c r="R5" s="208" t="s">
        <v>1230</v>
      </c>
      <c r="S5" s="189"/>
      <c r="T5" s="208" t="s">
        <v>1227</v>
      </c>
      <c r="U5" s="189"/>
      <c r="V5" s="208" t="s">
        <v>1232</v>
      </c>
      <c r="Y5" s="189"/>
    </row>
    <row r="6" spans="2:25" s="3" customFormat="1" ht="12.75">
      <c r="D6" s="282" t="s">
        <v>1135</v>
      </c>
      <c r="E6" s="189"/>
      <c r="F6" s="282" t="s">
        <v>1135</v>
      </c>
      <c r="G6" s="189"/>
      <c r="H6" s="282" t="s">
        <v>1135</v>
      </c>
      <c r="I6" s="189"/>
      <c r="J6" s="282" t="s">
        <v>1135</v>
      </c>
      <c r="K6" s="189"/>
      <c r="L6" s="282" t="s">
        <v>1135</v>
      </c>
      <c r="M6" s="189"/>
      <c r="N6" s="282" t="s">
        <v>1135</v>
      </c>
      <c r="O6" s="189"/>
      <c r="P6" s="282" t="s">
        <v>1135</v>
      </c>
      <c r="Q6" s="189"/>
      <c r="R6" s="282" t="s">
        <v>1135</v>
      </c>
      <c r="S6" s="189"/>
      <c r="T6" s="282" t="s">
        <v>1135</v>
      </c>
      <c r="U6" s="189"/>
      <c r="V6" s="282" t="s">
        <v>1135</v>
      </c>
      <c r="Y6" s="189"/>
    </row>
    <row r="7" spans="2:25" s="3" customFormat="1" ht="6" customHeight="1">
      <c r="D7" s="192"/>
      <c r="E7" s="192"/>
      <c r="F7" s="192"/>
      <c r="G7" s="192"/>
      <c r="H7" s="192"/>
      <c r="I7" s="192"/>
      <c r="J7" s="192"/>
      <c r="K7" s="192"/>
      <c r="L7" s="192"/>
      <c r="M7" s="192"/>
      <c r="N7" s="192"/>
      <c r="O7" s="192"/>
      <c r="P7" s="192"/>
      <c r="Q7" s="192"/>
      <c r="R7" s="192"/>
      <c r="S7" s="192"/>
      <c r="T7" s="192"/>
      <c r="U7" s="192"/>
      <c r="V7" s="192"/>
    </row>
    <row r="8" spans="2:25" s="3" customFormat="1" ht="12.75">
      <c r="B8" s="190" t="s">
        <v>653</v>
      </c>
      <c r="D8" s="192">
        <v>0</v>
      </c>
      <c r="E8" s="192">
        <v>0</v>
      </c>
      <c r="F8" s="192">
        <v>0</v>
      </c>
      <c r="G8" s="192">
        <v>0</v>
      </c>
      <c r="H8" s="192">
        <v>0</v>
      </c>
      <c r="I8" s="192">
        <v>0</v>
      </c>
      <c r="J8" s="192">
        <v>0</v>
      </c>
      <c r="K8" s="192">
        <v>0</v>
      </c>
      <c r="L8" s="192">
        <v>0</v>
      </c>
      <c r="M8" s="192">
        <v>0</v>
      </c>
      <c r="N8" s="192">
        <v>0</v>
      </c>
      <c r="O8" s="192">
        <v>0</v>
      </c>
      <c r="P8" s="192">
        <v>0</v>
      </c>
      <c r="Q8" s="192">
        <v>0</v>
      </c>
      <c r="R8" s="192">
        <v>0</v>
      </c>
      <c r="S8" s="192">
        <v>0</v>
      </c>
      <c r="T8" s="192">
        <v>0</v>
      </c>
      <c r="U8" s="192">
        <v>0</v>
      </c>
      <c r="V8" s="192">
        <f t="shared" ref="V8:V12" si="0">SUM(D8:U8)</f>
        <v>0</v>
      </c>
    </row>
    <row r="9" spans="2:25" s="3" customFormat="1" ht="12.75">
      <c r="B9" s="190" t="s">
        <v>39</v>
      </c>
      <c r="D9" s="192">
        <v>0</v>
      </c>
      <c r="E9" s="192">
        <v>0</v>
      </c>
      <c r="F9" s="192">
        <v>0</v>
      </c>
      <c r="G9" s="192">
        <v>0</v>
      </c>
      <c r="H9" s="192">
        <v>0</v>
      </c>
      <c r="I9" s="192">
        <v>0</v>
      </c>
      <c r="J9" s="192">
        <v>0</v>
      </c>
      <c r="K9" s="192">
        <v>0</v>
      </c>
      <c r="L9" s="192">
        <v>0</v>
      </c>
      <c r="M9" s="192">
        <v>0</v>
      </c>
      <c r="N9" s="192">
        <v>0</v>
      </c>
      <c r="O9" s="192">
        <v>0</v>
      </c>
      <c r="P9" s="192">
        <v>0</v>
      </c>
      <c r="Q9" s="192">
        <v>0</v>
      </c>
      <c r="R9" s="192">
        <v>0</v>
      </c>
      <c r="S9" s="192">
        <v>0</v>
      </c>
      <c r="T9" s="192">
        <v>0</v>
      </c>
      <c r="U9" s="192">
        <v>0</v>
      </c>
      <c r="V9" s="283">
        <f t="shared" si="0"/>
        <v>0</v>
      </c>
    </row>
    <row r="10" spans="2:25" s="3" customFormat="1" ht="12.75">
      <c r="B10" s="190" t="s">
        <v>40</v>
      </c>
      <c r="D10" s="192">
        <v>0</v>
      </c>
      <c r="E10" s="192">
        <v>0</v>
      </c>
      <c r="F10" s="192">
        <v>0</v>
      </c>
      <c r="G10" s="192">
        <v>0</v>
      </c>
      <c r="H10" s="192">
        <v>0</v>
      </c>
      <c r="I10" s="192">
        <v>0</v>
      </c>
      <c r="J10" s="283">
        <v>41.701000000000001</v>
      </c>
      <c r="K10" s="192">
        <v>0</v>
      </c>
      <c r="L10" s="192">
        <v>0</v>
      </c>
      <c r="M10" s="192">
        <v>0</v>
      </c>
      <c r="N10" s="192">
        <v>0</v>
      </c>
      <c r="O10" s="192">
        <v>0</v>
      </c>
      <c r="P10" s="192">
        <v>0</v>
      </c>
      <c r="Q10" s="192">
        <v>0</v>
      </c>
      <c r="R10" s="192">
        <v>0</v>
      </c>
      <c r="S10" s="192">
        <v>0</v>
      </c>
      <c r="T10" s="192">
        <v>0</v>
      </c>
      <c r="U10" s="192">
        <v>0</v>
      </c>
      <c r="V10" s="283">
        <f>SUM(F10:U10)</f>
        <v>41.701000000000001</v>
      </c>
    </row>
    <row r="11" spans="2:25" s="3" customFormat="1" ht="12.75">
      <c r="B11" s="190" t="s">
        <v>1136</v>
      </c>
      <c r="D11" s="283">
        <f>F27</f>
        <v>27.5</v>
      </c>
      <c r="E11" s="192">
        <v>0</v>
      </c>
      <c r="F11" s="192">
        <v>0</v>
      </c>
      <c r="G11" s="192">
        <v>0</v>
      </c>
      <c r="H11" s="192">
        <v>0</v>
      </c>
      <c r="I11" s="192">
        <v>0</v>
      </c>
      <c r="J11" s="192">
        <v>0</v>
      </c>
      <c r="K11" s="192">
        <v>0</v>
      </c>
      <c r="L11" s="283">
        <v>30</v>
      </c>
      <c r="M11" s="192">
        <v>0</v>
      </c>
      <c r="N11" s="192">
        <v>0</v>
      </c>
      <c r="O11" s="192">
        <v>0</v>
      </c>
      <c r="P11" s="192">
        <v>0</v>
      </c>
      <c r="Q11" s="192">
        <v>0</v>
      </c>
      <c r="R11" s="192">
        <v>0</v>
      </c>
      <c r="S11" s="192">
        <v>0</v>
      </c>
      <c r="T11" s="192">
        <v>0</v>
      </c>
      <c r="U11" s="192">
        <v>0</v>
      </c>
      <c r="V11" s="283">
        <f>SUM(F11:U11)</f>
        <v>30</v>
      </c>
    </row>
    <row r="12" spans="2:25" s="3" customFormat="1" ht="12.75">
      <c r="B12" s="190" t="s">
        <v>1137</v>
      </c>
      <c r="D12" s="192">
        <v>0</v>
      </c>
      <c r="E12" s="192">
        <v>0</v>
      </c>
      <c r="F12" s="192">
        <v>0</v>
      </c>
      <c r="G12" s="192">
        <v>0</v>
      </c>
      <c r="H12" s="192">
        <v>0</v>
      </c>
      <c r="I12" s="192">
        <v>0</v>
      </c>
      <c r="J12" s="192">
        <v>0</v>
      </c>
      <c r="K12" s="192">
        <v>0</v>
      </c>
      <c r="L12" s="192">
        <v>0</v>
      </c>
      <c r="M12" s="192">
        <v>0</v>
      </c>
      <c r="N12" s="192">
        <v>0</v>
      </c>
      <c r="O12" s="192">
        <v>0</v>
      </c>
      <c r="P12" s="192">
        <v>0</v>
      </c>
      <c r="Q12" s="192">
        <v>0</v>
      </c>
      <c r="R12" s="192">
        <v>0</v>
      </c>
      <c r="S12" s="192">
        <v>0</v>
      </c>
      <c r="T12" s="192">
        <v>0</v>
      </c>
      <c r="U12" s="192">
        <v>0</v>
      </c>
      <c r="V12" s="283">
        <f t="shared" si="0"/>
        <v>0</v>
      </c>
    </row>
    <row r="13" spans="2:25" s="3" customFormat="1" ht="12.75">
      <c r="B13" s="190" t="s">
        <v>1138</v>
      </c>
      <c r="D13" s="283">
        <f>F32</f>
        <v>1.47</v>
      </c>
      <c r="E13" s="192">
        <v>0</v>
      </c>
      <c r="F13" s="192">
        <v>0</v>
      </c>
      <c r="G13" s="192">
        <v>0</v>
      </c>
      <c r="H13" s="192">
        <v>0</v>
      </c>
      <c r="I13" s="192">
        <v>0</v>
      </c>
      <c r="J13" s="192">
        <v>0</v>
      </c>
      <c r="K13" s="192">
        <v>0</v>
      </c>
      <c r="L13" s="283">
        <v>4.41</v>
      </c>
      <c r="M13" s="192">
        <v>0</v>
      </c>
      <c r="N13" s="192">
        <v>0</v>
      </c>
      <c r="O13" s="192">
        <v>0</v>
      </c>
      <c r="P13" s="192">
        <v>0</v>
      </c>
      <c r="Q13" s="192">
        <v>0</v>
      </c>
      <c r="R13" s="192">
        <v>0</v>
      </c>
      <c r="S13" s="192">
        <v>0</v>
      </c>
      <c r="T13" s="324">
        <v>0</v>
      </c>
      <c r="U13" s="192">
        <v>0</v>
      </c>
      <c r="V13" s="283">
        <f>SUM(F13:U13)</f>
        <v>4.41</v>
      </c>
    </row>
    <row r="14" spans="2:25" s="3" customFormat="1" ht="6" customHeight="1" thickBot="1">
      <c r="D14" s="192"/>
      <c r="E14" s="192"/>
      <c r="F14" s="192"/>
      <c r="G14" s="192"/>
      <c r="H14" s="192"/>
      <c r="I14" s="192"/>
      <c r="J14" s="192"/>
      <c r="K14" s="192"/>
      <c r="L14" s="192"/>
      <c r="M14" s="192"/>
      <c r="N14" s="192"/>
      <c r="O14" s="192"/>
      <c r="P14" s="192"/>
      <c r="Q14" s="192"/>
      <c r="R14" s="192"/>
      <c r="S14" s="192"/>
      <c r="T14" s="192"/>
      <c r="U14" s="192"/>
      <c r="V14" s="192"/>
    </row>
    <row r="15" spans="2:25" s="3" customFormat="1" ht="13.5" thickBot="1">
      <c r="B15" s="193" t="s">
        <v>650</v>
      </c>
      <c r="D15" s="284">
        <f>SUM(D8:D13)</f>
        <v>28.97</v>
      </c>
      <c r="E15" s="285"/>
      <c r="F15" s="284">
        <f>SUM(F8:F13)</f>
        <v>0</v>
      </c>
      <c r="G15" s="285"/>
      <c r="H15" s="284">
        <f>SUM(H8:H13)</f>
        <v>0</v>
      </c>
      <c r="I15" s="285"/>
      <c r="J15" s="284">
        <f>SUM(J8:J13)</f>
        <v>41.701000000000001</v>
      </c>
      <c r="K15" s="285"/>
      <c r="L15" s="284">
        <f>SUM(L8:L13)</f>
        <v>34.409999999999997</v>
      </c>
      <c r="M15" s="285"/>
      <c r="N15" s="284">
        <f>SUM(N8:N13)</f>
        <v>0</v>
      </c>
      <c r="O15" s="285"/>
      <c r="P15" s="284">
        <f>SUM(P8:P13)</f>
        <v>0</v>
      </c>
      <c r="Q15" s="285"/>
      <c r="R15" s="284">
        <f>SUM(R8:R13)</f>
        <v>0</v>
      </c>
      <c r="S15" s="285"/>
      <c r="T15" s="284">
        <f>SUM(T8:T13)</f>
        <v>0</v>
      </c>
      <c r="U15" s="285"/>
      <c r="V15" s="284">
        <f>SUM(V8:V13)</f>
        <v>76.11099999999999</v>
      </c>
      <c r="Y15" s="194"/>
    </row>
    <row r="16" spans="2:25" s="3" customFormat="1">
      <c r="B16" s="193"/>
      <c r="D16"/>
      <c r="E16"/>
      <c r="F16"/>
      <c r="G16"/>
      <c r="H16"/>
      <c r="I16"/>
      <c r="J16"/>
      <c r="K16"/>
      <c r="L16"/>
      <c r="M16"/>
      <c r="N16"/>
      <c r="O16"/>
      <c r="P16"/>
      <c r="Q16"/>
      <c r="R16"/>
      <c r="S16"/>
      <c r="T16"/>
      <c r="U16"/>
      <c r="V16"/>
      <c r="W16"/>
      <c r="X16"/>
      <c r="Y16" s="194"/>
    </row>
    <row r="18" spans="2:24" ht="18.75">
      <c r="B18" s="186" t="s">
        <v>1139</v>
      </c>
      <c r="V18" s="172"/>
      <c r="X18" s="172"/>
    </row>
    <row r="19" spans="2:24" ht="15" customHeight="1">
      <c r="B19" s="286" t="s">
        <v>1140</v>
      </c>
      <c r="C19" s="287"/>
      <c r="D19" s="287"/>
      <c r="E19" s="287"/>
      <c r="F19" s="287"/>
      <c r="G19" s="287"/>
      <c r="H19" s="287"/>
      <c r="I19" s="287"/>
      <c r="J19" s="287"/>
      <c r="K19" s="287"/>
      <c r="L19" s="287"/>
      <c r="M19" s="287"/>
      <c r="N19" s="287"/>
      <c r="O19" s="287"/>
      <c r="P19" s="287"/>
      <c r="Q19" s="287"/>
      <c r="R19" s="287"/>
      <c r="S19" s="287"/>
      <c r="T19" s="287"/>
      <c r="U19" s="287"/>
      <c r="V19" s="287"/>
      <c r="W19" s="287"/>
      <c r="X19" s="287"/>
    </row>
    <row r="20" spans="2:24">
      <c r="B20" s="286"/>
      <c r="C20" s="287"/>
      <c r="D20" s="287"/>
      <c r="E20" s="287"/>
      <c r="F20" s="287"/>
      <c r="G20" s="287"/>
      <c r="H20" s="287"/>
      <c r="I20" s="287"/>
      <c r="J20" s="287"/>
      <c r="K20" s="287"/>
      <c r="L20" s="287"/>
      <c r="M20" s="287"/>
      <c r="N20" s="287"/>
      <c r="O20" s="287"/>
      <c r="P20" s="287"/>
      <c r="Q20" s="287"/>
      <c r="R20" s="287"/>
      <c r="S20" s="287"/>
      <c r="T20" s="287"/>
      <c r="U20" s="287"/>
      <c r="V20" s="287"/>
      <c r="W20" s="287"/>
      <c r="X20" s="287"/>
    </row>
    <row r="21" spans="2:24">
      <c r="B21" s="3"/>
      <c r="C21" s="3"/>
      <c r="D21" s="382" t="s">
        <v>1136</v>
      </c>
      <c r="E21" s="382"/>
      <c r="F21" s="382"/>
      <c r="G21" s="382"/>
      <c r="H21" s="382"/>
      <c r="I21" s="382"/>
      <c r="J21" s="382"/>
      <c r="K21" s="382"/>
      <c r="L21" s="382"/>
      <c r="M21" s="323"/>
      <c r="N21" s="323"/>
      <c r="O21" s="323"/>
      <c r="P21" s="323"/>
      <c r="Q21" s="323"/>
      <c r="R21" s="323"/>
      <c r="S21" s="323"/>
      <c r="T21" s="323"/>
      <c r="U21" s="3"/>
      <c r="V21" s="3"/>
      <c r="W21" s="3"/>
      <c r="X21" s="3"/>
    </row>
    <row r="22" spans="2:24">
      <c r="B22" s="190" t="s">
        <v>1141</v>
      </c>
      <c r="D22" s="208">
        <v>2022</v>
      </c>
      <c r="E22" s="189"/>
      <c r="F22" s="208">
        <v>2023</v>
      </c>
      <c r="G22" s="189"/>
      <c r="H22" s="208">
        <v>2024</v>
      </c>
      <c r="I22" s="189"/>
      <c r="J22" s="208">
        <v>2025</v>
      </c>
      <c r="K22" s="189"/>
      <c r="L22" s="208" t="s">
        <v>650</v>
      </c>
      <c r="M22" s="189"/>
      <c r="N22" s="323"/>
      <c r="O22" s="189"/>
      <c r="P22" s="323"/>
      <c r="Q22" s="189"/>
      <c r="R22" s="323"/>
      <c r="S22" s="189"/>
      <c r="T22" s="323"/>
      <c r="U22" s="3"/>
      <c r="V22" s="3"/>
      <c r="W22" s="3"/>
      <c r="X22" s="3"/>
    </row>
    <row r="23" spans="2:24">
      <c r="B23" s="193" t="s">
        <v>1142</v>
      </c>
      <c r="D23" s="283" t="s">
        <v>1143</v>
      </c>
      <c r="E23" s="192">
        <v>0</v>
      </c>
      <c r="F23" s="192" t="s">
        <v>1143</v>
      </c>
      <c r="G23" s="192">
        <v>0</v>
      </c>
      <c r="H23" s="192" t="s">
        <v>1143</v>
      </c>
      <c r="I23" s="192">
        <v>0</v>
      </c>
      <c r="J23" s="283" t="s">
        <v>1143</v>
      </c>
      <c r="K23" s="192">
        <v>0</v>
      </c>
      <c r="L23" s="192" t="s">
        <v>1143</v>
      </c>
      <c r="M23" s="192">
        <v>0</v>
      </c>
      <c r="N23" s="323"/>
      <c r="O23" s="192">
        <v>0</v>
      </c>
      <c r="P23" s="323"/>
      <c r="Q23" s="192">
        <v>0</v>
      </c>
      <c r="R23" s="323"/>
      <c r="S23" s="192">
        <v>0</v>
      </c>
      <c r="T23" s="323"/>
      <c r="U23" s="3"/>
      <c r="V23" s="3"/>
      <c r="W23" s="3"/>
      <c r="X23" s="3"/>
    </row>
    <row r="24" spans="2:24">
      <c r="B24" s="193" t="s">
        <v>1144</v>
      </c>
      <c r="D24" s="283">
        <v>10</v>
      </c>
      <c r="E24" s="283">
        <v>0</v>
      </c>
      <c r="F24" s="283">
        <v>10</v>
      </c>
      <c r="G24" s="283">
        <v>0</v>
      </c>
      <c r="H24" s="283">
        <v>5</v>
      </c>
      <c r="I24" s="283">
        <v>0</v>
      </c>
      <c r="J24" s="283" t="s">
        <v>1143</v>
      </c>
      <c r="K24" s="283">
        <v>0</v>
      </c>
      <c r="L24" s="283">
        <v>25</v>
      </c>
      <c r="M24" s="192">
        <v>0</v>
      </c>
      <c r="N24" s="323"/>
      <c r="O24" s="192">
        <v>0</v>
      </c>
      <c r="P24" s="323"/>
      <c r="Q24" s="192">
        <v>0</v>
      </c>
      <c r="R24" s="323"/>
      <c r="S24" s="192">
        <v>0</v>
      </c>
      <c r="T24" s="323"/>
      <c r="U24" s="3"/>
      <c r="V24" s="3"/>
      <c r="W24" s="3"/>
      <c r="X24" s="3"/>
    </row>
    <row r="25" spans="2:24">
      <c r="B25" s="193" t="s">
        <v>1145</v>
      </c>
      <c r="D25" s="283">
        <v>15</v>
      </c>
      <c r="E25" s="283">
        <v>0</v>
      </c>
      <c r="F25" s="283">
        <v>15</v>
      </c>
      <c r="G25" s="283">
        <v>0</v>
      </c>
      <c r="H25" s="283">
        <v>10</v>
      </c>
      <c r="I25" s="283">
        <v>0</v>
      </c>
      <c r="J25" s="283" t="s">
        <v>1143</v>
      </c>
      <c r="K25" s="283">
        <v>0</v>
      </c>
      <c r="L25" s="283">
        <v>40</v>
      </c>
      <c r="M25" s="192">
        <v>0</v>
      </c>
      <c r="N25" s="323"/>
      <c r="O25" s="192">
        <v>0</v>
      </c>
      <c r="P25" s="323"/>
      <c r="Q25" s="192">
        <v>0</v>
      </c>
      <c r="R25" s="323"/>
      <c r="S25" s="192">
        <v>0</v>
      </c>
      <c r="T25" s="323"/>
      <c r="U25" s="3"/>
      <c r="V25" s="3"/>
      <c r="W25" s="3"/>
      <c r="X25" s="3"/>
    </row>
    <row r="26" spans="2:24">
      <c r="B26" s="193" t="s">
        <v>1146</v>
      </c>
      <c r="D26" s="283">
        <v>20</v>
      </c>
      <c r="E26" s="283">
        <v>0</v>
      </c>
      <c r="F26" s="283">
        <v>20</v>
      </c>
      <c r="G26" s="283">
        <v>0</v>
      </c>
      <c r="H26" s="283">
        <v>15</v>
      </c>
      <c r="I26" s="283">
        <v>0</v>
      </c>
      <c r="J26" s="283" t="s">
        <v>1143</v>
      </c>
      <c r="K26" s="283">
        <v>0</v>
      </c>
      <c r="L26" s="283">
        <v>55</v>
      </c>
      <c r="M26" s="192">
        <v>0</v>
      </c>
      <c r="N26" s="323"/>
      <c r="O26" s="192">
        <v>0</v>
      </c>
      <c r="P26" s="323"/>
      <c r="Q26" s="192">
        <v>0</v>
      </c>
      <c r="R26" s="323"/>
      <c r="S26" s="192">
        <v>0</v>
      </c>
      <c r="T26" s="323"/>
      <c r="U26" s="3"/>
      <c r="V26" s="3"/>
      <c r="W26" s="3"/>
      <c r="X26" s="3"/>
    </row>
    <row r="27" spans="2:24">
      <c r="B27" s="193" t="s">
        <v>1147</v>
      </c>
      <c r="D27" s="283">
        <v>27.5</v>
      </c>
      <c r="E27" s="283">
        <v>0</v>
      </c>
      <c r="F27" s="283">
        <v>27.5</v>
      </c>
      <c r="G27" s="283">
        <v>0</v>
      </c>
      <c r="H27" s="283">
        <v>30</v>
      </c>
      <c r="I27" s="283">
        <v>0</v>
      </c>
      <c r="J27" s="283" t="s">
        <v>1143</v>
      </c>
      <c r="K27" s="283">
        <v>0</v>
      </c>
      <c r="L27" s="283">
        <v>85</v>
      </c>
      <c r="M27" s="192">
        <v>0</v>
      </c>
      <c r="N27" s="323"/>
      <c r="O27" s="192">
        <v>0</v>
      </c>
      <c r="P27" s="323"/>
      <c r="Q27" s="192">
        <v>0</v>
      </c>
      <c r="R27" s="323"/>
      <c r="S27" s="192">
        <v>0</v>
      </c>
      <c r="T27" s="323"/>
      <c r="U27" s="3"/>
      <c r="V27" s="3"/>
      <c r="W27" s="3"/>
      <c r="X27" s="3"/>
    </row>
    <row r="28" spans="2:24">
      <c r="B28" s="3"/>
      <c r="C28" s="3"/>
      <c r="N28" s="323"/>
      <c r="P28" s="323"/>
      <c r="R28" s="323"/>
      <c r="T28" s="323"/>
      <c r="U28" s="3"/>
      <c r="V28" s="3"/>
      <c r="W28" s="3"/>
      <c r="X28" s="3"/>
    </row>
    <row r="29" spans="2:24">
      <c r="N29" s="323"/>
      <c r="P29" s="323"/>
      <c r="R29" s="323"/>
      <c r="T29" s="323"/>
      <c r="U29" s="3"/>
      <c r="V29" s="3"/>
      <c r="W29" s="3"/>
      <c r="X29" s="3"/>
    </row>
    <row r="30" spans="2:24">
      <c r="D30" s="382" t="s">
        <v>1223</v>
      </c>
      <c r="E30" s="382"/>
      <c r="F30" s="382"/>
      <c r="G30" s="382"/>
      <c r="H30" s="382"/>
      <c r="I30" s="382"/>
      <c r="J30" s="382"/>
      <c r="K30" s="382"/>
      <c r="L30" s="382"/>
      <c r="M30" s="323"/>
      <c r="N30" s="323"/>
      <c r="O30" s="323"/>
      <c r="P30" s="323"/>
      <c r="Q30" s="323"/>
      <c r="R30" s="323"/>
      <c r="S30" s="323"/>
      <c r="T30" s="323"/>
    </row>
    <row r="31" spans="2:24">
      <c r="B31" s="190" t="s">
        <v>1141</v>
      </c>
      <c r="D31" s="208">
        <v>2022</v>
      </c>
      <c r="F31" s="208">
        <v>2023</v>
      </c>
      <c r="G31" s="189"/>
      <c r="H31" s="208">
        <v>2024</v>
      </c>
      <c r="J31" s="208">
        <v>2025</v>
      </c>
      <c r="L31" s="208" t="s">
        <v>650</v>
      </c>
      <c r="N31" s="323"/>
      <c r="P31" s="323"/>
      <c r="R31" s="323"/>
      <c r="T31" s="323"/>
    </row>
    <row r="32" spans="2:24">
      <c r="B32" s="193" t="s">
        <v>1224</v>
      </c>
      <c r="D32" s="283" t="s">
        <v>1143</v>
      </c>
      <c r="F32" s="283">
        <v>1.47</v>
      </c>
      <c r="G32" s="283"/>
      <c r="H32" s="283">
        <v>4.41</v>
      </c>
      <c r="I32" s="283"/>
      <c r="J32" s="283">
        <v>3.92</v>
      </c>
      <c r="K32" s="283"/>
      <c r="L32" s="283">
        <v>9.8000000000000007</v>
      </c>
      <c r="M32" s="283"/>
      <c r="N32" s="323"/>
      <c r="O32" s="283"/>
      <c r="P32" s="323"/>
      <c r="Q32" s="283"/>
      <c r="R32" s="323"/>
      <c r="S32" s="283"/>
      <c r="T32" s="323"/>
    </row>
    <row r="33" spans="2:20">
      <c r="B33" s="193" t="s">
        <v>1225</v>
      </c>
      <c r="D33" s="283" t="s">
        <v>1143</v>
      </c>
      <c r="F33" s="283">
        <v>5.88</v>
      </c>
      <c r="G33" s="283"/>
      <c r="H33" s="283">
        <v>7.84</v>
      </c>
      <c r="I33" s="283"/>
      <c r="J33" s="283">
        <v>5.88</v>
      </c>
      <c r="K33" s="283"/>
      <c r="L33" s="283">
        <v>19.600000000000001</v>
      </c>
      <c r="M33" s="283"/>
      <c r="N33" s="323"/>
      <c r="O33" s="283"/>
      <c r="P33" s="323"/>
      <c r="Q33" s="283"/>
      <c r="R33" s="323"/>
      <c r="S33" s="283"/>
      <c r="T33" s="323"/>
    </row>
    <row r="34" spans="2:20">
      <c r="B34" s="193" t="s">
        <v>1226</v>
      </c>
      <c r="D34" s="283" t="s">
        <v>1143</v>
      </c>
      <c r="F34" s="283">
        <v>8.43</v>
      </c>
      <c r="G34" s="283"/>
      <c r="H34" s="283">
        <v>8.43</v>
      </c>
      <c r="I34" s="283"/>
      <c r="J34" s="283">
        <v>7.23</v>
      </c>
      <c r="K34" s="283"/>
      <c r="L34" s="283">
        <v>24.1</v>
      </c>
      <c r="M34" s="283"/>
      <c r="N34" s="323"/>
      <c r="O34" s="283"/>
      <c r="P34" s="323"/>
      <c r="Q34" s="283"/>
      <c r="R34" s="323"/>
      <c r="S34" s="283"/>
      <c r="T34" s="323"/>
    </row>
    <row r="35" spans="2:20">
      <c r="N35" s="323"/>
      <c r="P35" s="323"/>
      <c r="R35" s="323"/>
      <c r="T35" s="323"/>
    </row>
    <row r="36" spans="2:20">
      <c r="N36" s="323"/>
      <c r="P36" s="323"/>
      <c r="R36" s="323"/>
      <c r="T36" s="323"/>
    </row>
    <row r="37" spans="2:20">
      <c r="N37" s="323"/>
      <c r="P37" s="323"/>
      <c r="R37" s="323"/>
      <c r="T37" s="323"/>
    </row>
  </sheetData>
  <mergeCells count="2">
    <mergeCell ref="D21:L21"/>
    <mergeCell ref="D30:L30"/>
  </mergeCells>
  <pageMargins left="0.511811024" right="0.511811024" top="0.78740157499999996" bottom="0.78740157499999996" header="0.31496062000000002" footer="0.31496062000000002"/>
  <ignoredErrors>
    <ignoredError sqref="V10:V11" formulaRange="1"/>
    <ignoredError sqref="V12" formula="1" formulaRange="1"/>
  </ignoredError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F93A6-5F67-452D-8405-231334E3CCCD}">
  <dimension ref="B1:DE30"/>
  <sheetViews>
    <sheetView showGridLines="0" workbookViewId="0">
      <pane xSplit="3" ySplit="5" topLeftCell="AD13" activePane="bottomRight" state="frozen"/>
      <selection pane="topRight"/>
      <selection pane="bottomLeft"/>
      <selection pane="bottomRight" activeCell="DD24" sqref="DD24:DD25"/>
    </sheetView>
  </sheetViews>
  <sheetFormatPr defaultRowHeight="15" outlineLevelCol="1"/>
  <cols>
    <col min="1" max="1" width="1.85546875" customWidth="1"/>
    <col min="2" max="2" width="1.28515625" style="3" customWidth="1"/>
    <col min="3" max="3" width="26.140625" customWidth="1"/>
    <col min="4" max="4" width="2.28515625" customWidth="1"/>
    <col min="5" max="16" width="9.140625" hidden="1" customWidth="1" outlineLevel="1"/>
    <col min="17" max="17" width="9.140625" collapsed="1"/>
    <col min="18" max="29" width="9.140625" hidden="1" customWidth="1" outlineLevel="1"/>
    <col min="30" max="30" width="9.140625" collapsed="1"/>
    <col min="31" max="42" width="9.140625" hidden="1" customWidth="1" outlineLevel="1"/>
    <col min="43" max="43" width="9.140625" customWidth="1" collapsed="1"/>
    <col min="44" max="55" width="9.140625" hidden="1" customWidth="1" outlineLevel="1"/>
    <col min="56" max="56" width="9.140625" collapsed="1"/>
    <col min="57" max="68" width="9.140625" hidden="1" customWidth="1" outlineLevel="1"/>
    <col min="69" max="69" width="9.140625" collapsed="1"/>
    <col min="70" max="70" width="1.28515625" style="148" hidden="1" customWidth="1" outlineLevel="1"/>
    <col min="71" max="82" width="9.140625" hidden="1" customWidth="1" outlineLevel="1"/>
    <col min="83" max="83" width="9.140625" customWidth="1" collapsed="1"/>
    <col min="84" max="84" width="1.28515625" style="148" hidden="1" customWidth="1" outlineLevel="1"/>
    <col min="85" max="96" width="9.140625" hidden="1" customWidth="1" outlineLevel="1"/>
    <col min="97" max="97" width="9.140625" customWidth="1" collapsed="1"/>
    <col min="98" max="98" width="1.28515625" style="148" customWidth="1"/>
  </cols>
  <sheetData>
    <row r="1" spans="3:109" s="3" customFormat="1" ht="9" customHeight="1">
      <c r="G1" s="18"/>
      <c r="I1" s="18"/>
      <c r="J1" s="18"/>
      <c r="K1" s="18"/>
      <c r="L1" s="18"/>
      <c r="T1" s="18"/>
      <c r="V1" s="18"/>
      <c r="W1" s="18"/>
      <c r="X1" s="18"/>
      <c r="Y1" s="18"/>
      <c r="AG1" s="18"/>
      <c r="AI1" s="18"/>
      <c r="AJ1" s="18"/>
      <c r="AK1" s="18"/>
      <c r="AL1" s="18"/>
      <c r="AT1" s="18"/>
      <c r="AV1" s="18"/>
      <c r="AW1" s="18"/>
      <c r="AX1" s="18"/>
      <c r="AY1" s="18"/>
      <c r="BG1" s="18"/>
      <c r="BI1" s="18"/>
      <c r="BJ1" s="18"/>
      <c r="BK1" s="18"/>
      <c r="BL1" s="18"/>
      <c r="BR1" s="38"/>
      <c r="BU1" s="18"/>
      <c r="BW1" s="18"/>
      <c r="BX1" s="18"/>
      <c r="BY1" s="18"/>
      <c r="BZ1" s="18"/>
      <c r="CF1" s="38"/>
      <c r="CI1" s="18"/>
      <c r="CK1" s="18"/>
      <c r="CL1" s="18"/>
      <c r="CM1" s="18"/>
      <c r="CN1" s="18"/>
      <c r="CT1" s="38"/>
      <c r="CW1" s="18"/>
      <c r="CX1" s="18"/>
      <c r="CY1" s="18"/>
      <c r="CZ1" s="18"/>
      <c r="DA1" s="18"/>
    </row>
    <row r="2" spans="3:109" s="3" customFormat="1" ht="18.75">
      <c r="D2" s="56" t="s">
        <v>770</v>
      </c>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41"/>
      <c r="BS2" s="18"/>
      <c r="BT2" s="18"/>
      <c r="BU2" s="18"/>
      <c r="BV2" s="18"/>
      <c r="BW2" s="18"/>
      <c r="BX2" s="18"/>
      <c r="BY2" s="18"/>
      <c r="BZ2" s="18"/>
      <c r="CA2" s="18"/>
      <c r="CB2" s="18"/>
      <c r="CC2" s="18"/>
      <c r="CD2" s="18"/>
      <c r="CE2" s="18"/>
      <c r="CF2" s="141"/>
      <c r="CG2" s="18"/>
      <c r="CH2" s="18"/>
      <c r="CI2" s="18"/>
      <c r="CJ2" s="18"/>
      <c r="CK2" s="18"/>
      <c r="CL2" s="18"/>
      <c r="CM2" s="18"/>
      <c r="CN2" s="18"/>
      <c r="CO2" s="18"/>
      <c r="CP2" s="18"/>
      <c r="CQ2" s="18"/>
      <c r="CR2" s="18"/>
      <c r="CS2" s="18"/>
      <c r="CT2" s="141"/>
      <c r="CU2" s="18"/>
      <c r="CV2" s="18"/>
      <c r="CW2" s="18"/>
      <c r="CX2" s="18"/>
      <c r="CY2" s="18"/>
      <c r="CZ2" s="18"/>
      <c r="DA2" s="18"/>
    </row>
    <row r="3" spans="3:109" s="3" customFormat="1" ht="12.75">
      <c r="D3" s="55"/>
      <c r="E3" s="44"/>
      <c r="J3" s="18"/>
      <c r="K3" s="18"/>
      <c r="L3" s="18"/>
      <c r="M3" s="18"/>
      <c r="N3" s="18"/>
      <c r="O3" s="18"/>
      <c r="P3" s="18"/>
      <c r="Q3" s="18"/>
      <c r="R3" s="44"/>
      <c r="W3" s="18"/>
      <c r="X3" s="18"/>
      <c r="Y3" s="18"/>
      <c r="Z3" s="18"/>
      <c r="AA3" s="18"/>
      <c r="AB3" s="18"/>
      <c r="AC3" s="18"/>
      <c r="AD3" s="18"/>
      <c r="AE3" s="44"/>
      <c r="AJ3" s="18"/>
      <c r="AK3" s="18"/>
      <c r="AL3" s="18"/>
      <c r="AM3" s="18"/>
      <c r="AN3" s="18"/>
      <c r="AO3" s="18"/>
      <c r="AP3" s="18"/>
      <c r="AQ3" s="18"/>
      <c r="AR3" s="44"/>
      <c r="AW3" s="18"/>
      <c r="AX3" s="18"/>
      <c r="AY3" s="18"/>
      <c r="AZ3" s="18"/>
      <c r="BA3" s="18"/>
      <c r="BB3" s="18"/>
      <c r="BC3" s="18"/>
      <c r="BD3" s="18"/>
      <c r="BE3" s="44"/>
      <c r="BJ3" s="18"/>
      <c r="BK3" s="18"/>
      <c r="BL3" s="18"/>
      <c r="BM3" s="18"/>
      <c r="BN3" s="18"/>
      <c r="BO3" s="18"/>
      <c r="BP3" s="18"/>
      <c r="BQ3" s="18"/>
      <c r="BR3" s="141"/>
      <c r="BS3" s="44"/>
      <c r="BX3" s="18"/>
      <c r="BY3" s="18"/>
      <c r="BZ3" s="18"/>
      <c r="CA3" s="18"/>
      <c r="CB3" s="18"/>
      <c r="CC3" s="18"/>
      <c r="CD3" s="18"/>
      <c r="CE3" s="18"/>
      <c r="CF3" s="141"/>
      <c r="CG3" s="44"/>
      <c r="CL3" s="18"/>
      <c r="CM3" s="18"/>
      <c r="CN3" s="18"/>
      <c r="CO3" s="18"/>
      <c r="CP3" s="18"/>
      <c r="CQ3" s="18"/>
      <c r="CR3" s="18"/>
      <c r="CS3" s="18"/>
      <c r="CT3" s="141"/>
      <c r="CU3" s="44"/>
      <c r="CZ3" s="18"/>
      <c r="DA3" s="18"/>
    </row>
    <row r="4" spans="3:109" s="3" customFormat="1" ht="12.75">
      <c r="BR4" s="38"/>
      <c r="CF4" s="38"/>
      <c r="CT4" s="38"/>
    </row>
    <row r="5" spans="3:109" ht="17.25">
      <c r="C5" s="23" t="s">
        <v>975</v>
      </c>
      <c r="D5" s="23"/>
      <c r="E5" s="54" t="s">
        <v>95</v>
      </c>
      <c r="F5" s="54" t="s">
        <v>28</v>
      </c>
      <c r="G5" s="54" t="s">
        <v>29</v>
      </c>
      <c r="H5" s="54" t="s">
        <v>30</v>
      </c>
      <c r="I5" s="54" t="s">
        <v>31</v>
      </c>
      <c r="J5" s="54" t="s">
        <v>32</v>
      </c>
      <c r="K5" s="54" t="s">
        <v>33</v>
      </c>
      <c r="L5" s="54" t="s">
        <v>34</v>
      </c>
      <c r="M5" s="54" t="s">
        <v>35</v>
      </c>
      <c r="N5" s="54" t="s">
        <v>36</v>
      </c>
      <c r="O5" s="54" t="s">
        <v>37</v>
      </c>
      <c r="P5" s="54" t="s">
        <v>38</v>
      </c>
      <c r="Q5" s="70">
        <f>AD5-1</f>
        <v>2017</v>
      </c>
      <c r="R5" s="69" t="s">
        <v>95</v>
      </c>
      <c r="S5" s="69" t="s">
        <v>28</v>
      </c>
      <c r="T5" s="69" t="s">
        <v>29</v>
      </c>
      <c r="U5" s="69" t="s">
        <v>30</v>
      </c>
      <c r="V5" s="69" t="s">
        <v>31</v>
      </c>
      <c r="W5" s="69" t="s">
        <v>32</v>
      </c>
      <c r="X5" s="69" t="s">
        <v>33</v>
      </c>
      <c r="Y5" s="69" t="s">
        <v>34</v>
      </c>
      <c r="Z5" s="69" t="s">
        <v>35</v>
      </c>
      <c r="AA5" s="69" t="s">
        <v>36</v>
      </c>
      <c r="AB5" s="69" t="s">
        <v>37</v>
      </c>
      <c r="AC5" s="69" t="s">
        <v>38</v>
      </c>
      <c r="AD5" s="70">
        <f>AQ5-1</f>
        <v>2018</v>
      </c>
      <c r="AE5" s="69" t="s">
        <v>95</v>
      </c>
      <c r="AF5" s="69" t="s">
        <v>28</v>
      </c>
      <c r="AG5" s="69" t="s">
        <v>29</v>
      </c>
      <c r="AH5" s="69" t="s">
        <v>30</v>
      </c>
      <c r="AI5" s="69" t="s">
        <v>31</v>
      </c>
      <c r="AJ5" s="69" t="s">
        <v>32</v>
      </c>
      <c r="AK5" s="69" t="s">
        <v>33</v>
      </c>
      <c r="AL5" s="69" t="s">
        <v>34</v>
      </c>
      <c r="AM5" s="69" t="s">
        <v>35</v>
      </c>
      <c r="AN5" s="69" t="s">
        <v>36</v>
      </c>
      <c r="AO5" s="69" t="s">
        <v>37</v>
      </c>
      <c r="AP5" s="69" t="s">
        <v>38</v>
      </c>
      <c r="AQ5" s="70">
        <f>BD5-1</f>
        <v>2019</v>
      </c>
      <c r="AR5" s="69" t="s">
        <v>95</v>
      </c>
      <c r="AS5" s="69" t="s">
        <v>28</v>
      </c>
      <c r="AT5" s="69" t="s">
        <v>29</v>
      </c>
      <c r="AU5" s="69" t="s">
        <v>30</v>
      </c>
      <c r="AV5" s="69" t="s">
        <v>31</v>
      </c>
      <c r="AW5" s="69" t="s">
        <v>32</v>
      </c>
      <c r="AX5" s="69" t="s">
        <v>33</v>
      </c>
      <c r="AY5" s="69" t="s">
        <v>34</v>
      </c>
      <c r="AZ5" s="69" t="s">
        <v>35</v>
      </c>
      <c r="BA5" s="69" t="s">
        <v>36</v>
      </c>
      <c r="BB5" s="69" t="s">
        <v>37</v>
      </c>
      <c r="BC5" s="69" t="s">
        <v>38</v>
      </c>
      <c r="BD5" s="70">
        <f>BQ5-1</f>
        <v>2020</v>
      </c>
      <c r="BE5" s="54" t="s">
        <v>95</v>
      </c>
      <c r="BF5" s="54" t="s">
        <v>28</v>
      </c>
      <c r="BG5" s="54" t="s">
        <v>29</v>
      </c>
      <c r="BH5" s="54" t="s">
        <v>30</v>
      </c>
      <c r="BI5" s="54" t="s">
        <v>31</v>
      </c>
      <c r="BJ5" s="54" t="s">
        <v>32</v>
      </c>
      <c r="BK5" s="54" t="s">
        <v>33</v>
      </c>
      <c r="BL5" s="54" t="s">
        <v>34</v>
      </c>
      <c r="BM5" s="54" t="s">
        <v>35</v>
      </c>
      <c r="BN5" s="54" t="s">
        <v>36</v>
      </c>
      <c r="BO5" s="54" t="s">
        <v>37</v>
      </c>
      <c r="BP5" s="54" t="s">
        <v>38</v>
      </c>
      <c r="BQ5" s="2">
        <v>2021</v>
      </c>
      <c r="BR5" s="176"/>
      <c r="BS5" s="173" t="s">
        <v>665</v>
      </c>
      <c r="BT5" s="173" t="s">
        <v>679</v>
      </c>
      <c r="BU5" s="173" t="s">
        <v>680</v>
      </c>
      <c r="BV5" s="173" t="s">
        <v>687</v>
      </c>
      <c r="BW5" s="173" t="s">
        <v>830</v>
      </c>
      <c r="BX5" s="173" t="s">
        <v>831</v>
      </c>
      <c r="BY5" s="173" t="s">
        <v>851</v>
      </c>
      <c r="BZ5" s="173" t="s">
        <v>862</v>
      </c>
      <c r="CA5" s="173" t="s">
        <v>863</v>
      </c>
      <c r="CB5" s="173" t="s">
        <v>868</v>
      </c>
      <c r="CC5" s="173" t="s">
        <v>869</v>
      </c>
      <c r="CD5" s="173" t="s">
        <v>870</v>
      </c>
      <c r="CE5" s="2">
        <v>2022</v>
      </c>
      <c r="CF5" s="176"/>
      <c r="CG5" s="173" t="s">
        <v>906</v>
      </c>
      <c r="CH5" s="173" t="s">
        <v>907</v>
      </c>
      <c r="CI5" s="173" t="s">
        <v>908</v>
      </c>
      <c r="CJ5" s="173" t="s">
        <v>909</v>
      </c>
      <c r="CK5" s="173" t="s">
        <v>910</v>
      </c>
      <c r="CL5" s="173" t="s">
        <v>911</v>
      </c>
      <c r="CM5" s="173" t="s">
        <v>912</v>
      </c>
      <c r="CN5" s="173" t="s">
        <v>913</v>
      </c>
      <c r="CO5" s="173" t="s">
        <v>914</v>
      </c>
      <c r="CP5" s="173" t="s">
        <v>915</v>
      </c>
      <c r="CQ5" s="173" t="s">
        <v>916</v>
      </c>
      <c r="CR5" s="173" t="s">
        <v>917</v>
      </c>
      <c r="CS5" s="2">
        <v>2023</v>
      </c>
      <c r="CT5" s="176"/>
      <c r="CU5" s="173" t="s">
        <v>1090</v>
      </c>
      <c r="CV5" s="173" t="s">
        <v>1176</v>
      </c>
      <c r="CW5" s="173" t="s">
        <v>1177</v>
      </c>
      <c r="CX5" s="173" t="s">
        <v>1238</v>
      </c>
      <c r="CY5" s="173" t="s">
        <v>1239</v>
      </c>
      <c r="CZ5" s="173" t="s">
        <v>1260</v>
      </c>
      <c r="DA5" s="173" t="s">
        <v>1261</v>
      </c>
      <c r="DB5" s="173" t="s">
        <v>1299</v>
      </c>
      <c r="DC5" s="173" t="s">
        <v>1300</v>
      </c>
      <c r="DD5" s="173" t="s">
        <v>1301</v>
      </c>
    </row>
    <row r="6" spans="3:109" hidden="1">
      <c r="C6" s="23"/>
      <c r="E6" s="24">
        <v>31</v>
      </c>
      <c r="F6" s="24">
        <v>28</v>
      </c>
      <c r="G6" s="24">
        <v>31</v>
      </c>
      <c r="H6" s="24">
        <v>30</v>
      </c>
      <c r="I6" s="24">
        <v>31</v>
      </c>
      <c r="J6" s="24">
        <v>30</v>
      </c>
      <c r="K6" s="24">
        <v>31</v>
      </c>
      <c r="L6" s="24">
        <v>31</v>
      </c>
      <c r="M6" s="24">
        <v>30</v>
      </c>
      <c r="N6" s="24">
        <v>31</v>
      </c>
      <c r="O6" s="24">
        <v>30</v>
      </c>
      <c r="P6" s="24">
        <v>31</v>
      </c>
      <c r="R6" s="24">
        <v>31</v>
      </c>
      <c r="S6" s="24">
        <v>28</v>
      </c>
      <c r="T6" s="24">
        <v>31</v>
      </c>
      <c r="U6" s="24">
        <v>30</v>
      </c>
      <c r="V6" s="24">
        <v>31</v>
      </c>
      <c r="W6" s="24">
        <v>30</v>
      </c>
      <c r="X6" s="24">
        <v>31</v>
      </c>
      <c r="Y6" s="24">
        <v>31</v>
      </c>
      <c r="Z6" s="24">
        <v>30</v>
      </c>
      <c r="AA6" s="24">
        <v>31</v>
      </c>
      <c r="AB6" s="24">
        <v>30</v>
      </c>
      <c r="AC6" s="24">
        <v>31</v>
      </c>
      <c r="AE6" s="24">
        <v>31</v>
      </c>
      <c r="AF6" s="24">
        <v>28</v>
      </c>
      <c r="AG6" s="24">
        <v>31</v>
      </c>
      <c r="AH6" s="24">
        <v>30</v>
      </c>
      <c r="AI6" s="24">
        <v>31</v>
      </c>
      <c r="AJ6" s="24">
        <v>30</v>
      </c>
      <c r="AK6" s="24">
        <v>31</v>
      </c>
      <c r="AL6" s="24">
        <v>31</v>
      </c>
      <c r="AM6" s="24">
        <v>30</v>
      </c>
      <c r="AN6" s="24">
        <v>31</v>
      </c>
      <c r="AO6" s="24">
        <v>30</v>
      </c>
      <c r="AP6" s="24">
        <v>31</v>
      </c>
      <c r="AQ6" s="61"/>
      <c r="AR6" s="24">
        <v>31</v>
      </c>
      <c r="AS6" s="24">
        <v>29</v>
      </c>
      <c r="AT6" s="24">
        <v>31</v>
      </c>
      <c r="AU6" s="24">
        <v>30</v>
      </c>
      <c r="AV6" s="24">
        <v>31</v>
      </c>
      <c r="AW6" s="24">
        <v>30</v>
      </c>
      <c r="AX6" s="24">
        <v>31</v>
      </c>
      <c r="AY6" s="24">
        <v>31</v>
      </c>
      <c r="AZ6" s="24">
        <v>30</v>
      </c>
      <c r="BA6" s="24">
        <v>31</v>
      </c>
      <c r="BB6" s="24">
        <v>30</v>
      </c>
      <c r="BC6" s="24">
        <v>31</v>
      </c>
      <c r="BD6" s="19"/>
      <c r="BE6" s="24">
        <v>31</v>
      </c>
      <c r="BF6" s="24">
        <v>28</v>
      </c>
      <c r="BG6" s="24">
        <v>31</v>
      </c>
      <c r="BH6" s="24">
        <v>30</v>
      </c>
      <c r="BI6" s="24">
        <v>31</v>
      </c>
      <c r="BJ6" s="24">
        <v>30</v>
      </c>
      <c r="BK6" s="24">
        <v>31</v>
      </c>
      <c r="BL6" s="24">
        <v>31</v>
      </c>
      <c r="BM6" s="24">
        <v>30</v>
      </c>
      <c r="BN6" s="24">
        <v>31</v>
      </c>
      <c r="BO6" s="24">
        <v>30</v>
      </c>
      <c r="BP6" s="24">
        <v>31</v>
      </c>
      <c r="BQ6" s="19"/>
      <c r="BR6" s="177"/>
      <c r="BS6" s="24">
        <v>31</v>
      </c>
      <c r="BT6" s="24">
        <v>28</v>
      </c>
      <c r="BU6" s="24">
        <v>31</v>
      </c>
      <c r="BV6" s="24">
        <v>30</v>
      </c>
      <c r="BW6" s="24">
        <v>31</v>
      </c>
      <c r="BX6" s="24">
        <v>30</v>
      </c>
      <c r="BY6" s="24">
        <v>31</v>
      </c>
      <c r="BZ6" s="24">
        <v>31</v>
      </c>
      <c r="CA6" s="24">
        <v>30</v>
      </c>
      <c r="CB6" s="24">
        <v>31</v>
      </c>
      <c r="CC6" s="24">
        <v>30</v>
      </c>
      <c r="CD6" s="24">
        <v>31</v>
      </c>
      <c r="CE6" s="19"/>
      <c r="CF6" s="177"/>
      <c r="CG6" s="24">
        <v>31</v>
      </c>
      <c r="CH6" s="24">
        <v>28</v>
      </c>
      <c r="CI6" s="24">
        <v>31</v>
      </c>
      <c r="CJ6" s="24">
        <v>30</v>
      </c>
      <c r="CK6" s="24">
        <v>31</v>
      </c>
      <c r="CL6" s="24">
        <v>30</v>
      </c>
      <c r="CM6" s="24">
        <v>31</v>
      </c>
      <c r="CN6" s="24">
        <v>31</v>
      </c>
      <c r="CO6" s="24">
        <v>30</v>
      </c>
      <c r="CP6" s="24">
        <v>31</v>
      </c>
      <c r="CQ6" s="24">
        <v>30</v>
      </c>
      <c r="CR6" s="24">
        <v>31</v>
      </c>
      <c r="CS6" s="19"/>
      <c r="CT6" s="177"/>
      <c r="CU6" s="24">
        <v>31</v>
      </c>
      <c r="CV6" s="24">
        <v>28</v>
      </c>
      <c r="CW6" s="24">
        <v>31</v>
      </c>
      <c r="CX6" s="24">
        <v>31</v>
      </c>
      <c r="CY6" s="24">
        <v>31</v>
      </c>
      <c r="CZ6" s="24">
        <v>30</v>
      </c>
      <c r="DA6" s="24">
        <v>31</v>
      </c>
      <c r="DB6" s="24"/>
      <c r="DC6" s="24"/>
      <c r="DD6" s="24"/>
      <c r="DE6" s="24"/>
    </row>
    <row r="7" spans="3:109" ht="5.25" customHeight="1" thickBot="1">
      <c r="AQ7" s="19"/>
      <c r="BD7" s="19"/>
      <c r="BQ7" s="19"/>
      <c r="BR7" s="177"/>
      <c r="CE7" s="19"/>
      <c r="CF7" s="177"/>
      <c r="CS7" s="19"/>
      <c r="CT7" s="177"/>
    </row>
    <row r="8" spans="3:109" ht="16.5" thickTop="1" thickBot="1">
      <c r="C8" s="10" t="s">
        <v>771</v>
      </c>
      <c r="D8" s="10"/>
      <c r="E8" s="57">
        <v>0</v>
      </c>
      <c r="F8" s="57">
        <v>0</v>
      </c>
      <c r="G8" s="57">
        <v>0</v>
      </c>
      <c r="H8" s="57">
        <v>0</v>
      </c>
      <c r="I8" s="57">
        <v>0</v>
      </c>
      <c r="J8" s="57">
        <v>0</v>
      </c>
      <c r="K8" s="57">
        <v>0</v>
      </c>
      <c r="L8" s="57">
        <v>0</v>
      </c>
      <c r="M8" s="57">
        <v>0</v>
      </c>
      <c r="N8" s="57">
        <v>0</v>
      </c>
      <c r="O8" s="57">
        <v>0</v>
      </c>
      <c r="P8" s="57">
        <v>0</v>
      </c>
      <c r="Q8" s="58">
        <f>SUMPRODUCT(E$6:P$6,E8:P8)/SUM(E$6:P$6)</f>
        <v>0</v>
      </c>
      <c r="R8" s="57">
        <v>0</v>
      </c>
      <c r="S8" s="57">
        <v>0</v>
      </c>
      <c r="T8" s="57">
        <v>0</v>
      </c>
      <c r="U8" s="57">
        <v>0</v>
      </c>
      <c r="V8" s="57">
        <v>0</v>
      </c>
      <c r="W8" s="57">
        <v>0</v>
      </c>
      <c r="X8" s="57">
        <v>0</v>
      </c>
      <c r="Y8" s="57">
        <v>0</v>
      </c>
      <c r="Z8" s="57">
        <v>0</v>
      </c>
      <c r="AA8" s="57">
        <v>0</v>
      </c>
      <c r="AB8" s="57">
        <v>0</v>
      </c>
      <c r="AC8" s="57">
        <v>0</v>
      </c>
      <c r="AD8" s="58">
        <f>SUMPRODUCT(R$6:AC$6,R8:AC8)/SUM(R$6:AC$6)</f>
        <v>0</v>
      </c>
      <c r="AE8" s="57">
        <v>0</v>
      </c>
      <c r="AF8" s="57">
        <v>0</v>
      </c>
      <c r="AG8" s="57">
        <v>0</v>
      </c>
      <c r="AH8" s="57">
        <v>0</v>
      </c>
      <c r="AI8" s="57">
        <v>0</v>
      </c>
      <c r="AJ8" s="57">
        <v>0</v>
      </c>
      <c r="AK8" s="57">
        <v>0</v>
      </c>
      <c r="AL8" s="57">
        <v>0</v>
      </c>
      <c r="AM8" s="57">
        <v>0</v>
      </c>
      <c r="AN8" s="57">
        <v>0</v>
      </c>
      <c r="AO8" s="57">
        <v>0</v>
      </c>
      <c r="AP8" s="57">
        <v>0</v>
      </c>
      <c r="AQ8" s="62">
        <f>SUMPRODUCT(AE$6:AP$6,AE8:AP8)/SUM(AE$6:AP$6)</f>
        <v>0</v>
      </c>
      <c r="AR8" s="58">
        <v>5519.74</v>
      </c>
      <c r="AS8" s="58">
        <v>5829.1</v>
      </c>
      <c r="AT8" s="58">
        <v>5958.93</v>
      </c>
      <c r="AU8" s="58">
        <v>5966.27</v>
      </c>
      <c r="AV8" s="58">
        <v>5603.19</v>
      </c>
      <c r="AW8" s="58">
        <v>5636.79</v>
      </c>
      <c r="AX8" s="58">
        <v>5851.15</v>
      </c>
      <c r="AY8" s="58">
        <v>5836.78</v>
      </c>
      <c r="AZ8" s="58">
        <v>5956.16</v>
      </c>
      <c r="BA8" s="58">
        <v>6036.69</v>
      </c>
      <c r="BB8" s="58">
        <v>6036.69</v>
      </c>
      <c r="BC8" s="58">
        <v>6537.67</v>
      </c>
      <c r="BD8" s="62">
        <f>SUMPRODUCT(AR$6:BC$6,AR8:BC8)/SUM(AR$6:BC$6)</f>
        <v>5897.7864754098355</v>
      </c>
      <c r="BE8" s="58">
        <v>6309.46</v>
      </c>
      <c r="BF8" s="58">
        <v>6358.56</v>
      </c>
      <c r="BG8" s="58">
        <v>6309.78</v>
      </c>
      <c r="BH8" s="58">
        <v>6222.66</v>
      </c>
      <c r="BI8" s="58">
        <v>6647.14</v>
      </c>
      <c r="BJ8" s="58">
        <v>6869.44</v>
      </c>
      <c r="BK8" s="58">
        <v>6595.16</v>
      </c>
      <c r="BL8" s="58">
        <v>6545.2</v>
      </c>
      <c r="BM8" s="58">
        <v>6761.16</v>
      </c>
      <c r="BN8" s="58">
        <v>6532.19</v>
      </c>
      <c r="BO8" s="58">
        <v>6370.86</v>
      </c>
      <c r="BP8" s="58">
        <v>7153.37</v>
      </c>
      <c r="BQ8" s="174">
        <f>SUMPRODUCT(BE$6:BP$6,BE8:BP8)/SUM(BE$6:BP$6)</f>
        <v>6557.8755616438357</v>
      </c>
      <c r="BR8" s="178"/>
      <c r="BS8" s="58">
        <v>7777.27</v>
      </c>
      <c r="BT8" s="58">
        <v>8288.2185132120358</v>
      </c>
      <c r="BU8" s="58">
        <v>8072.6882381260339</v>
      </c>
      <c r="BV8" s="58">
        <v>8065.2362280959251</v>
      </c>
      <c r="BW8" s="58">
        <v>7722.7348973113121</v>
      </c>
      <c r="BX8" s="58">
        <v>8388.4278993480712</v>
      </c>
      <c r="BY8" s="58">
        <v>8641.105331011835</v>
      </c>
      <c r="BZ8" s="58">
        <v>8369.7682602186469</v>
      </c>
      <c r="CA8" s="58">
        <v>8176.6504861617514</v>
      </c>
      <c r="CB8" s="58">
        <v>8842.3394444408004</v>
      </c>
      <c r="CC8" s="58">
        <v>9048.2364326858496</v>
      </c>
      <c r="CD8" s="58">
        <v>8852.7320640148228</v>
      </c>
      <c r="CE8" s="62">
        <f>SUMPRODUCT(BS$6:CD$6,BS8:CD8)/SUM(BS$6:CD$6)</f>
        <v>8353.6011919109933</v>
      </c>
      <c r="CF8" s="178"/>
      <c r="CG8" s="58">
        <v>8806.770992822816</v>
      </c>
      <c r="CH8" s="58">
        <v>8805.5084165315475</v>
      </c>
      <c r="CI8" s="58">
        <v>8759.056373309415</v>
      </c>
      <c r="CJ8" s="58">
        <v>8959</v>
      </c>
      <c r="CK8" s="58">
        <v>9125.4767145384958</v>
      </c>
      <c r="CL8" s="58">
        <v>9952.5406706311205</v>
      </c>
      <c r="CM8" s="58">
        <v>10770.973387771981</v>
      </c>
      <c r="CN8" s="58">
        <v>10055.698484892191</v>
      </c>
      <c r="CO8" s="58">
        <v>9592.9439096602619</v>
      </c>
      <c r="CP8" s="58">
        <v>9798.5517391394296</v>
      </c>
      <c r="CQ8" s="58">
        <v>9122.1819096958898</v>
      </c>
      <c r="CR8" s="58">
        <v>6306.3094039457519</v>
      </c>
      <c r="CS8" s="62">
        <f>SUMPRODUCT(CG$6:CR$6,CG8:CR8)/SUM(CG$6:CR$6)</f>
        <v>9171.6772064425313</v>
      </c>
      <c r="CT8" s="178"/>
      <c r="CU8" s="58">
        <v>9775.7530652537225</v>
      </c>
      <c r="CV8" s="58">
        <v>9239.4258235670932</v>
      </c>
      <c r="CW8" s="58">
        <v>9023.7531097258543</v>
      </c>
      <c r="CX8" s="58">
        <v>9144.3306795979115</v>
      </c>
      <c r="CY8" s="58">
        <v>8991.2416268100169</v>
      </c>
      <c r="CZ8" s="58">
        <v>8906.2786148148516</v>
      </c>
      <c r="DA8" s="58">
        <v>8623.9765800011501</v>
      </c>
      <c r="DB8" s="58">
        <v>8475.5595378538655</v>
      </c>
      <c r="DC8" s="58">
        <v>8642.3745057119231</v>
      </c>
      <c r="DD8" s="58">
        <v>8711.3721510419509</v>
      </c>
      <c r="DE8" s="58"/>
    </row>
    <row r="9" spans="3:109" ht="16.5" thickTop="1" thickBot="1">
      <c r="C9" s="10" t="s">
        <v>772</v>
      </c>
      <c r="D9" s="10"/>
      <c r="E9" s="59">
        <v>0</v>
      </c>
      <c r="F9" s="59">
        <v>0</v>
      </c>
      <c r="G9" s="59">
        <v>0</v>
      </c>
      <c r="H9" s="59">
        <v>0</v>
      </c>
      <c r="I9" s="59">
        <v>0</v>
      </c>
      <c r="J9" s="59">
        <v>0</v>
      </c>
      <c r="K9" s="59">
        <v>0</v>
      </c>
      <c r="L9" s="59">
        <v>0</v>
      </c>
      <c r="M9" s="59">
        <v>0</v>
      </c>
      <c r="N9" s="59">
        <v>0</v>
      </c>
      <c r="O9" s="59">
        <v>0</v>
      </c>
      <c r="P9" s="59">
        <v>0</v>
      </c>
      <c r="Q9" s="59">
        <f>SUMPRODUCT(E$6:P$6,E9:P9)/SUM(E$6:P$6)</f>
        <v>0</v>
      </c>
      <c r="R9" s="59">
        <v>0</v>
      </c>
      <c r="S9" s="59">
        <v>0</v>
      </c>
      <c r="T9" s="59">
        <v>0</v>
      </c>
      <c r="U9" s="59">
        <v>0</v>
      </c>
      <c r="V9" s="59">
        <v>0</v>
      </c>
      <c r="W9" s="59">
        <v>0</v>
      </c>
      <c r="X9" s="59">
        <v>0</v>
      </c>
      <c r="Y9" s="59">
        <v>0</v>
      </c>
      <c r="Z9" s="59">
        <v>0</v>
      </c>
      <c r="AA9" s="59">
        <v>0</v>
      </c>
      <c r="AB9" s="59">
        <v>0</v>
      </c>
      <c r="AC9" s="59">
        <v>0</v>
      </c>
      <c r="AD9" s="59">
        <f>SUMPRODUCT(R$6:AC$6,R9:AC9)/SUM(R$6:AC$6)</f>
        <v>0</v>
      </c>
      <c r="AE9" s="59">
        <v>0</v>
      </c>
      <c r="AF9" s="59">
        <v>0</v>
      </c>
      <c r="AG9" s="59">
        <v>0</v>
      </c>
      <c r="AH9" s="59">
        <v>0</v>
      </c>
      <c r="AI9" s="59">
        <v>0</v>
      </c>
      <c r="AJ9" s="59">
        <v>0</v>
      </c>
      <c r="AK9" s="59">
        <v>0</v>
      </c>
      <c r="AL9" s="59">
        <v>0</v>
      </c>
      <c r="AM9" s="59">
        <v>0</v>
      </c>
      <c r="AN9" s="59">
        <v>0</v>
      </c>
      <c r="AO9" s="59">
        <v>0</v>
      </c>
      <c r="AP9" s="59">
        <v>0</v>
      </c>
      <c r="AQ9" s="63">
        <f>SUMPRODUCT(AE$6:AP$6,AE9:AP9)/SUM(AE$6:AP$6)</f>
        <v>0</v>
      </c>
      <c r="AR9" s="59">
        <v>1373.47</v>
      </c>
      <c r="AS9" s="59">
        <v>933.94</v>
      </c>
      <c r="AT9" s="59">
        <v>926.16</v>
      </c>
      <c r="AU9" s="59">
        <v>1030.25</v>
      </c>
      <c r="AV9" s="59">
        <v>978.86</v>
      </c>
      <c r="AW9" s="59">
        <v>895.36</v>
      </c>
      <c r="AX9" s="59">
        <v>1019.35</v>
      </c>
      <c r="AY9" s="59">
        <v>1182.23</v>
      </c>
      <c r="AZ9" s="59">
        <v>1217.26</v>
      </c>
      <c r="BA9" s="59">
        <v>1137.46</v>
      </c>
      <c r="BB9" s="59">
        <v>1220.46</v>
      </c>
      <c r="BC9" s="59">
        <v>1329.1</v>
      </c>
      <c r="BD9" s="63">
        <f>SUMPRODUCT(AR$6:BC$6,AR9:BC9)/SUM(AR$6:BC$6)</f>
        <v>1104.7259289617487</v>
      </c>
      <c r="BE9" s="59">
        <v>1459.44</v>
      </c>
      <c r="BF9" s="59">
        <v>1470.67</v>
      </c>
      <c r="BG9" s="59">
        <v>1556.69</v>
      </c>
      <c r="BH9" s="59">
        <v>1640.72</v>
      </c>
      <c r="BI9" s="59">
        <v>1755.7</v>
      </c>
      <c r="BJ9" s="59">
        <v>1956.46</v>
      </c>
      <c r="BK9" s="59">
        <v>1952.86</v>
      </c>
      <c r="BL9" s="59">
        <v>2062.8200000000002</v>
      </c>
      <c r="BM9" s="59">
        <v>2083.59</v>
      </c>
      <c r="BN9" s="59">
        <v>1893.97</v>
      </c>
      <c r="BO9" s="59">
        <v>2164.69</v>
      </c>
      <c r="BP9" s="59">
        <v>2396</v>
      </c>
      <c r="BQ9" s="63">
        <f>SUMPRODUCT(BE$6:BP$6,BE9:BP9)/SUM(BE$6:BP$6)</f>
        <v>1868.3409315068491</v>
      </c>
      <c r="BR9" s="178"/>
      <c r="BS9" s="59">
        <v>2895.29</v>
      </c>
      <c r="BT9" s="59">
        <v>3284.2706614465797</v>
      </c>
      <c r="BU9" s="59">
        <v>3294.7853801507863</v>
      </c>
      <c r="BV9" s="59">
        <v>3248.8684364516726</v>
      </c>
      <c r="BW9" s="59">
        <v>3342.8687621594054</v>
      </c>
      <c r="BX9" s="59">
        <v>3509.8201598243286</v>
      </c>
      <c r="BY9" s="59">
        <v>3439.8227031192669</v>
      </c>
      <c r="BZ9" s="59">
        <v>3646.6206837120531</v>
      </c>
      <c r="CA9" s="59">
        <v>3962.5541149315677</v>
      </c>
      <c r="CB9" s="59">
        <v>4052.3905922835006</v>
      </c>
      <c r="CC9" s="59">
        <v>4206.3501773217185</v>
      </c>
      <c r="CD9" s="59">
        <v>4395.6010450960139</v>
      </c>
      <c r="CE9" s="63">
        <f>SUMPRODUCT(BS$6:CD$6,BS9:CD9)/SUM(BS$6:CD$6)</f>
        <v>3607.8797790096837</v>
      </c>
      <c r="CF9" s="178"/>
      <c r="CG9" s="59">
        <v>4226.0904013412182</v>
      </c>
      <c r="CH9" s="59">
        <v>4047.0747991988251</v>
      </c>
      <c r="CI9" s="59">
        <v>4328.4242499523862</v>
      </c>
      <c r="CJ9" s="59">
        <v>4230.7313829136656</v>
      </c>
      <c r="CK9" s="59">
        <v>4197.3777647878533</v>
      </c>
      <c r="CL9" s="59">
        <v>4632.5009058796277</v>
      </c>
      <c r="CM9" s="59">
        <v>4993.8607068649617</v>
      </c>
      <c r="CN9" s="59">
        <v>5583.2944974571574</v>
      </c>
      <c r="CO9" s="59">
        <v>4877.8110650425688</v>
      </c>
      <c r="CP9" s="59">
        <v>4794.6739985546865</v>
      </c>
      <c r="CQ9" s="59">
        <v>4660.8161764706701</v>
      </c>
      <c r="CR9" s="59">
        <v>3591.3748879949226</v>
      </c>
      <c r="CS9" s="63">
        <f>SUMPRODUCT(CG$6:CR$6,CG9:CR9)/SUM(CG$6:CR$6)</f>
        <v>4516.5530739789374</v>
      </c>
      <c r="CT9" s="178"/>
      <c r="CU9" s="59">
        <v>4662.9840594503476</v>
      </c>
      <c r="CV9" s="59">
        <v>4683.2036392747159</v>
      </c>
      <c r="CW9" s="59">
        <v>4767.3894719187774</v>
      </c>
      <c r="CX9" s="59">
        <v>5141.12733194671</v>
      </c>
      <c r="CY9" s="59">
        <v>5146.6115321657317</v>
      </c>
      <c r="CZ9" s="59">
        <v>4642.1768479123157</v>
      </c>
      <c r="DA9" s="59">
        <v>4619.285103198843</v>
      </c>
      <c r="DB9" s="59">
        <v>4730.2943850868669</v>
      </c>
      <c r="DC9" s="59">
        <v>4900.0276460096702</v>
      </c>
      <c r="DD9" s="59">
        <v>5008.115869418587</v>
      </c>
      <c r="DE9" s="59"/>
    </row>
    <row r="10" spans="3:109" ht="15.75" thickBot="1">
      <c r="C10" s="28" t="s">
        <v>39</v>
      </c>
      <c r="D10" s="28"/>
      <c r="E10" s="42">
        <f>SUM(E8:E9)</f>
        <v>0</v>
      </c>
      <c r="F10" s="42">
        <f t="shared" ref="F10:P10" si="0">SUM(F8:F9)</f>
        <v>0</v>
      </c>
      <c r="G10" s="42">
        <f t="shared" si="0"/>
        <v>0</v>
      </c>
      <c r="H10" s="42">
        <f t="shared" si="0"/>
        <v>0</v>
      </c>
      <c r="I10" s="42">
        <f t="shared" si="0"/>
        <v>0</v>
      </c>
      <c r="J10" s="42">
        <f t="shared" si="0"/>
        <v>0</v>
      </c>
      <c r="K10" s="42">
        <f t="shared" si="0"/>
        <v>0</v>
      </c>
      <c r="L10" s="42">
        <f t="shared" si="0"/>
        <v>0</v>
      </c>
      <c r="M10" s="42">
        <f t="shared" si="0"/>
        <v>0</v>
      </c>
      <c r="N10" s="42">
        <f t="shared" si="0"/>
        <v>0</v>
      </c>
      <c r="O10" s="42">
        <f t="shared" si="0"/>
        <v>0</v>
      </c>
      <c r="P10" s="42">
        <f t="shared" si="0"/>
        <v>0</v>
      </c>
      <c r="Q10" s="60">
        <f>SUM(Q8:Q9)</f>
        <v>0</v>
      </c>
      <c r="R10" s="42">
        <f>SUM(R8:R9)</f>
        <v>0</v>
      </c>
      <c r="S10" s="42">
        <f t="shared" ref="S10:AC10" si="1">SUM(S8:S9)</f>
        <v>0</v>
      </c>
      <c r="T10" s="42">
        <f t="shared" si="1"/>
        <v>0</v>
      </c>
      <c r="U10" s="42">
        <f t="shared" si="1"/>
        <v>0</v>
      </c>
      <c r="V10" s="42">
        <f t="shared" si="1"/>
        <v>0</v>
      </c>
      <c r="W10" s="42">
        <f t="shared" si="1"/>
        <v>0</v>
      </c>
      <c r="X10" s="42">
        <f t="shared" si="1"/>
        <v>0</v>
      </c>
      <c r="Y10" s="42">
        <f t="shared" si="1"/>
        <v>0</v>
      </c>
      <c r="Z10" s="42">
        <f t="shared" si="1"/>
        <v>0</v>
      </c>
      <c r="AA10" s="42">
        <f t="shared" si="1"/>
        <v>0</v>
      </c>
      <c r="AB10" s="42">
        <f t="shared" si="1"/>
        <v>0</v>
      </c>
      <c r="AC10" s="42">
        <f t="shared" si="1"/>
        <v>0</v>
      </c>
      <c r="AD10" s="60">
        <f t="shared" ref="AD10:AR10" si="2">SUM(AD8:AD9)</f>
        <v>0</v>
      </c>
      <c r="AE10" s="60">
        <f t="shared" si="2"/>
        <v>0</v>
      </c>
      <c r="AF10" s="60">
        <f t="shared" si="2"/>
        <v>0</v>
      </c>
      <c r="AG10" s="60">
        <f t="shared" si="2"/>
        <v>0</v>
      </c>
      <c r="AH10" s="60">
        <f t="shared" si="2"/>
        <v>0</v>
      </c>
      <c r="AI10" s="60">
        <f t="shared" si="2"/>
        <v>0</v>
      </c>
      <c r="AJ10" s="60">
        <f t="shared" si="2"/>
        <v>0</v>
      </c>
      <c r="AK10" s="60">
        <f t="shared" si="2"/>
        <v>0</v>
      </c>
      <c r="AL10" s="60">
        <f t="shared" si="2"/>
        <v>0</v>
      </c>
      <c r="AM10" s="60">
        <f t="shared" si="2"/>
        <v>0</v>
      </c>
      <c r="AN10" s="60">
        <f t="shared" si="2"/>
        <v>0</v>
      </c>
      <c r="AO10" s="60">
        <f t="shared" si="2"/>
        <v>0</v>
      </c>
      <c r="AP10" s="60">
        <f t="shared" si="2"/>
        <v>0</v>
      </c>
      <c r="AQ10" s="64">
        <f t="shared" si="2"/>
        <v>0</v>
      </c>
      <c r="AR10" s="60">
        <f t="shared" si="2"/>
        <v>6893.21</v>
      </c>
      <c r="AS10" s="60">
        <f t="shared" ref="AS10:BC10" si="3">SUM(AS8:AS9)</f>
        <v>6763.0400000000009</v>
      </c>
      <c r="AT10" s="60">
        <f t="shared" si="3"/>
        <v>6885.09</v>
      </c>
      <c r="AU10" s="60">
        <f t="shared" si="3"/>
        <v>6996.52</v>
      </c>
      <c r="AV10" s="60">
        <f t="shared" si="3"/>
        <v>6582.0499999999993</v>
      </c>
      <c r="AW10" s="60">
        <f t="shared" si="3"/>
        <v>6532.15</v>
      </c>
      <c r="AX10" s="60">
        <f t="shared" si="3"/>
        <v>6870.5</v>
      </c>
      <c r="AY10" s="60">
        <f t="shared" si="3"/>
        <v>7019.01</v>
      </c>
      <c r="AZ10" s="60">
        <f t="shared" si="3"/>
        <v>7173.42</v>
      </c>
      <c r="BA10" s="60">
        <f t="shared" si="3"/>
        <v>7174.15</v>
      </c>
      <c r="BB10" s="60">
        <f t="shared" si="3"/>
        <v>7257.15</v>
      </c>
      <c r="BC10" s="60">
        <f t="shared" si="3"/>
        <v>7866.77</v>
      </c>
      <c r="BD10" s="64">
        <f>SUM(BD8:BD9)</f>
        <v>7002.5124043715841</v>
      </c>
      <c r="BE10" s="60">
        <f>SUM(BE8:BE9)</f>
        <v>7768.9</v>
      </c>
      <c r="BF10" s="60">
        <f t="shared" ref="BF10:BP10" si="4">SUM(BF8:BF9)</f>
        <v>7829.2300000000005</v>
      </c>
      <c r="BG10" s="60">
        <f t="shared" si="4"/>
        <v>7866.4699999999993</v>
      </c>
      <c r="BH10" s="60">
        <f t="shared" si="4"/>
        <v>7863.38</v>
      </c>
      <c r="BI10" s="60">
        <f t="shared" si="4"/>
        <v>8402.84</v>
      </c>
      <c r="BJ10" s="60">
        <f t="shared" si="4"/>
        <v>8825.9</v>
      </c>
      <c r="BK10" s="60">
        <f t="shared" si="4"/>
        <v>8548.02</v>
      </c>
      <c r="BL10" s="60">
        <f t="shared" si="4"/>
        <v>8608.02</v>
      </c>
      <c r="BM10" s="60">
        <f t="shared" si="4"/>
        <v>8844.75</v>
      </c>
      <c r="BN10" s="60">
        <f t="shared" si="4"/>
        <v>8426.16</v>
      </c>
      <c r="BO10" s="60">
        <f t="shared" si="4"/>
        <v>8535.5499999999993</v>
      </c>
      <c r="BP10" s="60">
        <f t="shared" si="4"/>
        <v>9549.369999999999</v>
      </c>
      <c r="BQ10" s="64">
        <f>SUM(BQ8:BQ9)</f>
        <v>8426.216493150685</v>
      </c>
      <c r="BR10" s="179"/>
      <c r="BS10" s="64">
        <f t="shared" ref="BS10:CD10" si="5">SUM(BS8:BS9)</f>
        <v>10672.560000000001</v>
      </c>
      <c r="BT10" s="64">
        <f t="shared" si="5"/>
        <v>11572.489174658615</v>
      </c>
      <c r="BU10" s="64">
        <f t="shared" si="5"/>
        <v>11367.473618276821</v>
      </c>
      <c r="BV10" s="64">
        <v>11314.104664547598</v>
      </c>
      <c r="BW10" s="64">
        <f t="shared" si="5"/>
        <v>11065.603659470718</v>
      </c>
      <c r="BX10" s="64">
        <f t="shared" si="5"/>
        <v>11898.2480591724</v>
      </c>
      <c r="BY10" s="64">
        <f t="shared" si="5"/>
        <v>12080.928034131102</v>
      </c>
      <c r="BZ10" s="64">
        <f t="shared" si="5"/>
        <v>12016.3889439307</v>
      </c>
      <c r="CA10" s="64">
        <f t="shared" si="5"/>
        <v>12139.204601093319</v>
      </c>
      <c r="CB10" s="64">
        <v>12894.730036724301</v>
      </c>
      <c r="CC10" s="64">
        <f t="shared" si="5"/>
        <v>13254.586610007569</v>
      </c>
      <c r="CD10" s="64">
        <f t="shared" si="5"/>
        <v>13248.333109110838</v>
      </c>
      <c r="CE10" s="64">
        <f>SUM(CE8:CE9)</f>
        <v>11961.480970920677</v>
      </c>
      <c r="CF10" s="179"/>
      <c r="CG10" s="64">
        <f>SUM(CG8:CG9)</f>
        <v>13032.861394164034</v>
      </c>
      <c r="CH10" s="64">
        <f>SUM(CH8:CH9)</f>
        <v>12852.583215730372</v>
      </c>
      <c r="CI10" s="64">
        <f>SUM(CI8:CI9)</f>
        <v>13087.480623261801</v>
      </c>
      <c r="CJ10" s="64">
        <f>SUM(CJ8:CJ9)</f>
        <v>13189.731382913666</v>
      </c>
      <c r="CK10" s="64">
        <f t="shared" ref="CK10:CP10" si="6">SUM(CK8:CK9)</f>
        <v>13322.85447932635</v>
      </c>
      <c r="CL10" s="64">
        <f t="shared" si="6"/>
        <v>14585.041576510748</v>
      </c>
      <c r="CM10" s="64">
        <f t="shared" si="6"/>
        <v>15764.834094636943</v>
      </c>
      <c r="CN10" s="64">
        <f t="shared" si="6"/>
        <v>15638.992982349348</v>
      </c>
      <c r="CO10" s="64">
        <f t="shared" si="6"/>
        <v>14470.754974702832</v>
      </c>
      <c r="CP10" s="64">
        <f t="shared" si="6"/>
        <v>14593.225737694116</v>
      </c>
      <c r="CQ10" s="64">
        <f>SUM(CQ8:CQ9)</f>
        <v>13782.998086166561</v>
      </c>
      <c r="CR10" s="64">
        <f>SUM(CR8:CR9)</f>
        <v>9897.6842919406736</v>
      </c>
      <c r="CS10" s="64">
        <f>SUM(CS8:CS9)</f>
        <v>13688.230280421469</v>
      </c>
      <c r="CT10" s="179"/>
      <c r="CU10" s="64">
        <f>SUM(CU8:CU9)</f>
        <v>14438.73712470407</v>
      </c>
      <c r="CV10" s="64">
        <f>SUM(CV8:CV9)</f>
        <v>13922.629462841809</v>
      </c>
      <c r="CW10" s="64">
        <f>SUM(CW8:CW9)</f>
        <v>13791.142581644632</v>
      </c>
      <c r="CX10" s="64">
        <f>SUM(CX8:CX9)</f>
        <v>14285.458011544622</v>
      </c>
      <c r="CY10" s="64">
        <f t="shared" ref="CY10:DB10" si="7">SUM(CY8:CY9)</f>
        <v>14137.853158975748</v>
      </c>
      <c r="CZ10" s="64">
        <f t="shared" si="7"/>
        <v>13548.455462727168</v>
      </c>
      <c r="DA10" s="64">
        <f t="shared" si="7"/>
        <v>13243.261683199993</v>
      </c>
      <c r="DB10" s="64">
        <f t="shared" si="7"/>
        <v>13205.853922940732</v>
      </c>
      <c r="DC10" s="64">
        <f t="shared" ref="DC10:DD10" si="8">SUM(DC8:DC9)</f>
        <v>13542.402151721593</v>
      </c>
      <c r="DD10" s="64">
        <f t="shared" si="8"/>
        <v>13719.488020460538</v>
      </c>
      <c r="DE10" s="64"/>
    </row>
    <row r="11" spans="3:109" ht="5.25" customHeight="1" thickBot="1">
      <c r="AE11" s="25"/>
      <c r="AF11" s="25"/>
      <c r="AG11" s="25"/>
      <c r="AH11" s="25"/>
      <c r="AI11" s="25"/>
      <c r="AJ11" s="25"/>
      <c r="AK11" s="25"/>
      <c r="AL11" s="25"/>
      <c r="AM11" s="25"/>
      <c r="AN11" s="25"/>
      <c r="AO11" s="25"/>
      <c r="AP11" s="25"/>
      <c r="AQ11" s="65"/>
      <c r="AR11" s="25"/>
      <c r="AS11" s="25"/>
      <c r="AT11" s="25"/>
      <c r="AU11" s="25"/>
      <c r="AV11" s="25"/>
      <c r="AW11" s="25"/>
      <c r="AX11" s="25"/>
      <c r="AY11" s="25"/>
      <c r="AZ11" s="25"/>
      <c r="BA11" s="25"/>
      <c r="BB11" s="25"/>
      <c r="BC11" s="25"/>
      <c r="BD11" s="65"/>
      <c r="BE11" s="25"/>
      <c r="BF11" s="25"/>
      <c r="BG11" s="25"/>
      <c r="BH11" s="25"/>
      <c r="BI11" s="25"/>
      <c r="BJ11" s="25"/>
      <c r="BK11" s="25"/>
      <c r="BL11" s="25"/>
      <c r="BM11" s="25"/>
      <c r="BN11" s="25"/>
      <c r="BO11" s="25"/>
      <c r="BQ11" s="19"/>
      <c r="BR11" s="177"/>
      <c r="BS11" s="25"/>
      <c r="BT11" s="25"/>
      <c r="BU11" s="25"/>
      <c r="BV11" s="25"/>
      <c r="BW11" s="25"/>
      <c r="BX11" s="25"/>
      <c r="BY11" s="25"/>
      <c r="BZ11" s="25"/>
      <c r="CA11" s="25"/>
      <c r="CB11" s="25"/>
      <c r="CC11" s="25"/>
      <c r="CE11" s="19"/>
      <c r="CF11" s="177"/>
      <c r="CG11" s="25"/>
      <c r="CH11" s="25"/>
      <c r="CI11" s="25"/>
      <c r="CJ11" s="25"/>
      <c r="CK11" s="25"/>
      <c r="CL11" s="25"/>
      <c r="CM11" s="25"/>
      <c r="CN11" s="25"/>
      <c r="CO11" s="25"/>
      <c r="CP11" s="25"/>
      <c r="CQ11" s="25"/>
      <c r="CS11" s="19"/>
      <c r="CT11" s="177"/>
      <c r="CU11" s="25"/>
      <c r="CV11" s="25"/>
      <c r="CW11" s="25"/>
      <c r="CX11" s="25"/>
      <c r="CY11" s="25"/>
      <c r="CZ11" s="25"/>
      <c r="DA11" s="25"/>
      <c r="DB11" s="25"/>
      <c r="DC11" s="25"/>
      <c r="DD11" s="25"/>
      <c r="DE11" s="25"/>
    </row>
    <row r="12" spans="3:109" ht="16.5" thickTop="1" thickBot="1">
      <c r="C12" s="10" t="s">
        <v>771</v>
      </c>
      <c r="D12" s="10"/>
      <c r="E12" s="58">
        <v>4500.8100000000004</v>
      </c>
      <c r="F12" s="58">
        <v>4356.1600000000008</v>
      </c>
      <c r="G12" s="58">
        <v>4218.9199999999992</v>
      </c>
      <c r="H12" s="58">
        <v>4188.6899999999996</v>
      </c>
      <c r="I12" s="58">
        <v>4179.38</v>
      </c>
      <c r="J12" s="58">
        <v>3972.7000000000012</v>
      </c>
      <c r="K12" s="58">
        <v>4089.48</v>
      </c>
      <c r="L12" s="58">
        <v>3981.5300000000007</v>
      </c>
      <c r="M12" s="58">
        <v>4013.3800000000006</v>
      </c>
      <c r="N12" s="58">
        <v>3971.76</v>
      </c>
      <c r="O12" s="58">
        <v>4008.3199999999997</v>
      </c>
      <c r="P12" s="58">
        <v>4030.0099999999998</v>
      </c>
      <c r="Q12" s="62">
        <f>SUMPRODUCT(E$6:P$6,E12:P12)/SUM(E$6:P$6)</f>
        <v>4124.9144383561652</v>
      </c>
      <c r="R12" s="72">
        <v>4017.4300000000007</v>
      </c>
      <c r="S12" s="72">
        <v>4127.9400000000005</v>
      </c>
      <c r="T12" s="72">
        <v>4105.37</v>
      </c>
      <c r="U12" s="72">
        <v>3938.4999999999991</v>
      </c>
      <c r="V12" s="72">
        <v>4158.4799999999996</v>
      </c>
      <c r="W12" s="72">
        <v>4318.46</v>
      </c>
      <c r="X12" s="72">
        <v>4268.54</v>
      </c>
      <c r="Y12" s="72">
        <v>4339.8</v>
      </c>
      <c r="Z12" s="72">
        <v>4212.46</v>
      </c>
      <c r="AA12" s="72">
        <v>4036.8900000000003</v>
      </c>
      <c r="AB12" s="72">
        <v>3919.1500000000005</v>
      </c>
      <c r="AC12" s="72">
        <v>4432.04</v>
      </c>
      <c r="AD12" s="62">
        <f>SUMPRODUCT(R$6:AC$6,R12:AC12)/SUM(R$6:AC$6)</f>
        <v>4157.1355342465758</v>
      </c>
      <c r="AE12" s="57">
        <v>4186.6899999999996</v>
      </c>
      <c r="AF12" s="57">
        <v>4119.3599999999997</v>
      </c>
      <c r="AG12" s="57">
        <v>4174.0599999999995</v>
      </c>
      <c r="AH12" s="57">
        <v>4121.8999999999996</v>
      </c>
      <c r="AI12" s="57">
        <v>3927.4899999999989</v>
      </c>
      <c r="AJ12" s="57">
        <v>3837.2400000000002</v>
      </c>
      <c r="AK12" s="57">
        <v>3836.6</v>
      </c>
      <c r="AL12" s="57">
        <v>3943.82</v>
      </c>
      <c r="AM12" s="57">
        <v>4117.1900000000005</v>
      </c>
      <c r="AN12" s="57">
        <v>3984.53</v>
      </c>
      <c r="AO12" s="57">
        <v>3837.1299999999997</v>
      </c>
      <c r="AP12" s="57">
        <v>3818.8900000000003</v>
      </c>
      <c r="AQ12" s="62">
        <f>SUMPRODUCT(AE$6:AP$6,AE12:AP12)/SUM(AE$6:AP$6)</f>
        <v>3991.1790684931502</v>
      </c>
      <c r="AR12" s="58">
        <v>4051.6600000000003</v>
      </c>
      <c r="AS12" s="58">
        <v>4540.79</v>
      </c>
      <c r="AT12" s="58">
        <v>4349.4500000000007</v>
      </c>
      <c r="AU12" s="58">
        <v>4010.5499999999993</v>
      </c>
      <c r="AV12" s="58">
        <v>3633.7199999999993</v>
      </c>
      <c r="AW12" s="58">
        <v>3336.36</v>
      </c>
      <c r="AX12" s="58">
        <v>3418.71</v>
      </c>
      <c r="AY12" s="58">
        <v>3246.6000000000004</v>
      </c>
      <c r="AZ12" s="58">
        <v>3384.2799999999997</v>
      </c>
      <c r="BA12" s="58">
        <v>3507.77</v>
      </c>
      <c r="BB12" s="58">
        <v>3381.5299999999997</v>
      </c>
      <c r="BC12" s="58">
        <v>3251.2599999999998</v>
      </c>
      <c r="BD12" s="62">
        <f>SUMPRODUCT(AR$6:BC$6,AR12:BC12)/SUM(AR$6:BC$6)</f>
        <v>3672.9474863387973</v>
      </c>
      <c r="BE12" s="58">
        <v>3280.5100000000007</v>
      </c>
      <c r="BF12" s="58">
        <v>3260.88</v>
      </c>
      <c r="BG12" s="58">
        <v>3217.73</v>
      </c>
      <c r="BH12" s="58">
        <v>3279.1699999999996</v>
      </c>
      <c r="BI12" s="58">
        <v>3116.26</v>
      </c>
      <c r="BJ12" s="58">
        <v>3004.2900000000004</v>
      </c>
      <c r="BK12" s="58">
        <v>2881.8300000000004</v>
      </c>
      <c r="BL12" s="58">
        <v>3072.5900000000006</v>
      </c>
      <c r="BM12" s="58">
        <v>3020.78</v>
      </c>
      <c r="BN12" s="58">
        <v>3135.59</v>
      </c>
      <c r="BO12" s="58">
        <v>3054.0800000000004</v>
      </c>
      <c r="BP12" s="58">
        <v>3293.28</v>
      </c>
      <c r="BQ12" s="174">
        <f>SUMPRODUCT(BE$6:BP$6,BE12:BP12)/SUM(BE$6:BP$6)</f>
        <v>3134.2074794520549</v>
      </c>
      <c r="BR12" s="178"/>
      <c r="BS12" s="58">
        <v>3273.692299820967</v>
      </c>
      <c r="BT12" s="58">
        <v>3162.17829891771</v>
      </c>
      <c r="BU12" s="58">
        <v>3232.9132518669162</v>
      </c>
      <c r="BV12" s="58">
        <v>3097.7551017601468</v>
      </c>
      <c r="BW12" s="58">
        <v>3115.2074207364062</v>
      </c>
      <c r="BX12" s="58">
        <v>2903.9831266682781</v>
      </c>
      <c r="BY12" s="58">
        <v>2903.3738831192504</v>
      </c>
      <c r="BZ12" s="58">
        <v>2905.128089180871</v>
      </c>
      <c r="CA12" s="58">
        <v>2926.6472579891838</v>
      </c>
      <c r="CB12" s="58">
        <v>2870.4219959279885</v>
      </c>
      <c r="CC12" s="58">
        <v>2771.0189646405393</v>
      </c>
      <c r="CD12" s="58">
        <v>2775.1781822442317</v>
      </c>
      <c r="CE12" s="62">
        <f>SUMPRODUCT(BS$6:CD$6,BS12:CD12)/SUM(BS$6:CD$6)</f>
        <v>2994.1821772910571</v>
      </c>
      <c r="CF12" s="178"/>
      <c r="CG12" s="58">
        <v>2741.2112662963764</v>
      </c>
      <c r="CH12" s="58">
        <v>2472.6167833921072</v>
      </c>
      <c r="CI12" s="58">
        <v>2728.7225133625302</v>
      </c>
      <c r="CJ12" s="58">
        <v>2700.680516388853</v>
      </c>
      <c r="CK12" s="58">
        <v>2483.5132722418098</v>
      </c>
      <c r="CL12" s="58">
        <v>2602.5238049497389</v>
      </c>
      <c r="CM12" s="58">
        <v>2489.5259187680417</v>
      </c>
      <c r="CN12" s="58">
        <v>2592.1947605088048</v>
      </c>
      <c r="CO12" s="58">
        <v>2374.8160258302578</v>
      </c>
      <c r="CP12" s="58">
        <v>2728.1582635769964</v>
      </c>
      <c r="CQ12" s="58">
        <v>2339.4369150146326</v>
      </c>
      <c r="CR12" s="58">
        <v>2513.5438997163719</v>
      </c>
      <c r="CS12" s="62">
        <f>SUMPRODUCT(CG$6:CR$6,CG12:CR12)/SUM(CG$6:CR$6)</f>
        <v>2565.3149439152944</v>
      </c>
      <c r="CT12" s="178"/>
      <c r="CU12" s="58">
        <v>2480.0173988851893</v>
      </c>
      <c r="CV12" s="58">
        <v>2481.5524431937984</v>
      </c>
      <c r="CW12" s="58">
        <v>2502.9325139618022</v>
      </c>
      <c r="CX12" s="58">
        <v>2388.7964217330446</v>
      </c>
      <c r="CY12" s="58">
        <v>2145.4410147273102</v>
      </c>
      <c r="CZ12" s="58">
        <v>2268.9021885099883</v>
      </c>
      <c r="DA12" s="58">
        <v>2175.3363947137245</v>
      </c>
      <c r="DB12" s="58">
        <v>2025.4806175865763</v>
      </c>
      <c r="DC12" s="58">
        <v>1996.3043858887895</v>
      </c>
      <c r="DD12" s="58">
        <v>2123.8579815994399</v>
      </c>
      <c r="DE12" s="58"/>
    </row>
    <row r="13" spans="3:109" ht="16.5" thickTop="1" thickBot="1">
      <c r="C13" s="10" t="s">
        <v>772</v>
      </c>
      <c r="D13" s="10"/>
      <c r="E13" s="59">
        <v>494.2600000000001</v>
      </c>
      <c r="F13" s="59">
        <v>448.7399999999999</v>
      </c>
      <c r="G13" s="59">
        <v>420.93999999999971</v>
      </c>
      <c r="H13" s="59">
        <v>429.35000000000014</v>
      </c>
      <c r="I13" s="59">
        <v>406.46999999999997</v>
      </c>
      <c r="J13" s="59">
        <v>402.18000000000006</v>
      </c>
      <c r="K13" s="59">
        <v>457.22999999999996</v>
      </c>
      <c r="L13" s="59">
        <v>429.06000000000023</v>
      </c>
      <c r="M13" s="59">
        <v>420.98999999999978</v>
      </c>
      <c r="N13" s="59">
        <v>404.19000000000011</v>
      </c>
      <c r="O13" s="59">
        <v>442.38999999999987</v>
      </c>
      <c r="P13" s="59">
        <v>475.35999999999996</v>
      </c>
      <c r="Q13" s="63">
        <f>SUMPRODUCT(E$6:P$6,E13:P13)/SUM(E$6:P$6)</f>
        <v>435.95843835616432</v>
      </c>
      <c r="R13" s="73">
        <v>477.63999999999982</v>
      </c>
      <c r="S13" s="73">
        <v>498.27000000000021</v>
      </c>
      <c r="T13" s="73">
        <v>500.16000000000008</v>
      </c>
      <c r="U13" s="73">
        <v>458.09</v>
      </c>
      <c r="V13" s="73">
        <v>554.04000000000008</v>
      </c>
      <c r="W13" s="73">
        <v>542.06999999999994</v>
      </c>
      <c r="X13" s="73">
        <v>499.08</v>
      </c>
      <c r="Y13" s="73">
        <v>506.87999999999994</v>
      </c>
      <c r="Z13" s="73">
        <v>473.33</v>
      </c>
      <c r="AA13" s="73">
        <v>412.53999999999996</v>
      </c>
      <c r="AB13" s="73">
        <v>450.25999999999993</v>
      </c>
      <c r="AC13" s="73">
        <v>493.15000000000003</v>
      </c>
      <c r="AD13" s="63">
        <f>SUMPRODUCT(R$6:AC$6,R13:AC13)/SUM(R$6:AC$6)</f>
        <v>488.80068493150679</v>
      </c>
      <c r="AE13" s="59">
        <v>468.01999999999981</v>
      </c>
      <c r="AF13" s="59">
        <v>475.34000000000015</v>
      </c>
      <c r="AG13" s="59">
        <v>495.92999999999995</v>
      </c>
      <c r="AH13" s="59">
        <v>491.40000000000015</v>
      </c>
      <c r="AI13" s="59">
        <v>497.05000000000007</v>
      </c>
      <c r="AJ13" s="59">
        <v>496.03000000000014</v>
      </c>
      <c r="AK13" s="59">
        <v>436.48999999999995</v>
      </c>
      <c r="AL13" s="59">
        <v>459.70000000000005</v>
      </c>
      <c r="AM13" s="59">
        <v>482.95999999999992</v>
      </c>
      <c r="AN13" s="59">
        <v>443.81000000000012</v>
      </c>
      <c r="AO13" s="59">
        <v>487.73000000000008</v>
      </c>
      <c r="AP13" s="59">
        <v>474.54999999999984</v>
      </c>
      <c r="AQ13" s="63">
        <f>SUMPRODUCT(AE$6:AP$6,AE13:AP13)/SUM(AE$6:AP$6)</f>
        <v>475.60320547945207</v>
      </c>
      <c r="AR13" s="59">
        <v>505.46</v>
      </c>
      <c r="AS13" s="59">
        <v>498.95</v>
      </c>
      <c r="AT13" s="59">
        <v>477.92999999999995</v>
      </c>
      <c r="AU13" s="59">
        <v>497.25000000000011</v>
      </c>
      <c r="AV13" s="59">
        <v>454.33999999999992</v>
      </c>
      <c r="AW13" s="59">
        <v>453.04</v>
      </c>
      <c r="AX13" s="59">
        <v>428.27</v>
      </c>
      <c r="AY13" s="59">
        <v>434.35000000000008</v>
      </c>
      <c r="AZ13" s="59">
        <v>469.62000000000018</v>
      </c>
      <c r="BA13" s="59">
        <v>538.59</v>
      </c>
      <c r="BB13" s="59">
        <v>469.53999999999991</v>
      </c>
      <c r="BC13" s="59">
        <v>422.40999999999991</v>
      </c>
      <c r="BD13" s="63">
        <f>SUMPRODUCT(AR$6:BC$6,AR13:BC13)/SUM(AR$6:BC$6)</f>
        <v>470.64180327868849</v>
      </c>
      <c r="BE13" s="59">
        <v>523.28999999999985</v>
      </c>
      <c r="BF13" s="59">
        <v>544.62999999999988</v>
      </c>
      <c r="BG13" s="59">
        <v>502.94000000000005</v>
      </c>
      <c r="BH13" s="59">
        <v>531.47</v>
      </c>
      <c r="BI13" s="59">
        <v>554.80999999999995</v>
      </c>
      <c r="BJ13" s="59">
        <v>597.15</v>
      </c>
      <c r="BK13" s="59">
        <v>611.56000000000017</v>
      </c>
      <c r="BL13" s="59">
        <v>586.32000000000005</v>
      </c>
      <c r="BM13" s="59">
        <v>568.85000000000014</v>
      </c>
      <c r="BN13" s="59">
        <v>590.30999999999995</v>
      </c>
      <c r="BO13" s="59">
        <v>689.86</v>
      </c>
      <c r="BP13" s="59">
        <v>736.05000000000007</v>
      </c>
      <c r="BQ13" s="63">
        <f>SUMPRODUCT(BE$6:BP$6,BE13:BP13)/SUM(BE$6:BP$6)</f>
        <v>586.6663561643835</v>
      </c>
      <c r="BR13" s="178"/>
      <c r="BS13" s="59">
        <v>746.41</v>
      </c>
      <c r="BT13" s="59">
        <v>699.21039497009781</v>
      </c>
      <c r="BU13" s="59">
        <v>687.21002952766503</v>
      </c>
      <c r="BV13" s="59">
        <v>614.23980375136773</v>
      </c>
      <c r="BW13" s="59">
        <v>642.43219321037304</v>
      </c>
      <c r="BX13" s="59">
        <v>698.07478604109929</v>
      </c>
      <c r="BY13" s="59">
        <v>657.00126672801673</v>
      </c>
      <c r="BZ13" s="59">
        <v>632.79453905261698</v>
      </c>
      <c r="CA13" s="59">
        <v>577.22386997811418</v>
      </c>
      <c r="CB13" s="59">
        <v>599.18296250134415</v>
      </c>
      <c r="CC13" s="59">
        <v>586.87032847499677</v>
      </c>
      <c r="CD13" s="59">
        <v>690.57407621473624</v>
      </c>
      <c r="CE13" s="63">
        <f>SUMPRODUCT(BS$6:CD$6,BS13:CD13)/SUM(BS$6:CD$6)</f>
        <v>652.58605970084216</v>
      </c>
      <c r="CF13" s="178"/>
      <c r="CG13" s="59">
        <v>622.77722858465108</v>
      </c>
      <c r="CH13" s="59">
        <v>596.73108950611663</v>
      </c>
      <c r="CI13" s="59">
        <v>612.38855004946038</v>
      </c>
      <c r="CJ13" s="59">
        <v>676.4528674258811</v>
      </c>
      <c r="CK13" s="59">
        <v>664.77308623357635</v>
      </c>
      <c r="CL13" s="59">
        <v>633.84014604911556</v>
      </c>
      <c r="CM13" s="59">
        <v>611.34629284223138</v>
      </c>
      <c r="CN13" s="59">
        <v>571.33364638035687</v>
      </c>
      <c r="CO13" s="59">
        <v>538.85702347626921</v>
      </c>
      <c r="CP13" s="59">
        <v>519.8321073435427</v>
      </c>
      <c r="CQ13" s="59">
        <v>556.62446672604642</v>
      </c>
      <c r="CR13" s="59">
        <v>625.54829154164725</v>
      </c>
      <c r="CS13" s="63">
        <f>SUMPRODUCT(CG$6:CR$6,CG13:CR13)/SUM(CG$6:CR$6)</f>
        <v>602.60186550337005</v>
      </c>
      <c r="CT13" s="178"/>
      <c r="CU13" s="59">
        <v>575.42197186706017</v>
      </c>
      <c r="CV13" s="59">
        <v>536.55851140647576</v>
      </c>
      <c r="CW13" s="59">
        <v>517.06726310496697</v>
      </c>
      <c r="CX13" s="59">
        <v>488.69872085507058</v>
      </c>
      <c r="CY13" s="59">
        <v>491.75584350676644</v>
      </c>
      <c r="CZ13" s="59">
        <v>492.68137885227117</v>
      </c>
      <c r="DA13" s="59">
        <v>456.59676981804301</v>
      </c>
      <c r="DB13" s="59">
        <v>484.44526624498724</v>
      </c>
      <c r="DC13" s="59">
        <v>483.00043375747543</v>
      </c>
      <c r="DD13" s="59">
        <v>456.30358717147783</v>
      </c>
      <c r="DE13" s="59"/>
    </row>
    <row r="14" spans="3:109" ht="15.75" thickBot="1">
      <c r="C14" s="28" t="s">
        <v>664</v>
      </c>
      <c r="D14" s="28"/>
      <c r="E14" s="60">
        <f t="shared" ref="E14:Q14" si="9">SUM(E12:E13)</f>
        <v>4995.0700000000006</v>
      </c>
      <c r="F14" s="60">
        <f t="shared" si="9"/>
        <v>4804.9000000000005</v>
      </c>
      <c r="G14" s="60">
        <f t="shared" si="9"/>
        <v>4639.8599999999988</v>
      </c>
      <c r="H14" s="60">
        <f t="shared" si="9"/>
        <v>4618.04</v>
      </c>
      <c r="I14" s="60">
        <f t="shared" si="9"/>
        <v>4585.8500000000004</v>
      </c>
      <c r="J14" s="60">
        <f t="shared" si="9"/>
        <v>4374.880000000001</v>
      </c>
      <c r="K14" s="60">
        <f t="shared" si="9"/>
        <v>4546.71</v>
      </c>
      <c r="L14" s="60">
        <f t="shared" si="9"/>
        <v>4410.5900000000011</v>
      </c>
      <c r="M14" s="60">
        <f t="shared" si="9"/>
        <v>4434.3700000000008</v>
      </c>
      <c r="N14" s="60">
        <f t="shared" si="9"/>
        <v>4375.9500000000007</v>
      </c>
      <c r="O14" s="60">
        <f t="shared" si="9"/>
        <v>4450.7099999999991</v>
      </c>
      <c r="P14" s="60">
        <f t="shared" si="9"/>
        <v>4505.37</v>
      </c>
      <c r="Q14" s="64">
        <f t="shared" si="9"/>
        <v>4560.8728767123293</v>
      </c>
      <c r="R14" s="74">
        <f t="shared" ref="R14:AD14" si="10">SUM(R12:R13)</f>
        <v>4495.0700000000006</v>
      </c>
      <c r="S14" s="74">
        <f t="shared" si="10"/>
        <v>4626.2100000000009</v>
      </c>
      <c r="T14" s="74">
        <f t="shared" si="10"/>
        <v>4605.53</v>
      </c>
      <c r="U14" s="74">
        <f t="shared" si="10"/>
        <v>4396.5899999999992</v>
      </c>
      <c r="V14" s="74">
        <f t="shared" si="10"/>
        <v>4712.5199999999995</v>
      </c>
      <c r="W14" s="74">
        <f t="shared" si="10"/>
        <v>4860.53</v>
      </c>
      <c r="X14" s="74">
        <f t="shared" si="10"/>
        <v>4767.62</v>
      </c>
      <c r="Y14" s="74">
        <f t="shared" si="10"/>
        <v>4846.68</v>
      </c>
      <c r="Z14" s="74">
        <f t="shared" si="10"/>
        <v>4685.79</v>
      </c>
      <c r="AA14" s="74">
        <f t="shared" si="10"/>
        <v>4449.43</v>
      </c>
      <c r="AB14" s="74">
        <f t="shared" si="10"/>
        <v>4369.4100000000008</v>
      </c>
      <c r="AC14" s="74">
        <f t="shared" si="10"/>
        <v>4925.1899999999996</v>
      </c>
      <c r="AD14" s="64">
        <f t="shared" si="10"/>
        <v>4645.9362191780829</v>
      </c>
      <c r="AE14" s="60">
        <f t="shared" ref="AE14:AP14" si="11">SUM(AE11:AE13)</f>
        <v>4654.7099999999991</v>
      </c>
      <c r="AF14" s="60">
        <f t="shared" si="11"/>
        <v>4594.7</v>
      </c>
      <c r="AG14" s="60">
        <f t="shared" si="11"/>
        <v>4669.99</v>
      </c>
      <c r="AH14" s="60">
        <f t="shared" si="11"/>
        <v>4613.3</v>
      </c>
      <c r="AI14" s="60">
        <f t="shared" si="11"/>
        <v>4424.5399999999991</v>
      </c>
      <c r="AJ14" s="60">
        <f t="shared" si="11"/>
        <v>4333.2700000000004</v>
      </c>
      <c r="AK14" s="60">
        <f t="shared" si="11"/>
        <v>4273.09</v>
      </c>
      <c r="AL14" s="60">
        <f t="shared" si="11"/>
        <v>4403.5200000000004</v>
      </c>
      <c r="AM14" s="60">
        <f t="shared" si="11"/>
        <v>4600.1500000000005</v>
      </c>
      <c r="AN14" s="60">
        <f t="shared" si="11"/>
        <v>4428.34</v>
      </c>
      <c r="AO14" s="60">
        <f t="shared" si="11"/>
        <v>4324.8599999999997</v>
      </c>
      <c r="AP14" s="60">
        <f t="shared" si="11"/>
        <v>4293.4400000000005</v>
      </c>
      <c r="AQ14" s="64">
        <f t="shared" ref="AQ14:BP14" si="12">SUM(AQ12:AQ13)</f>
        <v>4466.7822739726025</v>
      </c>
      <c r="AR14" s="60">
        <f t="shared" ref="AR14:BD14" si="13">SUM(AR12:AR13)</f>
        <v>4557.12</v>
      </c>
      <c r="AS14" s="60">
        <f t="shared" si="13"/>
        <v>5039.74</v>
      </c>
      <c r="AT14" s="60">
        <f t="shared" si="13"/>
        <v>4827.380000000001</v>
      </c>
      <c r="AU14" s="60">
        <f t="shared" si="13"/>
        <v>4507.7999999999993</v>
      </c>
      <c r="AV14" s="60">
        <f t="shared" si="13"/>
        <v>4088.0599999999995</v>
      </c>
      <c r="AW14" s="60">
        <f t="shared" si="13"/>
        <v>3789.4</v>
      </c>
      <c r="AX14" s="60">
        <f t="shared" si="13"/>
        <v>3846.98</v>
      </c>
      <c r="AY14" s="60">
        <f t="shared" si="13"/>
        <v>3680.9500000000003</v>
      </c>
      <c r="AZ14" s="60">
        <f t="shared" si="13"/>
        <v>3853.9</v>
      </c>
      <c r="BA14" s="60">
        <f t="shared" si="13"/>
        <v>4046.36</v>
      </c>
      <c r="BB14" s="60">
        <f t="shared" si="13"/>
        <v>3851.0699999999997</v>
      </c>
      <c r="BC14" s="60">
        <f t="shared" si="13"/>
        <v>3673.6699999999996</v>
      </c>
      <c r="BD14" s="64">
        <f t="shared" si="13"/>
        <v>4143.5892896174855</v>
      </c>
      <c r="BE14" s="60">
        <f t="shared" si="12"/>
        <v>3803.8000000000006</v>
      </c>
      <c r="BF14" s="60">
        <f t="shared" si="12"/>
        <v>3805.51</v>
      </c>
      <c r="BG14" s="60">
        <f t="shared" si="12"/>
        <v>3720.67</v>
      </c>
      <c r="BH14" s="60">
        <f t="shared" si="12"/>
        <v>3810.6399999999994</v>
      </c>
      <c r="BI14" s="60">
        <f t="shared" si="12"/>
        <v>3671.07</v>
      </c>
      <c r="BJ14" s="60">
        <f t="shared" si="12"/>
        <v>3601.4400000000005</v>
      </c>
      <c r="BK14" s="60">
        <f t="shared" si="12"/>
        <v>3493.3900000000003</v>
      </c>
      <c r="BL14" s="60">
        <f t="shared" si="12"/>
        <v>3658.9100000000008</v>
      </c>
      <c r="BM14" s="60">
        <f t="shared" si="12"/>
        <v>3589.63</v>
      </c>
      <c r="BN14" s="60">
        <f t="shared" si="12"/>
        <v>3725.9</v>
      </c>
      <c r="BO14" s="60">
        <f t="shared" si="12"/>
        <v>3743.9400000000005</v>
      </c>
      <c r="BP14" s="60">
        <f t="shared" si="12"/>
        <v>4029.3300000000004</v>
      </c>
      <c r="BQ14" s="64">
        <f>SUM(BQ12:BQ13)</f>
        <v>3720.8738356164386</v>
      </c>
      <c r="BR14" s="179"/>
      <c r="BS14" s="64">
        <f t="shared" ref="BS14:CD14" si="14">SUM(BS12:BS13)</f>
        <v>4020.1022998209669</v>
      </c>
      <c r="BT14" s="64">
        <f t="shared" si="14"/>
        <v>3861.3886938878077</v>
      </c>
      <c r="BU14" s="64">
        <f t="shared" si="14"/>
        <v>3920.1232813945812</v>
      </c>
      <c r="BV14" s="64">
        <v>3711.9949055115144</v>
      </c>
      <c r="BW14" s="64">
        <f t="shared" si="14"/>
        <v>3757.6396139467793</v>
      </c>
      <c r="BX14" s="64">
        <f t="shared" si="14"/>
        <v>3602.0579127093774</v>
      </c>
      <c r="BY14" s="64">
        <f t="shared" si="14"/>
        <v>3560.375149847267</v>
      </c>
      <c r="BZ14" s="64">
        <f t="shared" si="14"/>
        <v>3537.922628233488</v>
      </c>
      <c r="CA14" s="64">
        <f t="shared" si="14"/>
        <v>3503.871127967298</v>
      </c>
      <c r="CB14" s="64">
        <v>3469.6049584293328</v>
      </c>
      <c r="CC14" s="64">
        <f t="shared" si="14"/>
        <v>3357.889293115536</v>
      </c>
      <c r="CD14" s="64">
        <f t="shared" si="14"/>
        <v>3465.7522584589678</v>
      </c>
      <c r="CE14" s="64">
        <f>SUM(CE12:CE13)</f>
        <v>3646.7682369918994</v>
      </c>
      <c r="CF14" s="179"/>
      <c r="CG14" s="64">
        <f>SUM(CG12:CG13)</f>
        <v>3363.9884948810277</v>
      </c>
      <c r="CH14" s="64">
        <f>SUM(CH12:CH13)</f>
        <v>3069.3478728982236</v>
      </c>
      <c r="CI14" s="64">
        <f>SUM(CI12:CI13)</f>
        <v>3341.1110634119905</v>
      </c>
      <c r="CJ14" s="64">
        <f>SUM(CJ12:CJ13)</f>
        <v>3377.1333838147339</v>
      </c>
      <c r="CK14" s="64">
        <f t="shared" ref="CK14:CP14" si="15">SUM(CK12:CK13)</f>
        <v>3148.2863584753859</v>
      </c>
      <c r="CL14" s="64">
        <f t="shared" si="15"/>
        <v>3236.3639509988543</v>
      </c>
      <c r="CM14" s="64">
        <f t="shared" si="15"/>
        <v>3100.8722116102731</v>
      </c>
      <c r="CN14" s="64">
        <f t="shared" si="15"/>
        <v>3163.5284068891615</v>
      </c>
      <c r="CO14" s="64">
        <f t="shared" si="15"/>
        <v>2913.673049306527</v>
      </c>
      <c r="CP14" s="64">
        <f t="shared" si="15"/>
        <v>3247.9903709205391</v>
      </c>
      <c r="CQ14" s="64">
        <f>SUM(CQ12:CQ13)</f>
        <v>2896.0613817406793</v>
      </c>
      <c r="CR14" s="64">
        <f>SUM(CR12:CR13)</f>
        <v>3139.0921912580193</v>
      </c>
      <c r="CS14" s="64">
        <f>SUM(CS12:CS13)</f>
        <v>3167.9168094186643</v>
      </c>
      <c r="CT14" s="179"/>
      <c r="CU14" s="64">
        <f>SUM(CU12:CU13)</f>
        <v>3055.4393707522495</v>
      </c>
      <c r="CV14" s="64">
        <f>SUM(CV12:CV13)</f>
        <v>3018.110954600274</v>
      </c>
      <c r="CW14" s="64">
        <f>SUM(CW12:CW13)</f>
        <v>3019.9997770667692</v>
      </c>
      <c r="CX14" s="64">
        <f>SUM(CX12:CX13)</f>
        <v>2877.495142588115</v>
      </c>
      <c r="CY14" s="64">
        <f t="shared" ref="CY14:DD14" si="16">SUM(CY12:CY13)</f>
        <v>2637.1968582340764</v>
      </c>
      <c r="CZ14" s="64">
        <f t="shared" si="16"/>
        <v>2761.5835673622596</v>
      </c>
      <c r="DA14" s="64">
        <f t="shared" si="16"/>
        <v>2631.9331645317675</v>
      </c>
      <c r="DB14" s="64">
        <f t="shared" si="16"/>
        <v>2509.9258838315636</v>
      </c>
      <c r="DC14" s="64">
        <f t="shared" si="16"/>
        <v>2479.3048196462651</v>
      </c>
      <c r="DD14" s="64">
        <f t="shared" si="16"/>
        <v>2580.1615687709177</v>
      </c>
      <c r="DE14" s="64"/>
    </row>
    <row r="15" spans="3:109" ht="5.25" customHeight="1" thickBot="1">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65"/>
      <c r="AR15" s="25"/>
      <c r="AS15" s="25"/>
      <c r="AT15" s="25"/>
      <c r="AU15" s="25"/>
      <c r="AV15" s="25"/>
      <c r="AW15" s="25"/>
      <c r="AX15" s="25"/>
      <c r="AY15" s="25"/>
      <c r="AZ15" s="25"/>
      <c r="BA15" s="25"/>
      <c r="BB15" s="25"/>
      <c r="BC15" s="25"/>
      <c r="BD15" s="65"/>
      <c r="BE15" s="25"/>
      <c r="BF15" s="25"/>
      <c r="BG15" s="25"/>
      <c r="BH15" s="25"/>
      <c r="BI15" s="25"/>
      <c r="BJ15" s="25"/>
      <c r="BK15" s="25"/>
      <c r="BL15" s="25"/>
      <c r="BM15" s="25"/>
      <c r="BN15" s="25"/>
      <c r="BO15" s="25"/>
      <c r="BQ15" s="65"/>
      <c r="BR15" s="180"/>
      <c r="BS15" s="25"/>
      <c r="BT15" s="25"/>
      <c r="BU15" s="25"/>
      <c r="BV15" s="25"/>
      <c r="BW15" s="25"/>
      <c r="BX15" s="25"/>
      <c r="BY15" s="25"/>
      <c r="BZ15" s="25"/>
      <c r="CA15" s="25"/>
      <c r="CB15" s="25"/>
      <c r="CC15" s="25"/>
      <c r="CE15" s="65"/>
      <c r="CF15" s="180"/>
      <c r="CG15" s="25"/>
      <c r="CH15" s="25"/>
      <c r="CI15" s="25"/>
      <c r="CJ15" s="25"/>
      <c r="CK15" s="25"/>
      <c r="CL15" s="25"/>
      <c r="CM15" s="25"/>
      <c r="CN15" s="25"/>
      <c r="CO15" s="25"/>
      <c r="CP15" s="25"/>
      <c r="CQ15" s="25"/>
      <c r="CS15" s="65"/>
      <c r="CT15" s="180"/>
      <c r="CU15" s="25"/>
      <c r="CV15" s="25"/>
      <c r="CW15" s="25"/>
      <c r="CX15" s="25"/>
      <c r="CY15" s="25"/>
      <c r="CZ15" s="25"/>
      <c r="DA15" s="25"/>
      <c r="DB15" s="25"/>
      <c r="DC15" s="25"/>
      <c r="DD15" s="25"/>
      <c r="DE15" s="25"/>
    </row>
    <row r="16" spans="3:109" ht="16.5" thickTop="1" thickBot="1">
      <c r="C16" s="10" t="s">
        <v>771</v>
      </c>
      <c r="D16" s="10"/>
      <c r="E16" s="57">
        <v>0</v>
      </c>
      <c r="F16" s="57">
        <v>0</v>
      </c>
      <c r="G16" s="57">
        <v>0</v>
      </c>
      <c r="H16" s="57">
        <v>0</v>
      </c>
      <c r="I16" s="57">
        <v>0</v>
      </c>
      <c r="J16" s="57">
        <v>0</v>
      </c>
      <c r="K16" s="57">
        <v>0</v>
      </c>
      <c r="L16" s="57">
        <v>0</v>
      </c>
      <c r="M16" s="57">
        <v>0</v>
      </c>
      <c r="N16" s="57">
        <v>0</v>
      </c>
      <c r="O16" s="57">
        <v>0</v>
      </c>
      <c r="P16" s="57">
        <v>0</v>
      </c>
      <c r="Q16" s="58">
        <f>SUMPRODUCT(E$6:P$6,E16:P16)/SUM(E$6:P$6)</f>
        <v>0</v>
      </c>
      <c r="R16" s="57">
        <v>0</v>
      </c>
      <c r="S16" s="57">
        <v>0</v>
      </c>
      <c r="T16" s="57">
        <v>0</v>
      </c>
      <c r="U16" s="57">
        <v>0</v>
      </c>
      <c r="V16" s="57">
        <v>0</v>
      </c>
      <c r="W16" s="57">
        <v>0</v>
      </c>
      <c r="X16" s="57">
        <v>0</v>
      </c>
      <c r="Y16" s="57">
        <v>0</v>
      </c>
      <c r="Z16" s="57">
        <v>0</v>
      </c>
      <c r="AA16" s="57">
        <v>0</v>
      </c>
      <c r="AB16" s="57">
        <v>0</v>
      </c>
      <c r="AC16" s="57">
        <v>0</v>
      </c>
      <c r="AD16" s="58">
        <f>SUMPRODUCT(R$6:AC$6,R16:AC16)/SUM(R$6:AC$6)</f>
        <v>0</v>
      </c>
      <c r="AE16" s="57">
        <v>0</v>
      </c>
      <c r="AF16" s="57">
        <v>0</v>
      </c>
      <c r="AG16" s="57">
        <v>0</v>
      </c>
      <c r="AH16" s="57">
        <v>0</v>
      </c>
      <c r="AI16" s="57">
        <v>0</v>
      </c>
      <c r="AJ16" s="57">
        <v>0</v>
      </c>
      <c r="AK16" s="57">
        <v>0</v>
      </c>
      <c r="AL16" s="57">
        <v>0</v>
      </c>
      <c r="AM16" s="57">
        <v>0</v>
      </c>
      <c r="AN16" s="57">
        <v>0</v>
      </c>
      <c r="AO16" s="57">
        <v>0</v>
      </c>
      <c r="AP16" s="57">
        <v>0</v>
      </c>
      <c r="AQ16" s="62">
        <f>SUMPRODUCT(AE$6:AP$6,AE16:AP16)/SUM(AE$6:AP$6)</f>
        <v>0</v>
      </c>
      <c r="AR16" s="58">
        <v>0</v>
      </c>
      <c r="AS16" s="58">
        <v>0</v>
      </c>
      <c r="AT16" s="58">
        <v>0</v>
      </c>
      <c r="AU16" s="58">
        <v>0</v>
      </c>
      <c r="AV16" s="58">
        <v>0</v>
      </c>
      <c r="AW16" s="58">
        <v>0</v>
      </c>
      <c r="AX16" s="58">
        <v>0</v>
      </c>
      <c r="AY16" s="58">
        <v>0</v>
      </c>
      <c r="AZ16" s="58">
        <v>0</v>
      </c>
      <c r="BA16" s="58">
        <v>0</v>
      </c>
      <c r="BB16" s="58">
        <v>0</v>
      </c>
      <c r="BC16" s="58">
        <v>0</v>
      </c>
      <c r="BD16" s="62">
        <f>SUMPRODUCT(AR$6:BC$6,AR16:BC16)/SUM(AR$6:BC$6)</f>
        <v>0</v>
      </c>
      <c r="BE16" s="58">
        <v>0</v>
      </c>
      <c r="BF16" s="58">
        <v>0</v>
      </c>
      <c r="BG16" s="58">
        <v>0</v>
      </c>
      <c r="BH16" s="58">
        <v>0</v>
      </c>
      <c r="BI16" s="58">
        <v>0</v>
      </c>
      <c r="BJ16" s="58">
        <v>0</v>
      </c>
      <c r="BK16" s="58">
        <v>0</v>
      </c>
      <c r="BL16" s="58">
        <v>0</v>
      </c>
      <c r="BM16" s="58">
        <v>0</v>
      </c>
      <c r="BN16" s="58">
        <v>0</v>
      </c>
      <c r="BO16" s="58">
        <v>0</v>
      </c>
      <c r="BP16" s="58">
        <v>818</v>
      </c>
      <c r="BQ16" s="174">
        <f>BP16*25/365</f>
        <v>56.027397260273972</v>
      </c>
      <c r="BR16" s="178"/>
      <c r="BS16" s="58">
        <v>1050.02</v>
      </c>
      <c r="BT16" s="58">
        <v>1101.4822572276096</v>
      </c>
      <c r="BU16" s="58">
        <v>1194.9754929081307</v>
      </c>
      <c r="BV16" s="58">
        <v>1333.6750862000251</v>
      </c>
      <c r="BW16" s="58">
        <v>1292.4238280692362</v>
      </c>
      <c r="BX16" s="58">
        <v>1429.3229495312378</v>
      </c>
      <c r="BY16" s="58">
        <v>1537.2979320052209</v>
      </c>
      <c r="BZ16" s="58">
        <v>1745.375315622581</v>
      </c>
      <c r="CA16" s="58">
        <v>1701.4407072635195</v>
      </c>
      <c r="CB16" s="58">
        <v>1688.7376562784398</v>
      </c>
      <c r="CC16" s="58">
        <v>1728.3752413156888</v>
      </c>
      <c r="CD16" s="58">
        <v>1618.9558180759677</v>
      </c>
      <c r="CE16" s="62">
        <f>SUMPRODUCT(BS$6:CD$6,BS16:CD16)/SUM(BS$6:CD$6)</f>
        <v>1453.6638083929699</v>
      </c>
      <c r="CF16" s="178"/>
      <c r="CG16" s="58">
        <v>1831.1851299475841</v>
      </c>
      <c r="CH16" s="58">
        <v>1851.8216303646409</v>
      </c>
      <c r="CI16" s="58">
        <v>1730.1750851869028</v>
      </c>
      <c r="CJ16" s="58">
        <v>1768.3529845018447</v>
      </c>
      <c r="CK16" s="58">
        <v>1688.2706619737385</v>
      </c>
      <c r="CL16" s="58">
        <v>1528.6659923908892</v>
      </c>
      <c r="CM16" s="58">
        <v>1981.2960652508523</v>
      </c>
      <c r="CN16" s="58">
        <v>1904.1727976390328</v>
      </c>
      <c r="CO16" s="58">
        <v>1958.7398030283746</v>
      </c>
      <c r="CP16" s="58">
        <v>1888.3240944756164</v>
      </c>
      <c r="CQ16" s="58">
        <v>1912.6350227128132</v>
      </c>
      <c r="CR16" s="58">
        <v>1801.4626283043067</v>
      </c>
      <c r="CS16" s="62">
        <f>SUMPRODUCT(CG$6:CR$6,CG16:CR16)/SUM(CG$6:CR$6)</f>
        <v>1820.4775344530044</v>
      </c>
      <c r="CT16" s="178"/>
      <c r="CU16" s="58">
        <v>1929.3491726436507</v>
      </c>
      <c r="CV16" s="58">
        <v>1819.0113930744897</v>
      </c>
      <c r="CW16" s="58">
        <v>1853.3055070127118</v>
      </c>
      <c r="CX16" s="58">
        <v>1725.6440302328538</v>
      </c>
      <c r="CY16" s="58">
        <v>1701.4945262642786</v>
      </c>
      <c r="CZ16" s="58">
        <v>1812.9348530907241</v>
      </c>
      <c r="DA16" s="58">
        <v>1772.1254538743333</v>
      </c>
      <c r="DB16" s="58">
        <v>1632.0167235386589</v>
      </c>
      <c r="DC16" s="58">
        <v>1598.6644144547649</v>
      </c>
      <c r="DD16" s="58">
        <v>1647.8240362107956</v>
      </c>
      <c r="DE16" s="58"/>
    </row>
    <row r="17" spans="3:109" ht="16.5" thickTop="1" thickBot="1">
      <c r="C17" s="10" t="s">
        <v>772</v>
      </c>
      <c r="D17" s="10"/>
      <c r="E17" s="59">
        <v>0</v>
      </c>
      <c r="F17" s="59">
        <v>0</v>
      </c>
      <c r="G17" s="59">
        <v>0</v>
      </c>
      <c r="H17" s="59">
        <v>0</v>
      </c>
      <c r="I17" s="59">
        <v>0</v>
      </c>
      <c r="J17" s="59">
        <v>0</v>
      </c>
      <c r="K17" s="59">
        <v>0</v>
      </c>
      <c r="L17" s="59">
        <v>0</v>
      </c>
      <c r="M17" s="59">
        <v>0</v>
      </c>
      <c r="N17" s="59">
        <v>0</v>
      </c>
      <c r="O17" s="59">
        <v>0</v>
      </c>
      <c r="P17" s="59">
        <v>0</v>
      </c>
      <c r="Q17" s="59">
        <f>SUMPRODUCT(E$6:P$6,E17:P17)/SUM(E$6:P$6)</f>
        <v>0</v>
      </c>
      <c r="R17" s="59">
        <v>0</v>
      </c>
      <c r="S17" s="59">
        <v>0</v>
      </c>
      <c r="T17" s="59">
        <v>0</v>
      </c>
      <c r="U17" s="59">
        <v>0</v>
      </c>
      <c r="V17" s="59">
        <v>0</v>
      </c>
      <c r="W17" s="59">
        <v>0</v>
      </c>
      <c r="X17" s="59">
        <v>0</v>
      </c>
      <c r="Y17" s="59">
        <v>0</v>
      </c>
      <c r="Z17" s="59">
        <v>0</v>
      </c>
      <c r="AA17" s="59">
        <v>0</v>
      </c>
      <c r="AB17" s="59">
        <v>0</v>
      </c>
      <c r="AC17" s="59">
        <v>0</v>
      </c>
      <c r="AD17" s="59">
        <f>SUMPRODUCT(R$6:AC$6,R17:AC17)/SUM(R$6:AC$6)</f>
        <v>0</v>
      </c>
      <c r="AE17" s="59">
        <v>0</v>
      </c>
      <c r="AF17" s="59">
        <v>0</v>
      </c>
      <c r="AG17" s="59">
        <v>0</v>
      </c>
      <c r="AH17" s="59">
        <v>0</v>
      </c>
      <c r="AI17" s="59">
        <v>0</v>
      </c>
      <c r="AJ17" s="59">
        <v>0</v>
      </c>
      <c r="AK17" s="59">
        <v>0</v>
      </c>
      <c r="AL17" s="59">
        <v>0</v>
      </c>
      <c r="AM17" s="59">
        <v>0</v>
      </c>
      <c r="AN17" s="59">
        <v>0</v>
      </c>
      <c r="AO17" s="59">
        <v>0</v>
      </c>
      <c r="AP17" s="59">
        <v>0</v>
      </c>
      <c r="AQ17" s="63">
        <f>SUMPRODUCT(AE$6:AP$6,AE17:AP17)/SUM(AE$6:AP$6)</f>
        <v>0</v>
      </c>
      <c r="AR17" s="59">
        <v>0</v>
      </c>
      <c r="AS17" s="59">
        <v>0</v>
      </c>
      <c r="AT17" s="59">
        <v>0</v>
      </c>
      <c r="AU17" s="59">
        <v>0</v>
      </c>
      <c r="AV17" s="59">
        <v>0</v>
      </c>
      <c r="AW17" s="59">
        <v>0</v>
      </c>
      <c r="AX17" s="59">
        <v>0</v>
      </c>
      <c r="AY17" s="59">
        <v>0</v>
      </c>
      <c r="AZ17" s="59">
        <v>0</v>
      </c>
      <c r="BA17" s="59">
        <v>0</v>
      </c>
      <c r="BB17" s="59">
        <v>0</v>
      </c>
      <c r="BC17" s="59">
        <v>0</v>
      </c>
      <c r="BD17" s="63">
        <f>SUMPRODUCT(AR$6:BC$6,AR17:BC17)/SUM(AR$6:BC$6)</f>
        <v>0</v>
      </c>
      <c r="BE17" s="59">
        <v>0</v>
      </c>
      <c r="BF17" s="59">
        <v>0</v>
      </c>
      <c r="BG17" s="59">
        <v>0</v>
      </c>
      <c r="BH17" s="59">
        <v>0</v>
      </c>
      <c r="BI17" s="59">
        <v>0</v>
      </c>
      <c r="BJ17" s="59">
        <v>0</v>
      </c>
      <c r="BK17" s="59">
        <v>0</v>
      </c>
      <c r="BL17" s="59">
        <v>0</v>
      </c>
      <c r="BM17" s="59">
        <v>0</v>
      </c>
      <c r="BN17" s="59">
        <v>0</v>
      </c>
      <c r="BO17" s="59">
        <v>0</v>
      </c>
      <c r="BP17" s="59">
        <v>2741</v>
      </c>
      <c r="BQ17" s="63">
        <f>BP17*25/365</f>
        <v>187.73972602739727</v>
      </c>
      <c r="BR17" s="178"/>
      <c r="BS17" s="59">
        <v>3131.95</v>
      </c>
      <c r="BT17" s="59">
        <v>3188.4870440695386</v>
      </c>
      <c r="BU17" s="59">
        <v>3308.9941770354999</v>
      </c>
      <c r="BV17" s="59">
        <v>3528.6204352742079</v>
      </c>
      <c r="BW17" s="59">
        <v>4173.5418289591125</v>
      </c>
      <c r="BX17" s="59">
        <v>4485.6818939779869</v>
      </c>
      <c r="BY17" s="59">
        <v>4672.9949870581904</v>
      </c>
      <c r="BZ17" s="59">
        <v>4845.1422260056461</v>
      </c>
      <c r="CA17" s="59">
        <v>4795.7594875890054</v>
      </c>
      <c r="CB17" s="59">
        <v>4571.2587542437886</v>
      </c>
      <c r="CC17" s="59">
        <v>4851.2510506425751</v>
      </c>
      <c r="CD17" s="59">
        <v>5071.6709239389802</v>
      </c>
      <c r="CE17" s="63">
        <f>SUMPRODUCT(BS$6:CD$6,BS17:CD17)/SUM(BS$6:CD$6)</f>
        <v>4225.0935974601043</v>
      </c>
      <c r="CF17" s="178"/>
      <c r="CG17" s="59">
        <v>5446.3093614142808</v>
      </c>
      <c r="CH17" s="59">
        <v>5602.1322279915648</v>
      </c>
      <c r="CI17" s="59">
        <v>5754.4603516248062</v>
      </c>
      <c r="CJ17" s="59">
        <v>5340</v>
      </c>
      <c r="CK17" s="59">
        <v>5149.1990818580698</v>
      </c>
      <c r="CL17" s="59">
        <v>4871.0358204478935</v>
      </c>
      <c r="CM17" s="59">
        <v>5115.7304059779417</v>
      </c>
      <c r="CN17" s="59">
        <v>5025.7458547791921</v>
      </c>
      <c r="CO17" s="59">
        <v>5383.0954427917031</v>
      </c>
      <c r="CP17" s="59">
        <v>5300.4415601508845</v>
      </c>
      <c r="CQ17" s="59">
        <v>5300.733085825168</v>
      </c>
      <c r="CR17" s="59">
        <v>5771.3996130756177</v>
      </c>
      <c r="CS17" s="63">
        <f>SUMPRODUCT(CG$6:CR$6,CG17:CR17)/SUM(CG$6:CR$6)</f>
        <v>5337.4452217835924</v>
      </c>
      <c r="CT17" s="178"/>
      <c r="CU17" s="59">
        <v>5489.0351018269585</v>
      </c>
      <c r="CV17" s="59">
        <v>5318.7975923715831</v>
      </c>
      <c r="CW17" s="59">
        <v>5260.3684632822851</v>
      </c>
      <c r="CX17" s="59">
        <v>4926.4032787123042</v>
      </c>
      <c r="CY17" s="59">
        <v>5045.0370700286076</v>
      </c>
      <c r="CZ17" s="59">
        <v>5313.7746344700336</v>
      </c>
      <c r="DA17" s="59">
        <v>5553.9262618982129</v>
      </c>
      <c r="DB17" s="59">
        <v>5011.4113537550938</v>
      </c>
      <c r="DC17" s="59">
        <v>5170.6073463417733</v>
      </c>
      <c r="DD17" s="59">
        <v>5060.6802409975817</v>
      </c>
      <c r="DE17" s="59"/>
    </row>
    <row r="18" spans="3:109" ht="15.75" thickBot="1">
      <c r="C18" s="28" t="s">
        <v>40</v>
      </c>
      <c r="D18" s="28"/>
      <c r="E18" s="60">
        <f t="shared" ref="E18:P18" si="17">SUM(E16:E17)</f>
        <v>0</v>
      </c>
      <c r="F18" s="60">
        <f t="shared" si="17"/>
        <v>0</v>
      </c>
      <c r="G18" s="60">
        <f t="shared" si="17"/>
        <v>0</v>
      </c>
      <c r="H18" s="60">
        <f t="shared" si="17"/>
        <v>0</v>
      </c>
      <c r="I18" s="60">
        <f t="shared" si="17"/>
        <v>0</v>
      </c>
      <c r="J18" s="60">
        <f t="shared" si="17"/>
        <v>0</v>
      </c>
      <c r="K18" s="60">
        <f t="shared" si="17"/>
        <v>0</v>
      </c>
      <c r="L18" s="60">
        <f t="shared" si="17"/>
        <v>0</v>
      </c>
      <c r="M18" s="60">
        <f t="shared" si="17"/>
        <v>0</v>
      </c>
      <c r="N18" s="60">
        <f t="shared" si="17"/>
        <v>0</v>
      </c>
      <c r="O18" s="60">
        <f t="shared" si="17"/>
        <v>0</v>
      </c>
      <c r="P18" s="60">
        <f t="shared" si="17"/>
        <v>0</v>
      </c>
      <c r="Q18" s="60">
        <f>SUM(Q16:Q17)</f>
        <v>0</v>
      </c>
      <c r="R18" s="60">
        <f t="shared" ref="R18:AC18" si="18">SUM(R16:R17)</f>
        <v>0</v>
      </c>
      <c r="S18" s="60">
        <f t="shared" si="18"/>
        <v>0</v>
      </c>
      <c r="T18" s="60">
        <f t="shared" si="18"/>
        <v>0</v>
      </c>
      <c r="U18" s="60">
        <f t="shared" si="18"/>
        <v>0</v>
      </c>
      <c r="V18" s="60">
        <f t="shared" si="18"/>
        <v>0</v>
      </c>
      <c r="W18" s="60">
        <f t="shared" si="18"/>
        <v>0</v>
      </c>
      <c r="X18" s="60">
        <f t="shared" si="18"/>
        <v>0</v>
      </c>
      <c r="Y18" s="60">
        <f t="shared" si="18"/>
        <v>0</v>
      </c>
      <c r="Z18" s="60">
        <f t="shared" si="18"/>
        <v>0</v>
      </c>
      <c r="AA18" s="60">
        <f t="shared" si="18"/>
        <v>0</v>
      </c>
      <c r="AB18" s="60">
        <f t="shared" si="18"/>
        <v>0</v>
      </c>
      <c r="AC18" s="60">
        <f t="shared" si="18"/>
        <v>0</v>
      </c>
      <c r="AD18" s="60">
        <f>SUM(AD16:AD17)</f>
        <v>0</v>
      </c>
      <c r="AE18" s="60">
        <f t="shared" ref="AE18:AP18" si="19">SUM(AE15:AE17)</f>
        <v>0</v>
      </c>
      <c r="AF18" s="60">
        <f t="shared" si="19"/>
        <v>0</v>
      </c>
      <c r="AG18" s="60">
        <f t="shared" si="19"/>
        <v>0</v>
      </c>
      <c r="AH18" s="60">
        <f t="shared" si="19"/>
        <v>0</v>
      </c>
      <c r="AI18" s="60">
        <f t="shared" si="19"/>
        <v>0</v>
      </c>
      <c r="AJ18" s="60">
        <f t="shared" si="19"/>
        <v>0</v>
      </c>
      <c r="AK18" s="60">
        <f t="shared" si="19"/>
        <v>0</v>
      </c>
      <c r="AL18" s="60">
        <f t="shared" si="19"/>
        <v>0</v>
      </c>
      <c r="AM18" s="60">
        <f t="shared" si="19"/>
        <v>0</v>
      </c>
      <c r="AN18" s="60">
        <f t="shared" si="19"/>
        <v>0</v>
      </c>
      <c r="AO18" s="60">
        <f t="shared" si="19"/>
        <v>0</v>
      </c>
      <c r="AP18" s="60">
        <f t="shared" si="19"/>
        <v>0</v>
      </c>
      <c r="AQ18" s="64">
        <f>SUM(AQ16:AQ17)</f>
        <v>0</v>
      </c>
      <c r="AR18" s="60">
        <f t="shared" ref="AR18:BC18" si="20">SUM(AR16:AR17)</f>
        <v>0</v>
      </c>
      <c r="AS18" s="60">
        <f t="shared" si="20"/>
        <v>0</v>
      </c>
      <c r="AT18" s="60">
        <f t="shared" si="20"/>
        <v>0</v>
      </c>
      <c r="AU18" s="60">
        <f t="shared" si="20"/>
        <v>0</v>
      </c>
      <c r="AV18" s="60">
        <f t="shared" si="20"/>
        <v>0</v>
      </c>
      <c r="AW18" s="60">
        <f t="shared" si="20"/>
        <v>0</v>
      </c>
      <c r="AX18" s="60">
        <f t="shared" si="20"/>
        <v>0</v>
      </c>
      <c r="AY18" s="60">
        <f t="shared" si="20"/>
        <v>0</v>
      </c>
      <c r="AZ18" s="60">
        <f t="shared" si="20"/>
        <v>0</v>
      </c>
      <c r="BA18" s="60">
        <f t="shared" si="20"/>
        <v>0</v>
      </c>
      <c r="BB18" s="60">
        <f t="shared" si="20"/>
        <v>0</v>
      </c>
      <c r="BC18" s="60">
        <f t="shared" si="20"/>
        <v>0</v>
      </c>
      <c r="BD18" s="64">
        <f>SUM(BD16:BD17)</f>
        <v>0</v>
      </c>
      <c r="BE18" s="60">
        <f t="shared" ref="BE18:BP18" si="21">SUM(BE16:BE17)</f>
        <v>0</v>
      </c>
      <c r="BF18" s="60">
        <f t="shared" si="21"/>
        <v>0</v>
      </c>
      <c r="BG18" s="60">
        <f t="shared" si="21"/>
        <v>0</v>
      </c>
      <c r="BH18" s="60">
        <f t="shared" si="21"/>
        <v>0</v>
      </c>
      <c r="BI18" s="60">
        <f t="shared" si="21"/>
        <v>0</v>
      </c>
      <c r="BJ18" s="60">
        <f t="shared" si="21"/>
        <v>0</v>
      </c>
      <c r="BK18" s="60">
        <f t="shared" si="21"/>
        <v>0</v>
      </c>
      <c r="BL18" s="60">
        <f t="shared" si="21"/>
        <v>0</v>
      </c>
      <c r="BM18" s="60">
        <f t="shared" si="21"/>
        <v>0</v>
      </c>
      <c r="BN18" s="60">
        <f t="shared" si="21"/>
        <v>0</v>
      </c>
      <c r="BO18" s="60">
        <f t="shared" si="21"/>
        <v>0</v>
      </c>
      <c r="BP18" s="60">
        <f t="shared" si="21"/>
        <v>3559</v>
      </c>
      <c r="BQ18" s="64">
        <f>SUM(BQ16:BQ17)</f>
        <v>243.76712328767124</v>
      </c>
      <c r="BR18" s="179"/>
      <c r="BS18" s="64">
        <f t="shared" ref="BS18:CC18" si="22">SUM(BS16:BS17)</f>
        <v>4181.9699999999993</v>
      </c>
      <c r="BT18" s="64">
        <f t="shared" si="22"/>
        <v>4289.9693012971484</v>
      </c>
      <c r="BU18" s="64">
        <f t="shared" si="22"/>
        <v>4503.9696699436308</v>
      </c>
      <c r="BV18" s="64">
        <v>4862.2955214742333</v>
      </c>
      <c r="BW18" s="64">
        <f t="shared" si="22"/>
        <v>5465.9656570283487</v>
      </c>
      <c r="BX18" s="64">
        <f>SUM(BX16:BX17)</f>
        <v>5915.0048435092249</v>
      </c>
      <c r="BY18" s="64">
        <f t="shared" si="22"/>
        <v>6210.2929190634113</v>
      </c>
      <c r="BZ18" s="64">
        <f t="shared" si="22"/>
        <v>6590.5175416282273</v>
      </c>
      <c r="CA18" s="64">
        <f t="shared" si="22"/>
        <v>6497.2001948525249</v>
      </c>
      <c r="CB18" s="64">
        <v>6259.996410522228</v>
      </c>
      <c r="CC18" s="64">
        <f t="shared" si="22"/>
        <v>6579.6262919582641</v>
      </c>
      <c r="CD18" s="64">
        <f>SUM(CD16:CD17)</f>
        <v>6690.6267420149479</v>
      </c>
      <c r="CE18" s="64">
        <f>SUM(CE16:CE17)</f>
        <v>5678.7574058530745</v>
      </c>
      <c r="CF18" s="179"/>
      <c r="CG18" s="64">
        <f t="shared" ref="CG18:CS18" si="23">SUM(CG16:CG17)</f>
        <v>7277.4944913618647</v>
      </c>
      <c r="CH18" s="64">
        <f t="shared" si="23"/>
        <v>7453.9538583562062</v>
      </c>
      <c r="CI18" s="64">
        <f t="shared" si="23"/>
        <v>7484.635436811709</v>
      </c>
      <c r="CJ18" s="64">
        <f t="shared" si="23"/>
        <v>7108.3529845018447</v>
      </c>
      <c r="CK18" s="64">
        <f t="shared" si="23"/>
        <v>6837.469743831808</v>
      </c>
      <c r="CL18" s="64">
        <f t="shared" si="23"/>
        <v>6399.7018128387826</v>
      </c>
      <c r="CM18" s="64">
        <f t="shared" si="23"/>
        <v>7097.0264712287935</v>
      </c>
      <c r="CN18" s="64">
        <f t="shared" si="23"/>
        <v>6929.9186524182251</v>
      </c>
      <c r="CO18" s="64">
        <f t="shared" si="23"/>
        <v>7341.8352458200779</v>
      </c>
      <c r="CP18" s="64">
        <f t="shared" si="23"/>
        <v>7188.7656546265007</v>
      </c>
      <c r="CQ18" s="64">
        <f t="shared" si="23"/>
        <v>7213.3681085379812</v>
      </c>
      <c r="CR18" s="64">
        <f t="shared" si="23"/>
        <v>7572.8622413799239</v>
      </c>
      <c r="CS18" s="64">
        <f t="shared" si="23"/>
        <v>7157.9227562365968</v>
      </c>
      <c r="CT18" s="179"/>
      <c r="CU18" s="64">
        <f>SUM(CU16:CU17)</f>
        <v>7418.3842744706089</v>
      </c>
      <c r="CV18" s="64">
        <f>SUM(CV16:CV17)</f>
        <v>7137.8089854460723</v>
      </c>
      <c r="CW18" s="64">
        <f>SUM(CW16:CW17)</f>
        <v>7113.6739702949972</v>
      </c>
      <c r="CX18" s="64">
        <f>SUM(CX16:CX17)</f>
        <v>6652.047308945158</v>
      </c>
      <c r="CY18" s="64">
        <f t="shared" ref="CY18:DD18" si="24">SUM(CY16:CY17)</f>
        <v>6746.5315962928862</v>
      </c>
      <c r="CZ18" s="64">
        <f t="shared" si="24"/>
        <v>7126.7094875607581</v>
      </c>
      <c r="DA18" s="64">
        <f t="shared" si="24"/>
        <v>7326.0517157725462</v>
      </c>
      <c r="DB18" s="64">
        <f t="shared" si="24"/>
        <v>6643.4280772937527</v>
      </c>
      <c r="DC18" s="64">
        <f t="shared" si="24"/>
        <v>6769.2717607965387</v>
      </c>
      <c r="DD18" s="64">
        <f t="shared" si="24"/>
        <v>6708.5042772083771</v>
      </c>
      <c r="DE18" s="64"/>
    </row>
    <row r="19" spans="3:109" ht="5.25" customHeight="1" thickBot="1">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65"/>
      <c r="AR19" s="25"/>
      <c r="AS19" s="25"/>
      <c r="AT19" s="25"/>
      <c r="AU19" s="25"/>
      <c r="AV19" s="25"/>
      <c r="AW19" s="25"/>
      <c r="AX19" s="25"/>
      <c r="AY19" s="25"/>
      <c r="AZ19" s="25"/>
      <c r="BA19" s="25"/>
      <c r="BB19" s="25"/>
      <c r="BC19" s="25"/>
      <c r="BD19" s="65"/>
      <c r="BE19" s="25"/>
      <c r="BF19" s="25"/>
      <c r="BG19" s="25"/>
      <c r="BH19" s="25"/>
      <c r="BI19" s="25"/>
      <c r="BJ19" s="25"/>
      <c r="BK19" s="25"/>
      <c r="BL19" s="25"/>
      <c r="BM19" s="25"/>
      <c r="BN19" s="25"/>
      <c r="BO19" s="25"/>
      <c r="BQ19" s="65"/>
      <c r="BR19" s="180"/>
      <c r="BS19" s="25"/>
      <c r="BT19" s="25"/>
      <c r="BU19" s="25"/>
      <c r="BV19" s="25"/>
      <c r="BW19" s="25"/>
      <c r="BX19" s="25"/>
      <c r="BY19" s="25"/>
      <c r="BZ19" s="25"/>
      <c r="CA19" s="25"/>
      <c r="CB19" s="25"/>
      <c r="CC19" s="25"/>
      <c r="CE19" s="65"/>
      <c r="CF19" s="180"/>
      <c r="CG19" s="25"/>
      <c r="CH19" s="25"/>
      <c r="CI19" s="25"/>
      <c r="CJ19" s="25"/>
      <c r="CK19" s="25"/>
      <c r="CL19" s="25"/>
      <c r="CM19" s="25"/>
      <c r="CN19" s="25"/>
      <c r="CO19" s="25"/>
      <c r="CP19" s="25"/>
      <c r="CQ19" s="25"/>
      <c r="CS19" s="65"/>
      <c r="CT19" s="180"/>
      <c r="CU19" s="25"/>
      <c r="CV19" s="25"/>
      <c r="CW19" s="25"/>
      <c r="CX19" s="25"/>
      <c r="CY19" s="25"/>
      <c r="CZ19" s="25"/>
      <c r="DA19" s="25"/>
      <c r="DB19" s="25"/>
      <c r="DC19" s="25"/>
      <c r="DD19" s="25"/>
      <c r="DE19" s="25"/>
    </row>
    <row r="20" spans="3:109" ht="16.5" thickTop="1" thickBot="1">
      <c r="C20" s="10" t="s">
        <v>771</v>
      </c>
      <c r="D20" s="10"/>
      <c r="E20" s="57">
        <v>0</v>
      </c>
      <c r="F20" s="57">
        <v>0</v>
      </c>
      <c r="G20" s="57">
        <v>0</v>
      </c>
      <c r="H20" s="57">
        <v>0</v>
      </c>
      <c r="I20" s="57">
        <v>0</v>
      </c>
      <c r="J20" s="57">
        <v>0</v>
      </c>
      <c r="K20" s="57">
        <v>0</v>
      </c>
      <c r="L20" s="57">
        <v>0</v>
      </c>
      <c r="M20" s="57">
        <v>0</v>
      </c>
      <c r="N20" s="57">
        <v>0</v>
      </c>
      <c r="O20" s="57">
        <v>0</v>
      </c>
      <c r="P20" s="57">
        <v>0</v>
      </c>
      <c r="Q20" s="58">
        <f>SUMPRODUCT(E$6:P$6,E20:P20)/SUM(E$6:P$6)</f>
        <v>0</v>
      </c>
      <c r="R20" s="57">
        <v>0</v>
      </c>
      <c r="S20" s="57">
        <v>0</v>
      </c>
      <c r="T20" s="57">
        <v>0</v>
      </c>
      <c r="U20" s="57">
        <v>0</v>
      </c>
      <c r="V20" s="57">
        <v>0</v>
      </c>
      <c r="W20" s="57">
        <v>0</v>
      </c>
      <c r="X20" s="57">
        <v>0</v>
      </c>
      <c r="Y20" s="57">
        <v>0</v>
      </c>
      <c r="Z20" s="57">
        <v>0</v>
      </c>
      <c r="AA20" s="57">
        <v>0</v>
      </c>
      <c r="AB20" s="57">
        <v>0</v>
      </c>
      <c r="AC20" s="57">
        <v>0</v>
      </c>
      <c r="AD20" s="58">
        <f>SUMPRODUCT(R$6:AC$6,R20:AC20)/SUM(R$6:AC$6)</f>
        <v>0</v>
      </c>
      <c r="AE20" s="57">
        <v>0</v>
      </c>
      <c r="AF20" s="57">
        <v>0</v>
      </c>
      <c r="AG20" s="57">
        <v>0</v>
      </c>
      <c r="AH20" s="57">
        <v>0</v>
      </c>
      <c r="AI20" s="57">
        <v>0</v>
      </c>
      <c r="AJ20" s="57">
        <v>0</v>
      </c>
      <c r="AK20" s="57">
        <v>0</v>
      </c>
      <c r="AL20" s="57">
        <v>0</v>
      </c>
      <c r="AM20" s="57">
        <v>0</v>
      </c>
      <c r="AN20" s="57">
        <v>0</v>
      </c>
      <c r="AO20" s="57">
        <v>0</v>
      </c>
      <c r="AP20" s="57">
        <v>0</v>
      </c>
      <c r="AQ20" s="62">
        <f>SUMPRODUCT(AE$6:AP$6,AE20:AP20)/SUM(AE$6:AP$6)</f>
        <v>0</v>
      </c>
      <c r="AR20" s="58">
        <v>0</v>
      </c>
      <c r="AS20" s="58">
        <v>0</v>
      </c>
      <c r="AT20" s="58">
        <v>0</v>
      </c>
      <c r="AU20" s="58">
        <v>0</v>
      </c>
      <c r="AV20" s="58">
        <v>0</v>
      </c>
      <c r="AW20" s="58">
        <v>0</v>
      </c>
      <c r="AX20" s="58">
        <v>0</v>
      </c>
      <c r="AY20" s="58">
        <v>0</v>
      </c>
      <c r="AZ20" s="58">
        <v>0</v>
      </c>
      <c r="BA20" s="58">
        <v>0</v>
      </c>
      <c r="BB20" s="58">
        <v>0</v>
      </c>
      <c r="BC20" s="58">
        <v>0</v>
      </c>
      <c r="BD20" s="62">
        <f>SUMPRODUCT(AR$6:BC$6,AR20:BC20)/SUM(AR$6:BC$6)</f>
        <v>0</v>
      </c>
      <c r="BE20" s="58">
        <v>0</v>
      </c>
      <c r="BF20" s="58">
        <v>0</v>
      </c>
      <c r="BG20" s="58">
        <v>0</v>
      </c>
      <c r="BH20" s="58">
        <v>0</v>
      </c>
      <c r="BI20" s="58">
        <v>0</v>
      </c>
      <c r="BJ20" s="58">
        <v>0</v>
      </c>
      <c r="BK20" s="58">
        <v>0</v>
      </c>
      <c r="BL20" s="58">
        <v>0</v>
      </c>
      <c r="BM20" s="58">
        <v>0</v>
      </c>
      <c r="BN20" s="58">
        <v>0</v>
      </c>
      <c r="BO20" s="58">
        <v>0</v>
      </c>
      <c r="BP20" s="58">
        <v>0</v>
      </c>
      <c r="BQ20" s="174">
        <f>BP20*25/365</f>
        <v>0</v>
      </c>
      <c r="BR20" s="178"/>
      <c r="BS20" s="58">
        <v>0</v>
      </c>
      <c r="BT20" s="58">
        <v>0</v>
      </c>
      <c r="BU20" s="58">
        <v>0</v>
      </c>
      <c r="BV20" s="58">
        <v>0</v>
      </c>
      <c r="BW20" s="58">
        <v>0</v>
      </c>
      <c r="BX20" s="58">
        <v>0</v>
      </c>
      <c r="BY20" s="58">
        <v>0</v>
      </c>
      <c r="BZ20" s="58">
        <v>0</v>
      </c>
      <c r="CA20" s="58">
        <v>0</v>
      </c>
      <c r="CB20" s="58">
        <v>0</v>
      </c>
      <c r="CC20" s="58">
        <v>0</v>
      </c>
      <c r="CD20" s="58">
        <v>0</v>
      </c>
      <c r="CE20" s="62">
        <f>SUMPRODUCT(BS$6:CD$6,BS20:CD20)/SUM(BS$6:CD$6)</f>
        <v>0</v>
      </c>
      <c r="CF20" s="178"/>
      <c r="CG20" s="58">
        <v>0</v>
      </c>
      <c r="CH20" s="58">
        <v>0</v>
      </c>
      <c r="CI20" s="58">
        <v>1872.3515241802083</v>
      </c>
      <c r="CJ20" s="58">
        <v>2093.7657328521677</v>
      </c>
      <c r="CK20" s="58">
        <v>1843.5890688953282</v>
      </c>
      <c r="CL20" s="58">
        <v>1975.2212058404375</v>
      </c>
      <c r="CM20" s="58">
        <v>2080.2274551921155</v>
      </c>
      <c r="CN20" s="58">
        <v>2043.0494608728845</v>
      </c>
      <c r="CO20" s="58">
        <v>1975.2908122025704</v>
      </c>
      <c r="CP20" s="58">
        <v>1840.2447780682921</v>
      </c>
      <c r="CQ20" s="58">
        <v>1594.3026953047461</v>
      </c>
      <c r="CR20" s="58">
        <v>1900.8151697505859</v>
      </c>
      <c r="CS20" s="62">
        <f>SUMPRODUCT(CG$6:CR$6,CG20:CR20)/SUM(CG$6:CR$6)</f>
        <v>1611.3589439773684</v>
      </c>
      <c r="CT20" s="178"/>
      <c r="CU20" s="58">
        <v>1843.9185726653541</v>
      </c>
      <c r="CV20" s="58">
        <v>1743.8231221897188</v>
      </c>
      <c r="CW20" s="58">
        <v>1442.7249333595437</v>
      </c>
      <c r="CX20" s="58">
        <v>1715.6392101190334</v>
      </c>
      <c r="CY20" s="58">
        <v>2022.7369549873792</v>
      </c>
      <c r="CZ20" s="58">
        <v>2770.4678508082338</v>
      </c>
      <c r="DA20" s="58">
        <v>2820.2464335074133</v>
      </c>
      <c r="DB20" s="58">
        <v>2681.6184399413814</v>
      </c>
      <c r="DC20" s="58">
        <v>3049.3608806062393</v>
      </c>
      <c r="DD20" s="58">
        <v>3093.0726787360704</v>
      </c>
      <c r="DE20" s="58"/>
    </row>
    <row r="21" spans="3:109" ht="16.5" thickTop="1" thickBot="1">
      <c r="C21" s="10" t="s">
        <v>772</v>
      </c>
      <c r="D21" s="10"/>
      <c r="E21" s="59">
        <v>0</v>
      </c>
      <c r="F21" s="59">
        <v>0</v>
      </c>
      <c r="G21" s="59">
        <v>0</v>
      </c>
      <c r="H21" s="59">
        <v>0</v>
      </c>
      <c r="I21" s="59">
        <v>0</v>
      </c>
      <c r="J21" s="59">
        <v>0</v>
      </c>
      <c r="K21" s="59">
        <v>0</v>
      </c>
      <c r="L21" s="59">
        <v>0</v>
      </c>
      <c r="M21" s="59">
        <v>0</v>
      </c>
      <c r="N21" s="59">
        <v>0</v>
      </c>
      <c r="O21" s="59">
        <v>0</v>
      </c>
      <c r="P21" s="59">
        <v>0</v>
      </c>
      <c r="Q21" s="59">
        <f>SUMPRODUCT(E$6:P$6,E21:P21)/SUM(E$6:P$6)</f>
        <v>0</v>
      </c>
      <c r="R21" s="59">
        <v>0</v>
      </c>
      <c r="S21" s="59">
        <v>0</v>
      </c>
      <c r="T21" s="59">
        <v>0</v>
      </c>
      <c r="U21" s="59">
        <v>0</v>
      </c>
      <c r="V21" s="59">
        <v>0</v>
      </c>
      <c r="W21" s="59">
        <v>0</v>
      </c>
      <c r="X21" s="59">
        <v>0</v>
      </c>
      <c r="Y21" s="59">
        <v>0</v>
      </c>
      <c r="Z21" s="59">
        <v>0</v>
      </c>
      <c r="AA21" s="59">
        <v>0</v>
      </c>
      <c r="AB21" s="59">
        <v>0</v>
      </c>
      <c r="AC21" s="59">
        <v>0</v>
      </c>
      <c r="AD21" s="59">
        <f>SUMPRODUCT(R$6:AC$6,R21:AC21)/SUM(R$6:AC$6)</f>
        <v>0</v>
      </c>
      <c r="AE21" s="59">
        <v>0</v>
      </c>
      <c r="AF21" s="59">
        <v>0</v>
      </c>
      <c r="AG21" s="59">
        <v>0</v>
      </c>
      <c r="AH21" s="59">
        <v>0</v>
      </c>
      <c r="AI21" s="59">
        <v>0</v>
      </c>
      <c r="AJ21" s="59">
        <v>0</v>
      </c>
      <c r="AK21" s="59">
        <v>0</v>
      </c>
      <c r="AL21" s="59">
        <v>0</v>
      </c>
      <c r="AM21" s="59">
        <v>0</v>
      </c>
      <c r="AN21" s="59">
        <v>0</v>
      </c>
      <c r="AO21" s="59">
        <v>0</v>
      </c>
      <c r="AP21" s="59">
        <v>0</v>
      </c>
      <c r="AQ21" s="63">
        <f>SUMPRODUCT(AE$6:AP$6,AE21:AP21)/SUM(AE$6:AP$6)</f>
        <v>0</v>
      </c>
      <c r="AR21" s="59">
        <v>0</v>
      </c>
      <c r="AS21" s="59">
        <v>0</v>
      </c>
      <c r="AT21" s="59">
        <v>0</v>
      </c>
      <c r="AU21" s="59">
        <v>0</v>
      </c>
      <c r="AV21" s="59">
        <v>0</v>
      </c>
      <c r="AW21" s="59">
        <v>0</v>
      </c>
      <c r="AX21" s="59">
        <v>0</v>
      </c>
      <c r="AY21" s="59">
        <v>0</v>
      </c>
      <c r="AZ21" s="59">
        <v>0</v>
      </c>
      <c r="BA21" s="59">
        <v>0</v>
      </c>
      <c r="BB21" s="59">
        <v>0</v>
      </c>
      <c r="BC21" s="59">
        <v>0</v>
      </c>
      <c r="BD21" s="63">
        <f>SUMPRODUCT(AR$6:BC$6,AR21:BC21)/SUM(AR$6:BC$6)</f>
        <v>0</v>
      </c>
      <c r="BE21" s="59">
        <v>0</v>
      </c>
      <c r="BF21" s="59">
        <v>0</v>
      </c>
      <c r="BG21" s="59">
        <v>0</v>
      </c>
      <c r="BH21" s="59">
        <v>0</v>
      </c>
      <c r="BI21" s="59">
        <v>0</v>
      </c>
      <c r="BJ21" s="59">
        <v>0</v>
      </c>
      <c r="BK21" s="59">
        <v>0</v>
      </c>
      <c r="BL21" s="59">
        <v>0</v>
      </c>
      <c r="BM21" s="59">
        <v>0</v>
      </c>
      <c r="BN21" s="59">
        <v>0</v>
      </c>
      <c r="BO21" s="59">
        <v>0</v>
      </c>
      <c r="BP21" s="59">
        <v>0</v>
      </c>
      <c r="BQ21" s="63">
        <f>BP21*25/365</f>
        <v>0</v>
      </c>
      <c r="BR21" s="178"/>
      <c r="BS21" s="59">
        <v>0</v>
      </c>
      <c r="BT21" s="59">
        <v>0</v>
      </c>
      <c r="BU21" s="59">
        <v>0</v>
      </c>
      <c r="BV21" s="59">
        <v>0</v>
      </c>
      <c r="BW21" s="59">
        <v>0</v>
      </c>
      <c r="BX21" s="59">
        <v>0</v>
      </c>
      <c r="BY21" s="59">
        <v>0</v>
      </c>
      <c r="BZ21" s="59">
        <v>0</v>
      </c>
      <c r="CA21" s="59">
        <v>0</v>
      </c>
      <c r="CB21" s="59">
        <v>0</v>
      </c>
      <c r="CC21" s="59">
        <v>0</v>
      </c>
      <c r="CD21" s="59">
        <v>0</v>
      </c>
      <c r="CE21" s="63">
        <f>SUMPRODUCT(BS$6:CD$6,BS21:CD21)/SUM(BS$6:CD$6)</f>
        <v>0</v>
      </c>
      <c r="CF21" s="178"/>
      <c r="CG21" s="59">
        <v>0</v>
      </c>
      <c r="CH21" s="59">
        <v>0</v>
      </c>
      <c r="CI21" s="59">
        <v>309.5246923271942</v>
      </c>
      <c r="CJ21" s="59">
        <v>333</v>
      </c>
      <c r="CK21" s="59">
        <v>314.12815859310672</v>
      </c>
      <c r="CL21" s="59">
        <v>390.09858334393681</v>
      </c>
      <c r="CM21" s="59">
        <v>431.33203686795486</v>
      </c>
      <c r="CN21" s="59">
        <v>436.26632860620032</v>
      </c>
      <c r="CO21" s="59">
        <v>459.9930151800483</v>
      </c>
      <c r="CP21" s="59">
        <v>444.9956643749307</v>
      </c>
      <c r="CQ21" s="59">
        <v>400.77624122661916</v>
      </c>
      <c r="CR21" s="59">
        <v>474.74711127440793</v>
      </c>
      <c r="CS21" s="63">
        <f>SUMPRODUCT(CG$6:CR$6,CG21:CR21)/SUM(CG$6:CR$6)</f>
        <v>334.95027108459112</v>
      </c>
      <c r="CT21" s="178"/>
      <c r="CU21" s="59">
        <v>479.84589534205708</v>
      </c>
      <c r="CV21" s="59">
        <v>432.7210451379853</v>
      </c>
      <c r="CW21" s="59">
        <v>277.90192632289063</v>
      </c>
      <c r="CX21" s="59">
        <v>345.41702451775734</v>
      </c>
      <c r="CY21" s="59">
        <v>474.28654408049124</v>
      </c>
      <c r="CZ21" s="59">
        <v>723.01883798659003</v>
      </c>
      <c r="DA21" s="59">
        <v>861.26853626655816</v>
      </c>
      <c r="DB21" s="59">
        <v>647.00865083253075</v>
      </c>
      <c r="DC21" s="59">
        <v>709.91054432191402</v>
      </c>
      <c r="DD21" s="59">
        <v>694.8422636755065</v>
      </c>
      <c r="DE21" s="59"/>
    </row>
    <row r="22" spans="3:109" ht="15.75" thickBot="1">
      <c r="C22" s="28" t="s">
        <v>932</v>
      </c>
      <c r="D22" s="28"/>
      <c r="E22" s="60">
        <f t="shared" ref="E22:P22" si="25">SUM(E20:E21)</f>
        <v>0</v>
      </c>
      <c r="F22" s="60">
        <f t="shared" si="25"/>
        <v>0</v>
      </c>
      <c r="G22" s="60">
        <f t="shared" si="25"/>
        <v>0</v>
      </c>
      <c r="H22" s="60">
        <f t="shared" si="25"/>
        <v>0</v>
      </c>
      <c r="I22" s="60">
        <f t="shared" si="25"/>
        <v>0</v>
      </c>
      <c r="J22" s="60">
        <f t="shared" si="25"/>
        <v>0</v>
      </c>
      <c r="K22" s="60">
        <f t="shared" si="25"/>
        <v>0</v>
      </c>
      <c r="L22" s="60">
        <f t="shared" si="25"/>
        <v>0</v>
      </c>
      <c r="M22" s="60">
        <f t="shared" si="25"/>
        <v>0</v>
      </c>
      <c r="N22" s="60">
        <f t="shared" si="25"/>
        <v>0</v>
      </c>
      <c r="O22" s="60">
        <f t="shared" si="25"/>
        <v>0</v>
      </c>
      <c r="P22" s="60">
        <f t="shared" si="25"/>
        <v>0</v>
      </c>
      <c r="Q22" s="60">
        <f>SUM(Q20:Q21)</f>
        <v>0</v>
      </c>
      <c r="R22" s="60">
        <f t="shared" ref="R22:AC22" si="26">SUM(R20:R21)</f>
        <v>0</v>
      </c>
      <c r="S22" s="60">
        <f t="shared" si="26"/>
        <v>0</v>
      </c>
      <c r="T22" s="60">
        <f t="shared" si="26"/>
        <v>0</v>
      </c>
      <c r="U22" s="60">
        <f t="shared" si="26"/>
        <v>0</v>
      </c>
      <c r="V22" s="60">
        <f t="shared" si="26"/>
        <v>0</v>
      </c>
      <c r="W22" s="60">
        <f t="shared" si="26"/>
        <v>0</v>
      </c>
      <c r="X22" s="60">
        <f t="shared" si="26"/>
        <v>0</v>
      </c>
      <c r="Y22" s="60">
        <f t="shared" si="26"/>
        <v>0</v>
      </c>
      <c r="Z22" s="60">
        <f t="shared" si="26"/>
        <v>0</v>
      </c>
      <c r="AA22" s="60">
        <f t="shared" si="26"/>
        <v>0</v>
      </c>
      <c r="AB22" s="60">
        <f t="shared" si="26"/>
        <v>0</v>
      </c>
      <c r="AC22" s="60">
        <f t="shared" si="26"/>
        <v>0</v>
      </c>
      <c r="AD22" s="60">
        <f>SUM(AD20:AD21)</f>
        <v>0</v>
      </c>
      <c r="AE22" s="60">
        <f t="shared" ref="AE22:AP22" si="27">SUM(AE19:AE21)</f>
        <v>0</v>
      </c>
      <c r="AF22" s="60">
        <f t="shared" si="27"/>
        <v>0</v>
      </c>
      <c r="AG22" s="60">
        <f t="shared" si="27"/>
        <v>0</v>
      </c>
      <c r="AH22" s="60">
        <f t="shared" si="27"/>
        <v>0</v>
      </c>
      <c r="AI22" s="60">
        <f t="shared" si="27"/>
        <v>0</v>
      </c>
      <c r="AJ22" s="60">
        <f t="shared" si="27"/>
        <v>0</v>
      </c>
      <c r="AK22" s="60">
        <f t="shared" si="27"/>
        <v>0</v>
      </c>
      <c r="AL22" s="60">
        <f t="shared" si="27"/>
        <v>0</v>
      </c>
      <c r="AM22" s="60">
        <f t="shared" si="27"/>
        <v>0</v>
      </c>
      <c r="AN22" s="60">
        <f t="shared" si="27"/>
        <v>0</v>
      </c>
      <c r="AO22" s="60">
        <f t="shared" si="27"/>
        <v>0</v>
      </c>
      <c r="AP22" s="60">
        <f t="shared" si="27"/>
        <v>0</v>
      </c>
      <c r="AQ22" s="64">
        <f>SUM(AQ20:AQ21)</f>
        <v>0</v>
      </c>
      <c r="AR22" s="60">
        <f t="shared" ref="AR22:BC22" si="28">SUM(AR20:AR21)</f>
        <v>0</v>
      </c>
      <c r="AS22" s="60">
        <f t="shared" si="28"/>
        <v>0</v>
      </c>
      <c r="AT22" s="60">
        <f t="shared" si="28"/>
        <v>0</v>
      </c>
      <c r="AU22" s="60">
        <f t="shared" si="28"/>
        <v>0</v>
      </c>
      <c r="AV22" s="60">
        <f t="shared" si="28"/>
        <v>0</v>
      </c>
      <c r="AW22" s="60">
        <f t="shared" si="28"/>
        <v>0</v>
      </c>
      <c r="AX22" s="60">
        <f t="shared" si="28"/>
        <v>0</v>
      </c>
      <c r="AY22" s="60">
        <f t="shared" si="28"/>
        <v>0</v>
      </c>
      <c r="AZ22" s="60">
        <f t="shared" si="28"/>
        <v>0</v>
      </c>
      <c r="BA22" s="60">
        <f t="shared" si="28"/>
        <v>0</v>
      </c>
      <c r="BB22" s="60">
        <f t="shared" si="28"/>
        <v>0</v>
      </c>
      <c r="BC22" s="60">
        <f t="shared" si="28"/>
        <v>0</v>
      </c>
      <c r="BD22" s="64">
        <f>SUM(BD20:BD21)</f>
        <v>0</v>
      </c>
      <c r="BE22" s="60">
        <f t="shared" ref="BE22:BP22" si="29">SUM(BE20:BE21)</f>
        <v>0</v>
      </c>
      <c r="BF22" s="60">
        <f t="shared" si="29"/>
        <v>0</v>
      </c>
      <c r="BG22" s="60">
        <f t="shared" si="29"/>
        <v>0</v>
      </c>
      <c r="BH22" s="60">
        <f t="shared" si="29"/>
        <v>0</v>
      </c>
      <c r="BI22" s="60">
        <f t="shared" si="29"/>
        <v>0</v>
      </c>
      <c r="BJ22" s="60">
        <f t="shared" si="29"/>
        <v>0</v>
      </c>
      <c r="BK22" s="60">
        <f t="shared" si="29"/>
        <v>0</v>
      </c>
      <c r="BL22" s="60">
        <f t="shared" si="29"/>
        <v>0</v>
      </c>
      <c r="BM22" s="60">
        <f t="shared" si="29"/>
        <v>0</v>
      </c>
      <c r="BN22" s="60">
        <f t="shared" si="29"/>
        <v>0</v>
      </c>
      <c r="BO22" s="60">
        <f t="shared" si="29"/>
        <v>0</v>
      </c>
      <c r="BP22" s="60">
        <f t="shared" si="29"/>
        <v>0</v>
      </c>
      <c r="BQ22" s="64">
        <f>SUM(BQ20:BQ21)</f>
        <v>0</v>
      </c>
      <c r="BR22" s="179"/>
      <c r="BS22" s="64">
        <f t="shared" ref="BS22:CB22" si="30">SUM(BS20:BS21)</f>
        <v>0</v>
      </c>
      <c r="BT22" s="64">
        <f t="shared" si="30"/>
        <v>0</v>
      </c>
      <c r="BU22" s="64">
        <f t="shared" si="30"/>
        <v>0</v>
      </c>
      <c r="BV22" s="64">
        <f t="shared" si="30"/>
        <v>0</v>
      </c>
      <c r="BW22" s="64">
        <f>SUM(BW20:BW21)</f>
        <v>0</v>
      </c>
      <c r="BX22" s="64">
        <f>SUM(BX20:BX21)</f>
        <v>0</v>
      </c>
      <c r="BY22" s="64">
        <f>SUM(BY20:BY21)</f>
        <v>0</v>
      </c>
      <c r="BZ22" s="64">
        <f>SUM(BZ20:BZ21)</f>
        <v>0</v>
      </c>
      <c r="CA22" s="64">
        <f>SUM(CA20:CA21)</f>
        <v>0</v>
      </c>
      <c r="CB22" s="64">
        <f t="shared" si="30"/>
        <v>0</v>
      </c>
      <c r="CC22" s="64">
        <f>SUM(CC20:CC21)</f>
        <v>0</v>
      </c>
      <c r="CD22" s="64">
        <f>SUM(CD20:CD21)</f>
        <v>0</v>
      </c>
      <c r="CE22" s="64">
        <f>SUM(CE20:CE21)</f>
        <v>0</v>
      </c>
      <c r="CF22" s="179"/>
      <c r="CG22" s="64">
        <f t="shared" ref="CG22:CS22" si="31">SUM(CG20:CG21)</f>
        <v>0</v>
      </c>
      <c r="CH22" s="64">
        <f t="shared" si="31"/>
        <v>0</v>
      </c>
      <c r="CI22" s="64">
        <f t="shared" si="31"/>
        <v>2181.8762165074027</v>
      </c>
      <c r="CJ22" s="64">
        <f t="shared" si="31"/>
        <v>2426.7657328521677</v>
      </c>
      <c r="CK22" s="64">
        <f t="shared" si="31"/>
        <v>2157.7172274884351</v>
      </c>
      <c r="CL22" s="64">
        <f t="shared" si="31"/>
        <v>2365.3197891843743</v>
      </c>
      <c r="CM22" s="64">
        <f t="shared" si="31"/>
        <v>2511.5594920600702</v>
      </c>
      <c r="CN22" s="64">
        <f t="shared" si="31"/>
        <v>2479.3157894790847</v>
      </c>
      <c r="CO22" s="64">
        <f t="shared" si="31"/>
        <v>2435.2838273826187</v>
      </c>
      <c r="CP22" s="64">
        <f t="shared" si="31"/>
        <v>2285.2404424432229</v>
      </c>
      <c r="CQ22" s="64">
        <f t="shared" si="31"/>
        <v>1995.0789365313653</v>
      </c>
      <c r="CR22" s="64">
        <f t="shared" si="31"/>
        <v>2375.5622810249938</v>
      </c>
      <c r="CS22" s="64">
        <f t="shared" si="31"/>
        <v>1946.3092150619595</v>
      </c>
      <c r="CT22" s="179"/>
      <c r="CU22" s="64">
        <f>SUM(CU20:CU21)</f>
        <v>2323.7644680074113</v>
      </c>
      <c r="CV22" s="64">
        <f>SUM(CV20:CV21)</f>
        <v>2176.5441673277041</v>
      </c>
      <c r="CW22" s="64">
        <f>SUM(CW20:CW21)</f>
        <v>1720.6268596824343</v>
      </c>
      <c r="CX22" s="64">
        <f>SUM(CX20:CX21)</f>
        <v>2061.0562346367906</v>
      </c>
      <c r="CY22" s="64">
        <f t="shared" ref="CY22:DD22" si="32">SUM(CY20:CY21)</f>
        <v>2497.0234990678705</v>
      </c>
      <c r="CZ22" s="64">
        <f t="shared" si="32"/>
        <v>3493.4866887948237</v>
      </c>
      <c r="DA22" s="64">
        <f t="shared" si="32"/>
        <v>3681.5149697739716</v>
      </c>
      <c r="DB22" s="64">
        <f t="shared" si="32"/>
        <v>3328.6270907739122</v>
      </c>
      <c r="DC22" s="64">
        <f t="shared" si="32"/>
        <v>3759.2714249281535</v>
      </c>
      <c r="DD22" s="64">
        <f t="shared" si="32"/>
        <v>3787.9149424115767</v>
      </c>
      <c r="DE22" s="64"/>
    </row>
    <row r="23" spans="3:109" ht="5.25" customHeight="1" thickBot="1">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65"/>
      <c r="AR23" s="25"/>
      <c r="AS23" s="25"/>
      <c r="AT23" s="25"/>
      <c r="AU23" s="25"/>
      <c r="AV23" s="25"/>
      <c r="AW23" s="25"/>
      <c r="AX23" s="25"/>
      <c r="AY23" s="25"/>
      <c r="AZ23" s="25"/>
      <c r="BA23" s="25"/>
      <c r="BB23" s="25"/>
      <c r="BC23" s="25"/>
      <c r="BD23" s="65"/>
      <c r="BE23" s="25"/>
      <c r="BF23" s="25"/>
      <c r="BG23" s="25"/>
      <c r="BH23" s="25"/>
      <c r="BI23" s="25"/>
      <c r="BJ23" s="25"/>
      <c r="BK23" s="25"/>
      <c r="BL23" s="25"/>
      <c r="BM23" s="25"/>
      <c r="BN23" s="25"/>
      <c r="BO23" s="25"/>
      <c r="BQ23" s="65"/>
      <c r="BR23" s="180"/>
      <c r="BS23" s="25"/>
      <c r="BT23" s="25"/>
      <c r="BU23" s="25"/>
      <c r="BV23" s="25"/>
      <c r="BW23" s="25"/>
      <c r="BX23" s="25"/>
      <c r="BY23" s="25"/>
      <c r="BZ23" s="25"/>
      <c r="CA23" s="25"/>
      <c r="CB23" s="25"/>
      <c r="CC23" s="25"/>
      <c r="CE23" s="65"/>
      <c r="CF23" s="180"/>
      <c r="CG23" s="25"/>
      <c r="CH23" s="25"/>
      <c r="CI23" s="25"/>
      <c r="CJ23" s="25"/>
      <c r="CK23" s="25"/>
      <c r="CL23" s="25"/>
      <c r="CM23" s="25"/>
      <c r="CN23" s="25"/>
      <c r="CO23" s="25"/>
      <c r="CP23" s="25"/>
      <c r="CQ23" s="25"/>
      <c r="CS23" s="65"/>
      <c r="CT23" s="180"/>
      <c r="CU23" s="25"/>
      <c r="CV23" s="25"/>
      <c r="CW23" s="25"/>
      <c r="CX23" s="25"/>
      <c r="CY23" s="25"/>
      <c r="CZ23" s="25"/>
      <c r="DA23" s="25"/>
      <c r="DB23" s="25"/>
      <c r="DC23" s="25"/>
      <c r="DD23" s="25"/>
      <c r="DE23" s="25"/>
    </row>
    <row r="24" spans="3:109" ht="16.5" thickTop="1" thickBot="1">
      <c r="C24" s="10" t="s">
        <v>771</v>
      </c>
      <c r="D24" s="10"/>
      <c r="E24" s="57">
        <f>E8+E12+E16</f>
        <v>4500.8100000000004</v>
      </c>
      <c r="F24" s="57">
        <f t="shared" ref="F24:P24" si="33">F8+F12+F16</f>
        <v>4356.1600000000008</v>
      </c>
      <c r="G24" s="57">
        <f t="shared" si="33"/>
        <v>4218.9199999999992</v>
      </c>
      <c r="H24" s="57">
        <f t="shared" si="33"/>
        <v>4188.6899999999996</v>
      </c>
      <c r="I24" s="57">
        <f t="shared" si="33"/>
        <v>4179.38</v>
      </c>
      <c r="J24" s="57">
        <f t="shared" si="33"/>
        <v>3972.7000000000012</v>
      </c>
      <c r="K24" s="57">
        <f t="shared" si="33"/>
        <v>4089.48</v>
      </c>
      <c r="L24" s="57">
        <f t="shared" si="33"/>
        <v>3981.5300000000007</v>
      </c>
      <c r="M24" s="57">
        <f t="shared" si="33"/>
        <v>4013.3800000000006</v>
      </c>
      <c r="N24" s="57">
        <f t="shared" si="33"/>
        <v>3971.76</v>
      </c>
      <c r="O24" s="57">
        <f t="shared" si="33"/>
        <v>4008.3199999999997</v>
      </c>
      <c r="P24" s="57">
        <f t="shared" si="33"/>
        <v>4030.0099999999998</v>
      </c>
      <c r="Q24" s="62">
        <f>Q8+Q12+Q16</f>
        <v>4124.9144383561652</v>
      </c>
      <c r="R24" s="57">
        <f>R8+R12+R16</f>
        <v>4017.4300000000007</v>
      </c>
      <c r="S24" s="57">
        <f t="shared" ref="S24:AC24" si="34">S8+S12+S16</f>
        <v>4127.9400000000005</v>
      </c>
      <c r="T24" s="57">
        <f t="shared" si="34"/>
        <v>4105.37</v>
      </c>
      <c r="U24" s="57">
        <f t="shared" si="34"/>
        <v>3938.4999999999991</v>
      </c>
      <c r="V24" s="57">
        <f t="shared" si="34"/>
        <v>4158.4799999999996</v>
      </c>
      <c r="W24" s="57">
        <f t="shared" si="34"/>
        <v>4318.46</v>
      </c>
      <c r="X24" s="57">
        <f t="shared" si="34"/>
        <v>4268.54</v>
      </c>
      <c r="Y24" s="57">
        <f t="shared" si="34"/>
        <v>4339.8</v>
      </c>
      <c r="Z24" s="57">
        <f t="shared" si="34"/>
        <v>4212.46</v>
      </c>
      <c r="AA24" s="57">
        <f t="shared" si="34"/>
        <v>4036.8900000000003</v>
      </c>
      <c r="AB24" s="57">
        <f t="shared" si="34"/>
        <v>3919.1500000000005</v>
      </c>
      <c r="AC24" s="57">
        <f t="shared" si="34"/>
        <v>4432.04</v>
      </c>
      <c r="AD24" s="62">
        <f>AD8+AD12+AD16</f>
        <v>4157.1355342465758</v>
      </c>
      <c r="AE24" s="57">
        <f>AE8+AE12+AE16</f>
        <v>4186.6899999999996</v>
      </c>
      <c r="AF24" s="57">
        <f t="shared" ref="AF24:AP24" si="35">AF8+AF12+AF16</f>
        <v>4119.3599999999997</v>
      </c>
      <c r="AG24" s="57">
        <f t="shared" si="35"/>
        <v>4174.0599999999995</v>
      </c>
      <c r="AH24" s="57">
        <f t="shared" si="35"/>
        <v>4121.8999999999996</v>
      </c>
      <c r="AI24" s="57">
        <f t="shared" si="35"/>
        <v>3927.4899999999989</v>
      </c>
      <c r="AJ24" s="57">
        <f t="shared" si="35"/>
        <v>3837.2400000000002</v>
      </c>
      <c r="AK24" s="57">
        <f t="shared" si="35"/>
        <v>3836.6</v>
      </c>
      <c r="AL24" s="57">
        <f t="shared" si="35"/>
        <v>3943.82</v>
      </c>
      <c r="AM24" s="57">
        <f t="shared" si="35"/>
        <v>4117.1900000000005</v>
      </c>
      <c r="AN24" s="57">
        <f t="shared" si="35"/>
        <v>3984.53</v>
      </c>
      <c r="AO24" s="57">
        <f t="shared" si="35"/>
        <v>3837.1299999999997</v>
      </c>
      <c r="AP24" s="57">
        <f t="shared" si="35"/>
        <v>3818.8900000000003</v>
      </c>
      <c r="AQ24" s="66">
        <f>AQ8+AQ12+AQ16</f>
        <v>3991.1790684931502</v>
      </c>
      <c r="AR24" s="57">
        <f>AR8+AR12+AR16</f>
        <v>9571.4</v>
      </c>
      <c r="AS24" s="57">
        <f t="shared" ref="AS24:BC24" si="36">AS8+AS12+AS16</f>
        <v>10369.89</v>
      </c>
      <c r="AT24" s="57">
        <f t="shared" si="36"/>
        <v>10308.380000000001</v>
      </c>
      <c r="AU24" s="57">
        <f t="shared" si="36"/>
        <v>9976.82</v>
      </c>
      <c r="AV24" s="57">
        <f t="shared" si="36"/>
        <v>9236.91</v>
      </c>
      <c r="AW24" s="57">
        <f t="shared" si="36"/>
        <v>8973.15</v>
      </c>
      <c r="AX24" s="57">
        <f t="shared" si="36"/>
        <v>9269.86</v>
      </c>
      <c r="AY24" s="57">
        <f t="shared" si="36"/>
        <v>9083.380000000001</v>
      </c>
      <c r="AZ24" s="57">
        <f t="shared" si="36"/>
        <v>9340.4399999999987</v>
      </c>
      <c r="BA24" s="57">
        <f t="shared" si="36"/>
        <v>9544.4599999999991</v>
      </c>
      <c r="BB24" s="57">
        <f t="shared" si="36"/>
        <v>9418.2199999999993</v>
      </c>
      <c r="BC24" s="57">
        <f t="shared" si="36"/>
        <v>9788.93</v>
      </c>
      <c r="BD24" s="66">
        <f>BD8+BD12+BD16</f>
        <v>9570.7339617486323</v>
      </c>
      <c r="BE24" s="57">
        <f>BE8+BE12+BE16</f>
        <v>9589.9700000000012</v>
      </c>
      <c r="BF24" s="57">
        <f t="shared" ref="BF24:BP24" si="37">BF8+BF12+BF16</f>
        <v>9619.44</v>
      </c>
      <c r="BG24" s="57">
        <f t="shared" si="37"/>
        <v>9527.51</v>
      </c>
      <c r="BH24" s="57">
        <f t="shared" si="37"/>
        <v>9501.83</v>
      </c>
      <c r="BI24" s="57">
        <f t="shared" si="37"/>
        <v>9763.4000000000015</v>
      </c>
      <c r="BJ24" s="57">
        <f t="shared" si="37"/>
        <v>9873.73</v>
      </c>
      <c r="BK24" s="57">
        <f t="shared" si="37"/>
        <v>9476.99</v>
      </c>
      <c r="BL24" s="57">
        <f t="shared" si="37"/>
        <v>9617.7900000000009</v>
      </c>
      <c r="BM24" s="57">
        <f t="shared" si="37"/>
        <v>9781.94</v>
      </c>
      <c r="BN24" s="57">
        <f t="shared" si="37"/>
        <v>9667.7799999999988</v>
      </c>
      <c r="BO24" s="57">
        <f t="shared" si="37"/>
        <v>9424.94</v>
      </c>
      <c r="BP24" s="57">
        <f t="shared" si="37"/>
        <v>11264.65</v>
      </c>
      <c r="BQ24" s="175">
        <f>BQ8+BQ12+BQ16</f>
        <v>9748.1104383561651</v>
      </c>
      <c r="BR24" s="178"/>
      <c r="BS24" s="57">
        <f>BS8+BS12+BS16</f>
        <v>12100.982299820967</v>
      </c>
      <c r="BT24" s="57">
        <f t="shared" ref="BT24:CD24" si="38">BT8+BT12+BT16</f>
        <v>12551.879069357356</v>
      </c>
      <c r="BU24" s="57">
        <f t="shared" si="38"/>
        <v>12500.576982901081</v>
      </c>
      <c r="BV24" s="57">
        <v>12496.666416056096</v>
      </c>
      <c r="BW24" s="57">
        <f t="shared" si="38"/>
        <v>12130.366146116954</v>
      </c>
      <c r="BX24" s="57">
        <f t="shared" si="38"/>
        <v>12721.733975547586</v>
      </c>
      <c r="BY24" s="57">
        <f t="shared" si="38"/>
        <v>13081.777146136308</v>
      </c>
      <c r="BZ24" s="57">
        <f t="shared" si="38"/>
        <v>13020.271665022099</v>
      </c>
      <c r="CA24" s="57">
        <f t="shared" si="38"/>
        <v>12804.738451414454</v>
      </c>
      <c r="CB24" s="57">
        <v>13401.499096647229</v>
      </c>
      <c r="CC24" s="57">
        <f t="shared" si="38"/>
        <v>13547.630638642078</v>
      </c>
      <c r="CD24" s="57">
        <f t="shared" si="38"/>
        <v>13246.866064335023</v>
      </c>
      <c r="CE24" s="66">
        <f>CE8+CE12+CE16</f>
        <v>12801.447177595021</v>
      </c>
      <c r="CF24" s="178"/>
      <c r="CG24" s="57">
        <f>CG8+CG12+CG16</f>
        <v>13379.167389066775</v>
      </c>
      <c r="CH24" s="57">
        <f>CH8+CH12+CH16</f>
        <v>13129.946830288296</v>
      </c>
      <c r="CI24" s="57">
        <f>CI8+CI12+CI16+CI20</f>
        <v>15090.305496039058</v>
      </c>
      <c r="CJ24" s="57">
        <f t="shared" ref="CJ24:CS24" si="39">CJ8+CJ12+CJ16+CJ20</f>
        <v>15521.799233742866</v>
      </c>
      <c r="CK24" s="57">
        <f t="shared" si="39"/>
        <v>15140.849717649371</v>
      </c>
      <c r="CL24" s="57">
        <f t="shared" si="39"/>
        <v>16058.951673812186</v>
      </c>
      <c r="CM24" s="57">
        <f t="shared" si="39"/>
        <v>17322.022826982989</v>
      </c>
      <c r="CN24" s="57">
        <f t="shared" si="39"/>
        <v>16595.115503912912</v>
      </c>
      <c r="CO24" s="57">
        <f t="shared" si="39"/>
        <v>15901.790550721465</v>
      </c>
      <c r="CP24" s="57">
        <f t="shared" si="39"/>
        <v>16255.278875260336</v>
      </c>
      <c r="CQ24" s="57">
        <f t="shared" si="39"/>
        <v>14968.556542728082</v>
      </c>
      <c r="CR24" s="57">
        <f t="shared" si="39"/>
        <v>12522.131101717016</v>
      </c>
      <c r="CS24" s="66">
        <f t="shared" si="39"/>
        <v>15168.828628788198</v>
      </c>
      <c r="CT24" s="178"/>
      <c r="CU24" s="57">
        <f t="shared" ref="CU24:CW25" si="40">CU8+CU12+CU16+CU20</f>
        <v>16029.038209447917</v>
      </c>
      <c r="CV24" s="57">
        <f t="shared" si="40"/>
        <v>15283.812782025101</v>
      </c>
      <c r="CW24" s="57">
        <f t="shared" si="40"/>
        <v>14822.71606405991</v>
      </c>
      <c r="CX24" s="57">
        <f t="shared" ref="CX24:DA25" si="41">CX8+CX12+CX16+CX20</f>
        <v>14974.410341682844</v>
      </c>
      <c r="CY24" s="57">
        <f t="shared" si="41"/>
        <v>14860.914122788985</v>
      </c>
      <c r="CZ24" s="57">
        <f t="shared" si="41"/>
        <v>15758.583507223799</v>
      </c>
      <c r="DA24" s="57">
        <f t="shared" si="41"/>
        <v>15391.684862096621</v>
      </c>
      <c r="DB24" s="57">
        <f t="shared" ref="DB24:DC24" si="42">DB8+DB12+DB16+DB20</f>
        <v>14814.675318920481</v>
      </c>
      <c r="DC24" s="57">
        <f t="shared" si="42"/>
        <v>15286.704186661718</v>
      </c>
      <c r="DD24" s="57">
        <f t="shared" ref="DD24" si="43">DD8+DD12+DD16+DD20</f>
        <v>15576.126847588257</v>
      </c>
      <c r="DE24" s="57"/>
    </row>
    <row r="25" spans="3:109" ht="16.5" thickTop="1" thickBot="1">
      <c r="C25" s="10" t="s">
        <v>772</v>
      </c>
      <c r="D25" s="10"/>
      <c r="E25" s="59">
        <f>E9+E13+E17</f>
        <v>494.2600000000001</v>
      </c>
      <c r="F25" s="59">
        <f t="shared" ref="F25:P25" si="44">F9+F13+F17</f>
        <v>448.7399999999999</v>
      </c>
      <c r="G25" s="59">
        <f t="shared" si="44"/>
        <v>420.93999999999971</v>
      </c>
      <c r="H25" s="59">
        <f t="shared" si="44"/>
        <v>429.35000000000014</v>
      </c>
      <c r="I25" s="59">
        <f t="shared" si="44"/>
        <v>406.46999999999997</v>
      </c>
      <c r="J25" s="59">
        <f t="shared" si="44"/>
        <v>402.18000000000006</v>
      </c>
      <c r="K25" s="59">
        <f t="shared" si="44"/>
        <v>457.22999999999996</v>
      </c>
      <c r="L25" s="59">
        <f t="shared" si="44"/>
        <v>429.06000000000023</v>
      </c>
      <c r="M25" s="59">
        <f t="shared" si="44"/>
        <v>420.98999999999978</v>
      </c>
      <c r="N25" s="59">
        <f t="shared" si="44"/>
        <v>404.19000000000011</v>
      </c>
      <c r="O25" s="59">
        <f t="shared" si="44"/>
        <v>442.38999999999987</v>
      </c>
      <c r="P25" s="59">
        <f t="shared" si="44"/>
        <v>475.35999999999996</v>
      </c>
      <c r="Q25" s="63">
        <f>Q9+Q13+Q17</f>
        <v>435.95843835616432</v>
      </c>
      <c r="R25" s="59">
        <f>R9+R13+R17</f>
        <v>477.63999999999982</v>
      </c>
      <c r="S25" s="59">
        <f t="shared" ref="S25:AC25" si="45">S9+S13+S17</f>
        <v>498.27000000000021</v>
      </c>
      <c r="T25" s="59">
        <f t="shared" si="45"/>
        <v>500.16000000000008</v>
      </c>
      <c r="U25" s="59">
        <f t="shared" si="45"/>
        <v>458.09</v>
      </c>
      <c r="V25" s="59">
        <f t="shared" si="45"/>
        <v>554.04000000000008</v>
      </c>
      <c r="W25" s="59">
        <f t="shared" si="45"/>
        <v>542.06999999999994</v>
      </c>
      <c r="X25" s="59">
        <f t="shared" si="45"/>
        <v>499.08</v>
      </c>
      <c r="Y25" s="59">
        <f t="shared" si="45"/>
        <v>506.87999999999994</v>
      </c>
      <c r="Z25" s="59">
        <f t="shared" si="45"/>
        <v>473.33</v>
      </c>
      <c r="AA25" s="59">
        <f t="shared" si="45"/>
        <v>412.53999999999996</v>
      </c>
      <c r="AB25" s="59">
        <f t="shared" si="45"/>
        <v>450.25999999999993</v>
      </c>
      <c r="AC25" s="59">
        <f t="shared" si="45"/>
        <v>493.15000000000003</v>
      </c>
      <c r="AD25" s="63">
        <f>AD9+AD13+AD17</f>
        <v>488.80068493150679</v>
      </c>
      <c r="AE25" s="59">
        <f>AE9+AE13+AE17</f>
        <v>468.01999999999981</v>
      </c>
      <c r="AF25" s="59">
        <f t="shared" ref="AF25:AP25" si="46">AF9+AF13+AF17</f>
        <v>475.34000000000015</v>
      </c>
      <c r="AG25" s="59">
        <f t="shared" si="46"/>
        <v>495.92999999999995</v>
      </c>
      <c r="AH25" s="59">
        <f t="shared" si="46"/>
        <v>491.40000000000015</v>
      </c>
      <c r="AI25" s="59">
        <f t="shared" si="46"/>
        <v>497.05000000000007</v>
      </c>
      <c r="AJ25" s="59">
        <f t="shared" si="46"/>
        <v>496.03000000000014</v>
      </c>
      <c r="AK25" s="59">
        <f t="shared" si="46"/>
        <v>436.48999999999995</v>
      </c>
      <c r="AL25" s="59">
        <f t="shared" si="46"/>
        <v>459.70000000000005</v>
      </c>
      <c r="AM25" s="59">
        <f t="shared" si="46"/>
        <v>482.95999999999992</v>
      </c>
      <c r="AN25" s="59">
        <f t="shared" si="46"/>
        <v>443.81000000000012</v>
      </c>
      <c r="AO25" s="59">
        <f t="shared" si="46"/>
        <v>487.73000000000008</v>
      </c>
      <c r="AP25" s="59">
        <f t="shared" si="46"/>
        <v>474.54999999999984</v>
      </c>
      <c r="AQ25" s="63">
        <f>AQ9+AQ13+AQ17</f>
        <v>475.60320547945207</v>
      </c>
      <c r="AR25" s="59">
        <f>AR9+AR13+AR17</f>
        <v>1878.93</v>
      </c>
      <c r="AS25" s="59">
        <f t="shared" ref="AS25:BC25" si="47">AS9+AS13+AS17</f>
        <v>1432.89</v>
      </c>
      <c r="AT25" s="59">
        <f t="shared" si="47"/>
        <v>1404.09</v>
      </c>
      <c r="AU25" s="59">
        <f t="shared" si="47"/>
        <v>1527.5</v>
      </c>
      <c r="AV25" s="59">
        <f t="shared" si="47"/>
        <v>1433.1999999999998</v>
      </c>
      <c r="AW25" s="59">
        <f t="shared" si="47"/>
        <v>1348.4</v>
      </c>
      <c r="AX25" s="59">
        <f t="shared" si="47"/>
        <v>1447.62</v>
      </c>
      <c r="AY25" s="59">
        <f t="shared" si="47"/>
        <v>1616.5800000000002</v>
      </c>
      <c r="AZ25" s="59">
        <f t="shared" si="47"/>
        <v>1686.88</v>
      </c>
      <c r="BA25" s="59">
        <f t="shared" si="47"/>
        <v>1676.0500000000002</v>
      </c>
      <c r="BB25" s="59">
        <f t="shared" si="47"/>
        <v>1690</v>
      </c>
      <c r="BC25" s="59">
        <f t="shared" si="47"/>
        <v>1751.5099999999998</v>
      </c>
      <c r="BD25" s="63">
        <f>BD9+BD13+BD17</f>
        <v>1575.3677322404371</v>
      </c>
      <c r="BE25" s="59">
        <f>BE9+BE13+BE17</f>
        <v>1982.73</v>
      </c>
      <c r="BF25" s="59">
        <f t="shared" ref="BF25:BP25" si="48">BF9+BF13+BF17</f>
        <v>2015.3</v>
      </c>
      <c r="BG25" s="59">
        <f t="shared" si="48"/>
        <v>2059.63</v>
      </c>
      <c r="BH25" s="59">
        <f t="shared" si="48"/>
        <v>2172.19</v>
      </c>
      <c r="BI25" s="59">
        <f t="shared" si="48"/>
        <v>2310.5100000000002</v>
      </c>
      <c r="BJ25" s="59">
        <f t="shared" si="48"/>
        <v>2553.61</v>
      </c>
      <c r="BK25" s="59">
        <f t="shared" si="48"/>
        <v>2564.42</v>
      </c>
      <c r="BL25" s="59">
        <f t="shared" si="48"/>
        <v>2649.1400000000003</v>
      </c>
      <c r="BM25" s="59">
        <f t="shared" si="48"/>
        <v>2652.4400000000005</v>
      </c>
      <c r="BN25" s="59">
        <f t="shared" si="48"/>
        <v>2484.2799999999997</v>
      </c>
      <c r="BO25" s="59">
        <f t="shared" si="48"/>
        <v>2854.55</v>
      </c>
      <c r="BP25" s="59">
        <f t="shared" si="48"/>
        <v>5873.05</v>
      </c>
      <c r="BQ25" s="63">
        <f>BQ9+BQ13+BQ17</f>
        <v>2642.7470136986299</v>
      </c>
      <c r="BR25" s="178"/>
      <c r="BS25" s="59">
        <f>BS9+BS13+BS17</f>
        <v>6773.65</v>
      </c>
      <c r="BT25" s="59">
        <f t="shared" ref="BT25:CD25" si="49">BT9+BT13+BT17</f>
        <v>7171.9681004862159</v>
      </c>
      <c r="BU25" s="59">
        <f t="shared" si="49"/>
        <v>7290.9895867139512</v>
      </c>
      <c r="BV25" s="59">
        <v>7391.7286754772485</v>
      </c>
      <c r="BW25" s="59">
        <f t="shared" si="49"/>
        <v>8158.842784328891</v>
      </c>
      <c r="BX25" s="59">
        <f t="shared" si="49"/>
        <v>8693.5768398434157</v>
      </c>
      <c r="BY25" s="59">
        <f t="shared" si="49"/>
        <v>8769.8189569054739</v>
      </c>
      <c r="BZ25" s="59">
        <f t="shared" si="49"/>
        <v>9124.5574487703161</v>
      </c>
      <c r="CA25" s="59">
        <f t="shared" si="49"/>
        <v>9335.5374724986868</v>
      </c>
      <c r="CB25" s="59">
        <v>9222.8323090286322</v>
      </c>
      <c r="CC25" s="59">
        <f t="shared" si="49"/>
        <v>9644.47155643929</v>
      </c>
      <c r="CD25" s="59">
        <f t="shared" si="49"/>
        <v>10157.846045249731</v>
      </c>
      <c r="CE25" s="63">
        <f>CE9+CE13+CE17</f>
        <v>8485.5594361706299</v>
      </c>
      <c r="CF25" s="178"/>
      <c r="CG25" s="59">
        <f>CG9+CG13+CG17</f>
        <v>10295.176991340151</v>
      </c>
      <c r="CH25" s="59">
        <f>CH9+CH13+CH17</f>
        <v>10245.938116696507</v>
      </c>
      <c r="CI25" s="59">
        <f>CI9+CI13+CI17+CI21</f>
        <v>11004.797843953847</v>
      </c>
      <c r="CJ25" s="59">
        <f t="shared" ref="CJ25:CS25" si="50">CJ9+CJ13+CJ17+CJ21</f>
        <v>10580.184250339546</v>
      </c>
      <c r="CK25" s="59">
        <f t="shared" si="50"/>
        <v>10325.478091472607</v>
      </c>
      <c r="CL25" s="59">
        <f t="shared" si="50"/>
        <v>10527.475455720574</v>
      </c>
      <c r="CM25" s="59">
        <f t="shared" si="50"/>
        <v>11152.269442553088</v>
      </c>
      <c r="CN25" s="59">
        <f t="shared" si="50"/>
        <v>11616.640327222905</v>
      </c>
      <c r="CO25" s="59">
        <f t="shared" si="50"/>
        <v>11259.756546490591</v>
      </c>
      <c r="CP25" s="59">
        <f t="shared" si="50"/>
        <v>11059.943330424043</v>
      </c>
      <c r="CQ25" s="59">
        <f t="shared" si="50"/>
        <v>10918.949970248503</v>
      </c>
      <c r="CR25" s="59">
        <f t="shared" si="50"/>
        <v>10463.069903886595</v>
      </c>
      <c r="CS25" s="63">
        <f t="shared" si="50"/>
        <v>10791.550432350492</v>
      </c>
      <c r="CT25" s="178"/>
      <c r="CU25" s="59">
        <f t="shared" si="40"/>
        <v>11207.287028486424</v>
      </c>
      <c r="CV25" s="59">
        <f t="shared" si="40"/>
        <v>10971.280788190759</v>
      </c>
      <c r="CW25" s="59">
        <f t="shared" si="40"/>
        <v>10822.72712462892</v>
      </c>
      <c r="CX25" s="59">
        <f t="shared" ref="CX25:CY25" si="51">CX9+CX13+CX17+CX21</f>
        <v>10901.646356031843</v>
      </c>
      <c r="CY25" s="59">
        <f t="shared" si="51"/>
        <v>11157.690989781597</v>
      </c>
      <c r="CZ25" s="59">
        <f t="shared" si="41"/>
        <v>11171.651699221211</v>
      </c>
      <c r="DA25" s="59">
        <f t="shared" si="41"/>
        <v>11491.076671181658</v>
      </c>
      <c r="DB25" s="59">
        <f t="shared" ref="DB25:DC25" si="52">DB9+DB13+DB17+DB21</f>
        <v>10873.159655919479</v>
      </c>
      <c r="DC25" s="59">
        <f t="shared" si="52"/>
        <v>11263.545970430832</v>
      </c>
      <c r="DD25" s="59">
        <f t="shared" ref="DD25" si="53">DD9+DD13+DD17+DD21</f>
        <v>11219.941961263154</v>
      </c>
      <c r="DE25" s="59"/>
    </row>
    <row r="26" spans="3:109" ht="15.75" thickBot="1">
      <c r="C26" s="28" t="s">
        <v>94</v>
      </c>
      <c r="D26" s="28"/>
      <c r="E26" s="60">
        <f t="shared" ref="E26:Q26" si="54">SUM(E24:E25)</f>
        <v>4995.0700000000006</v>
      </c>
      <c r="F26" s="60">
        <f t="shared" si="54"/>
        <v>4804.9000000000005</v>
      </c>
      <c r="G26" s="60">
        <f t="shared" si="54"/>
        <v>4639.8599999999988</v>
      </c>
      <c r="H26" s="60">
        <f t="shared" si="54"/>
        <v>4618.04</v>
      </c>
      <c r="I26" s="60">
        <f t="shared" si="54"/>
        <v>4585.8500000000004</v>
      </c>
      <c r="J26" s="60">
        <f t="shared" si="54"/>
        <v>4374.880000000001</v>
      </c>
      <c r="K26" s="60">
        <f t="shared" si="54"/>
        <v>4546.71</v>
      </c>
      <c r="L26" s="60">
        <f t="shared" si="54"/>
        <v>4410.5900000000011</v>
      </c>
      <c r="M26" s="60">
        <f t="shared" si="54"/>
        <v>4434.3700000000008</v>
      </c>
      <c r="N26" s="60">
        <f t="shared" si="54"/>
        <v>4375.9500000000007</v>
      </c>
      <c r="O26" s="60">
        <f t="shared" si="54"/>
        <v>4450.7099999999991</v>
      </c>
      <c r="P26" s="60">
        <f t="shared" si="54"/>
        <v>4505.37</v>
      </c>
      <c r="Q26" s="64">
        <f t="shared" si="54"/>
        <v>4560.8728767123293</v>
      </c>
      <c r="R26" s="60">
        <f t="shared" ref="R26:AD26" si="55">SUM(R24:R25)</f>
        <v>4495.0700000000006</v>
      </c>
      <c r="S26" s="60">
        <f t="shared" si="55"/>
        <v>4626.2100000000009</v>
      </c>
      <c r="T26" s="60">
        <f t="shared" si="55"/>
        <v>4605.53</v>
      </c>
      <c r="U26" s="60">
        <f t="shared" si="55"/>
        <v>4396.5899999999992</v>
      </c>
      <c r="V26" s="60">
        <f t="shared" si="55"/>
        <v>4712.5199999999995</v>
      </c>
      <c r="W26" s="60">
        <f t="shared" si="55"/>
        <v>4860.53</v>
      </c>
      <c r="X26" s="60">
        <f t="shared" si="55"/>
        <v>4767.62</v>
      </c>
      <c r="Y26" s="60">
        <f t="shared" si="55"/>
        <v>4846.68</v>
      </c>
      <c r="Z26" s="60">
        <f t="shared" si="55"/>
        <v>4685.79</v>
      </c>
      <c r="AA26" s="60">
        <f t="shared" si="55"/>
        <v>4449.43</v>
      </c>
      <c r="AB26" s="60">
        <f t="shared" si="55"/>
        <v>4369.4100000000008</v>
      </c>
      <c r="AC26" s="60">
        <f t="shared" si="55"/>
        <v>4925.1899999999996</v>
      </c>
      <c r="AD26" s="64">
        <f t="shared" si="55"/>
        <v>4645.9362191780829</v>
      </c>
      <c r="AE26" s="60">
        <f t="shared" ref="AE26:BP26" si="56">SUM(AE24:AE25)</f>
        <v>4654.7099999999991</v>
      </c>
      <c r="AF26" s="60">
        <f t="shared" si="56"/>
        <v>4594.7</v>
      </c>
      <c r="AG26" s="60">
        <f t="shared" si="56"/>
        <v>4669.99</v>
      </c>
      <c r="AH26" s="60">
        <f t="shared" si="56"/>
        <v>4613.3</v>
      </c>
      <c r="AI26" s="60">
        <f t="shared" si="56"/>
        <v>4424.5399999999991</v>
      </c>
      <c r="AJ26" s="60">
        <f t="shared" si="56"/>
        <v>4333.2700000000004</v>
      </c>
      <c r="AK26" s="60">
        <f t="shared" si="56"/>
        <v>4273.09</v>
      </c>
      <c r="AL26" s="60">
        <f t="shared" si="56"/>
        <v>4403.5200000000004</v>
      </c>
      <c r="AM26" s="60">
        <f t="shared" si="56"/>
        <v>4600.1500000000005</v>
      </c>
      <c r="AN26" s="60">
        <f t="shared" si="56"/>
        <v>4428.34</v>
      </c>
      <c r="AO26" s="60">
        <f t="shared" si="56"/>
        <v>4324.8599999999997</v>
      </c>
      <c r="AP26" s="60">
        <f t="shared" si="56"/>
        <v>4293.4400000000005</v>
      </c>
      <c r="AQ26" s="64">
        <f t="shared" si="56"/>
        <v>4466.7822739726025</v>
      </c>
      <c r="AR26" s="60">
        <f t="shared" ref="AR26:BD26" si="57">SUM(AR24:AR25)</f>
        <v>11450.33</v>
      </c>
      <c r="AS26" s="60">
        <f t="shared" si="57"/>
        <v>11802.779999999999</v>
      </c>
      <c r="AT26" s="60">
        <f t="shared" si="57"/>
        <v>11712.470000000001</v>
      </c>
      <c r="AU26" s="60">
        <f t="shared" si="57"/>
        <v>11504.32</v>
      </c>
      <c r="AV26" s="60">
        <f t="shared" si="57"/>
        <v>10670.11</v>
      </c>
      <c r="AW26" s="60">
        <f t="shared" si="57"/>
        <v>10321.549999999999</v>
      </c>
      <c r="AX26" s="60">
        <f t="shared" si="57"/>
        <v>10717.48</v>
      </c>
      <c r="AY26" s="60">
        <f t="shared" si="57"/>
        <v>10699.960000000001</v>
      </c>
      <c r="AZ26" s="60">
        <f t="shared" si="57"/>
        <v>11027.32</v>
      </c>
      <c r="BA26" s="60">
        <f t="shared" si="57"/>
        <v>11220.509999999998</v>
      </c>
      <c r="BB26" s="60">
        <f t="shared" si="57"/>
        <v>11108.22</v>
      </c>
      <c r="BC26" s="60">
        <f t="shared" si="57"/>
        <v>11540.44</v>
      </c>
      <c r="BD26" s="64">
        <f t="shared" si="57"/>
        <v>11146.101693989069</v>
      </c>
      <c r="BE26" s="60">
        <f t="shared" si="56"/>
        <v>11572.7</v>
      </c>
      <c r="BF26" s="60">
        <f t="shared" si="56"/>
        <v>11634.74</v>
      </c>
      <c r="BG26" s="60">
        <f t="shared" si="56"/>
        <v>11587.14</v>
      </c>
      <c r="BH26" s="60">
        <f t="shared" si="56"/>
        <v>11674.02</v>
      </c>
      <c r="BI26" s="60">
        <f t="shared" si="56"/>
        <v>12073.910000000002</v>
      </c>
      <c r="BJ26" s="60">
        <f t="shared" si="56"/>
        <v>12427.34</v>
      </c>
      <c r="BK26" s="60">
        <f t="shared" si="56"/>
        <v>12041.41</v>
      </c>
      <c r="BL26" s="60">
        <f t="shared" si="56"/>
        <v>12266.93</v>
      </c>
      <c r="BM26" s="60">
        <f t="shared" si="56"/>
        <v>12434.380000000001</v>
      </c>
      <c r="BN26" s="60">
        <f t="shared" si="56"/>
        <v>12152.059999999998</v>
      </c>
      <c r="BO26" s="60">
        <f t="shared" si="56"/>
        <v>12279.490000000002</v>
      </c>
      <c r="BP26" s="60">
        <f t="shared" si="56"/>
        <v>17137.7</v>
      </c>
      <c r="BQ26" s="64">
        <f>SUM(BQ24:BQ25)</f>
        <v>12390.857452054795</v>
      </c>
      <c r="BR26" s="179"/>
      <c r="BS26" s="64">
        <f t="shared" ref="BS26:CD26" si="58">SUM(BS24:BS25)</f>
        <v>18874.632299820965</v>
      </c>
      <c r="BT26" s="64">
        <f t="shared" si="58"/>
        <v>19723.847169843571</v>
      </c>
      <c r="BU26" s="64">
        <f t="shared" si="58"/>
        <v>19791.566569615032</v>
      </c>
      <c r="BV26" s="64">
        <v>19888.395091533344</v>
      </c>
      <c r="BW26" s="64">
        <f t="shared" si="58"/>
        <v>20289.208930445846</v>
      </c>
      <c r="BX26" s="64">
        <f t="shared" si="58"/>
        <v>21415.310815391</v>
      </c>
      <c r="BY26" s="64">
        <f>SUM(BY24:BY25)</f>
        <v>21851.596103041782</v>
      </c>
      <c r="BZ26" s="64">
        <f>SUM(BZ24:BZ25)</f>
        <v>22144.829113792417</v>
      </c>
      <c r="CA26" s="64">
        <f>SUM(CA24:CA25)</f>
        <v>22140.275923913141</v>
      </c>
      <c r="CB26" s="64">
        <v>22624.331405675861</v>
      </c>
      <c r="CC26" s="64">
        <f t="shared" si="58"/>
        <v>23192.102195081367</v>
      </c>
      <c r="CD26" s="64">
        <f t="shared" si="58"/>
        <v>23404.712109584754</v>
      </c>
      <c r="CE26" s="64">
        <f>SUM(CE24:CE25)</f>
        <v>21287.00661376565</v>
      </c>
      <c r="CF26" s="179"/>
      <c r="CG26" s="64">
        <f>SUM(CG24:CG25)</f>
        <v>23674.344380406925</v>
      </c>
      <c r="CH26" s="64">
        <f>SUM(CH24:CH25)</f>
        <v>23375.884946984803</v>
      </c>
      <c r="CI26" s="64">
        <f>SUM(CI24:CI25)</f>
        <v>26095.103339992907</v>
      </c>
      <c r="CJ26" s="64">
        <f t="shared" ref="CJ26:CS26" si="59">SUM(CJ24:CJ25)</f>
        <v>26101.983484082411</v>
      </c>
      <c r="CK26" s="64">
        <f t="shared" si="59"/>
        <v>25466.327809121976</v>
      </c>
      <c r="CL26" s="64">
        <f t="shared" si="59"/>
        <v>26586.42712953276</v>
      </c>
      <c r="CM26" s="64">
        <f t="shared" si="59"/>
        <v>28474.292269536076</v>
      </c>
      <c r="CN26" s="64">
        <f t="shared" si="59"/>
        <v>28211.755831135815</v>
      </c>
      <c r="CO26" s="64">
        <f t="shared" si="59"/>
        <v>27161.547097212057</v>
      </c>
      <c r="CP26" s="64">
        <f t="shared" si="59"/>
        <v>27315.222205684378</v>
      </c>
      <c r="CQ26" s="64">
        <f t="shared" si="59"/>
        <v>25887.506512976586</v>
      </c>
      <c r="CR26" s="64">
        <f t="shared" si="59"/>
        <v>22985.201005603609</v>
      </c>
      <c r="CS26" s="64">
        <f t="shared" si="59"/>
        <v>25960.37906113869</v>
      </c>
      <c r="CT26" s="179"/>
      <c r="CU26" s="64">
        <f>SUM(CU24:CU25)</f>
        <v>27236.325237934339</v>
      </c>
      <c r="CV26" s="64">
        <f>SUM(CV24:CV25)</f>
        <v>26255.09357021586</v>
      </c>
      <c r="CW26" s="64">
        <f>SUM(CW24:CW25)</f>
        <v>25645.443188688831</v>
      </c>
      <c r="CX26" s="64">
        <f>SUM(CX24:CX25)</f>
        <v>25876.056697714688</v>
      </c>
      <c r="CY26" s="64">
        <f t="shared" ref="CY26:DD26" si="60">SUM(CY24:CY25)</f>
        <v>26018.605112570582</v>
      </c>
      <c r="CZ26" s="64">
        <f t="shared" si="60"/>
        <v>26930.23520644501</v>
      </c>
      <c r="DA26" s="64">
        <f t="shared" si="60"/>
        <v>26882.761533278281</v>
      </c>
      <c r="DB26" s="64">
        <f t="shared" ref="DB26:DC26" si="61">SUM(DB24:DB25)</f>
        <v>25687.83497483996</v>
      </c>
      <c r="DC26" s="64">
        <f t="shared" si="61"/>
        <v>26550.250157092552</v>
      </c>
      <c r="DD26" s="64">
        <f t="shared" si="60"/>
        <v>26796.068808851411</v>
      </c>
      <c r="DE26" s="64"/>
    </row>
    <row r="27" spans="3:109">
      <c r="BV27" s="25"/>
      <c r="BW27" s="25"/>
      <c r="BX27" s="25"/>
      <c r="CZ27" s="338"/>
    </row>
    <row r="28" spans="3:109">
      <c r="C28" s="101" t="s">
        <v>1046</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E28" s="101"/>
      <c r="CF28" s="71"/>
      <c r="CG28" s="71"/>
      <c r="CH28" s="71"/>
      <c r="CI28" s="71"/>
      <c r="CJ28" s="71"/>
      <c r="CK28" s="71"/>
      <c r="CL28" s="71"/>
      <c r="CM28" s="71"/>
      <c r="CN28" s="71"/>
      <c r="CO28" s="71"/>
      <c r="CP28" s="71"/>
      <c r="CQ28" s="71"/>
      <c r="CR28" s="71"/>
      <c r="CS28" s="71"/>
      <c r="CT28" s="71"/>
      <c r="CU28" s="71"/>
      <c r="CV28" s="71"/>
      <c r="CW28" s="71"/>
      <c r="CX28" s="71"/>
      <c r="CY28" s="71"/>
      <c r="CZ28" s="25"/>
      <c r="DA28" s="71"/>
    </row>
    <row r="29" spans="3:109">
      <c r="C29" s="101" t="s">
        <v>1045</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71"/>
      <c r="CG29" s="71"/>
      <c r="CH29" s="71"/>
      <c r="CI29" s="71"/>
      <c r="CJ29" s="71"/>
      <c r="CK29" s="71"/>
      <c r="CL29" s="71"/>
      <c r="CM29" s="71"/>
      <c r="CN29" s="71"/>
      <c r="CO29" s="71"/>
      <c r="CP29" s="71"/>
      <c r="CQ29" s="71"/>
      <c r="CR29" s="71"/>
      <c r="CS29" s="71"/>
      <c r="CT29" s="71"/>
      <c r="CU29" s="71"/>
      <c r="CV29" s="71"/>
      <c r="CW29" s="71"/>
      <c r="CX29" s="71"/>
      <c r="CY29" s="71"/>
      <c r="CZ29" s="71"/>
      <c r="DA29" s="71"/>
    </row>
    <row r="30" spans="3:109">
      <c r="CZ30" s="71"/>
    </row>
  </sheetData>
  <pageMargins left="0.511811024" right="0.511811024" top="0.78740157499999996" bottom="0.78740157499999996" header="0.31496062000000002" footer="0.31496062000000002"/>
  <pageSetup paperSize="9" orientation="portrait" r:id="rId1"/>
  <ignoredErrors>
    <ignoredError sqref="E10:P10 R10:BD10" formula="1"/>
    <ignoredError sqref="Q10" formula="1" formulaRange="1"/>
    <ignoredError sqref="Q9 Q11 Q13:Q17" formulaRange="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765A4-137A-49CE-944B-07AAB1540894}">
  <dimension ref="B1:AI64"/>
  <sheetViews>
    <sheetView showGridLines="0" workbookViewId="0">
      <pane xSplit="3" ySplit="5" topLeftCell="I23" activePane="bottomRight" state="frozen"/>
      <selection pane="topRight"/>
      <selection pane="bottomLeft"/>
      <selection pane="bottomRight"/>
    </sheetView>
  </sheetViews>
  <sheetFormatPr defaultRowHeight="15" outlineLevelRow="1"/>
  <cols>
    <col min="1" max="1" width="1.85546875" customWidth="1"/>
    <col min="2" max="2" width="1.28515625" style="3" customWidth="1"/>
    <col min="3" max="3" width="31.85546875" customWidth="1"/>
    <col min="4" max="4" width="9.7109375" bestFit="1" customWidth="1"/>
    <col min="10" max="10" width="9.7109375" bestFit="1" customWidth="1"/>
    <col min="18" max="32" width="9.140625" customWidth="1"/>
    <col min="34" max="34" width="9.5703125" bestFit="1" customWidth="1"/>
  </cols>
  <sheetData>
    <row r="1" spans="2:33" s="3" customFormat="1" ht="9" customHeight="1">
      <c r="D1" s="18"/>
      <c r="F1" s="18"/>
      <c r="G1" s="18"/>
      <c r="H1" s="18"/>
      <c r="I1" s="18"/>
    </row>
    <row r="2" spans="2:33" s="3" customFormat="1" ht="18.75">
      <c r="D2" s="186" t="s">
        <v>777</v>
      </c>
      <c r="E2" s="140"/>
      <c r="F2" s="140"/>
      <c r="G2" s="140"/>
      <c r="H2" s="140"/>
      <c r="I2" s="140"/>
      <c r="J2" s="140"/>
      <c r="K2" s="140"/>
      <c r="L2" s="140"/>
      <c r="M2" s="18"/>
      <c r="N2" s="18"/>
      <c r="P2" s="18"/>
      <c r="Q2" s="18"/>
      <c r="R2" s="18"/>
      <c r="S2" s="18"/>
      <c r="T2" s="18"/>
      <c r="U2" s="18"/>
      <c r="V2" s="18"/>
      <c r="W2" s="18"/>
      <c r="X2" s="18"/>
      <c r="Y2" s="18"/>
      <c r="Z2" s="18"/>
      <c r="AA2" s="18"/>
      <c r="AB2" s="18"/>
      <c r="AC2" s="18"/>
      <c r="AD2" s="18"/>
      <c r="AE2" s="18"/>
      <c r="AF2" s="18"/>
      <c r="AG2" s="18"/>
    </row>
    <row r="3" spans="2:33" s="3" customFormat="1" ht="12.75">
      <c r="D3" s="44" t="s">
        <v>1179</v>
      </c>
      <c r="G3" s="18"/>
      <c r="H3" s="18"/>
      <c r="I3" s="18"/>
      <c r="J3" s="18"/>
      <c r="K3" s="18"/>
      <c r="L3" s="18"/>
      <c r="M3" s="18"/>
      <c r="N3" s="18"/>
      <c r="O3" s="18"/>
      <c r="P3" s="18"/>
      <c r="Q3" s="18"/>
      <c r="R3" s="18"/>
      <c r="S3" s="18"/>
      <c r="T3" s="18"/>
      <c r="U3" s="18"/>
      <c r="V3" s="18"/>
      <c r="W3" s="18"/>
      <c r="X3" s="18"/>
      <c r="Y3" s="18"/>
      <c r="Z3" s="18"/>
      <c r="AA3" s="18"/>
      <c r="AB3" s="18"/>
      <c r="AC3" s="18"/>
      <c r="AD3" s="18"/>
      <c r="AE3" s="18"/>
      <c r="AF3" s="18"/>
      <c r="AG3" s="18"/>
    </row>
    <row r="5" spans="2:33" ht="17.25">
      <c r="C5" s="184" t="s">
        <v>974</v>
      </c>
      <c r="D5" s="2">
        <f>2024</f>
        <v>2024</v>
      </c>
      <c r="E5" s="2">
        <f t="shared" ref="E5:AF5" si="0">D5+1</f>
        <v>2025</v>
      </c>
      <c r="F5" s="2">
        <f t="shared" si="0"/>
        <v>2026</v>
      </c>
      <c r="G5" s="2">
        <f t="shared" si="0"/>
        <v>2027</v>
      </c>
      <c r="H5" s="2">
        <f t="shared" si="0"/>
        <v>2028</v>
      </c>
      <c r="I5" s="2">
        <f t="shared" si="0"/>
        <v>2029</v>
      </c>
      <c r="J5" s="2">
        <f t="shared" si="0"/>
        <v>2030</v>
      </c>
      <c r="K5" s="2">
        <f t="shared" si="0"/>
        <v>2031</v>
      </c>
      <c r="L5" s="2">
        <f t="shared" si="0"/>
        <v>2032</v>
      </c>
      <c r="M5" s="2">
        <f t="shared" si="0"/>
        <v>2033</v>
      </c>
      <c r="N5" s="2">
        <f t="shared" si="0"/>
        <v>2034</v>
      </c>
      <c r="O5" s="2">
        <f t="shared" si="0"/>
        <v>2035</v>
      </c>
      <c r="P5" s="2">
        <f t="shared" si="0"/>
        <v>2036</v>
      </c>
      <c r="Q5" s="2">
        <f t="shared" si="0"/>
        <v>2037</v>
      </c>
      <c r="R5" s="2">
        <f t="shared" si="0"/>
        <v>2038</v>
      </c>
      <c r="S5" s="2">
        <f t="shared" si="0"/>
        <v>2039</v>
      </c>
      <c r="T5" s="2">
        <f t="shared" si="0"/>
        <v>2040</v>
      </c>
      <c r="U5" s="2">
        <f t="shared" si="0"/>
        <v>2041</v>
      </c>
      <c r="V5" s="2">
        <f t="shared" si="0"/>
        <v>2042</v>
      </c>
      <c r="W5" s="2">
        <f t="shared" si="0"/>
        <v>2043</v>
      </c>
      <c r="X5" s="2">
        <f t="shared" si="0"/>
        <v>2044</v>
      </c>
      <c r="Y5" s="2">
        <f t="shared" si="0"/>
        <v>2045</v>
      </c>
      <c r="Z5" s="2">
        <f t="shared" si="0"/>
        <v>2046</v>
      </c>
      <c r="AA5" s="2">
        <f t="shared" si="0"/>
        <v>2047</v>
      </c>
      <c r="AB5" s="2">
        <f t="shared" si="0"/>
        <v>2048</v>
      </c>
      <c r="AC5" s="2">
        <f t="shared" si="0"/>
        <v>2049</v>
      </c>
      <c r="AD5" s="2">
        <f t="shared" si="0"/>
        <v>2050</v>
      </c>
      <c r="AE5" s="2">
        <f t="shared" si="0"/>
        <v>2051</v>
      </c>
      <c r="AF5" s="2">
        <f t="shared" si="0"/>
        <v>2052</v>
      </c>
      <c r="AG5" s="2" t="s">
        <v>650</v>
      </c>
    </row>
    <row r="6" spans="2:33" ht="5.25" customHeight="1"/>
    <row r="7" spans="2:33">
      <c r="B7" s="107" t="s">
        <v>774</v>
      </c>
    </row>
    <row r="8" spans="2:33" ht="5.25" customHeight="1" outlineLevel="1" thickBot="1"/>
    <row r="9" spans="2:33" ht="16.5" outlineLevel="1" thickTop="1" thickBot="1">
      <c r="C9" s="10" t="s">
        <v>771</v>
      </c>
      <c r="D9" s="108">
        <v>2.3549639286799207</v>
      </c>
      <c r="E9" s="108">
        <v>2.6321957095085162</v>
      </c>
      <c r="F9" s="108">
        <v>2.7805200962056977</v>
      </c>
      <c r="G9" s="108">
        <v>2.8251591550953554</v>
      </c>
      <c r="H9" s="108">
        <v>2.9860628855226867</v>
      </c>
      <c r="I9" s="108">
        <v>2.8746614636505217</v>
      </c>
      <c r="J9" s="108">
        <v>2.7216941008479552</v>
      </c>
      <c r="K9" s="108">
        <v>2.6065891883355272</v>
      </c>
      <c r="L9" s="108">
        <v>2.3037367366236685</v>
      </c>
      <c r="M9" s="108">
        <v>2.0169591157037927</v>
      </c>
      <c r="N9" s="108">
        <v>1.7694897289234166</v>
      </c>
      <c r="O9" s="108">
        <v>1.5557241195983074</v>
      </c>
      <c r="P9" s="108">
        <v>1.3580557669605695</v>
      </c>
      <c r="Q9" s="108">
        <v>1.1936720048586198</v>
      </c>
      <c r="R9" s="108">
        <v>1.0480118816810882</v>
      </c>
      <c r="S9" s="108">
        <v>0.8185656310877899</v>
      </c>
      <c r="T9" s="108">
        <v>0.58177114359071014</v>
      </c>
      <c r="U9" s="108">
        <v>0.33685461384299986</v>
      </c>
      <c r="V9" s="108">
        <v>0.29865080973199998</v>
      </c>
      <c r="W9" s="108">
        <v>0.27009988143540004</v>
      </c>
      <c r="X9" s="108">
        <v>0.24405972375779994</v>
      </c>
      <c r="Y9" s="108">
        <v>0.22404603144449994</v>
      </c>
      <c r="Z9" s="108">
        <v>0.20120805543430004</v>
      </c>
      <c r="AA9" s="108">
        <v>0.18093689278260003</v>
      </c>
      <c r="AB9" s="108">
        <v>0.16288167400740022</v>
      </c>
      <c r="AC9" s="108">
        <v>0.14731358226879998</v>
      </c>
      <c r="AD9" s="108">
        <v>0.13342079194980008</v>
      </c>
      <c r="AE9" s="108">
        <v>0.11874993707870005</v>
      </c>
      <c r="AF9" s="108">
        <v>1.8455252123900076E-2</v>
      </c>
      <c r="AG9" s="108">
        <f>SUM(D9:AF9)</f>
        <v>36.76450990273235</v>
      </c>
    </row>
    <row r="10" spans="2:33" ht="16.5" outlineLevel="1" thickTop="1" thickBot="1">
      <c r="C10" s="10" t="s">
        <v>772</v>
      </c>
      <c r="D10" s="109">
        <v>2.6952650144555994</v>
      </c>
      <c r="E10" s="109">
        <v>3.0757061708969835</v>
      </c>
      <c r="F10" s="109">
        <v>3.2839142907448493</v>
      </c>
      <c r="G10" s="109">
        <v>3.4060029533764173</v>
      </c>
      <c r="H10" s="109">
        <v>3.8281989507863341</v>
      </c>
      <c r="I10" s="109">
        <v>3.6412779132438668</v>
      </c>
      <c r="J10" s="109">
        <v>3.2717179511072669</v>
      </c>
      <c r="K10" s="109">
        <v>2.9443968656748662</v>
      </c>
      <c r="L10" s="109">
        <v>2.5812693623769172</v>
      </c>
      <c r="M10" s="109">
        <v>2.2691787328722004</v>
      </c>
      <c r="N10" s="109">
        <v>2.0003482002064494</v>
      </c>
      <c r="O10" s="109">
        <v>1.7698979519782836</v>
      </c>
      <c r="P10" s="109">
        <v>1.5672761976051668</v>
      </c>
      <c r="Q10" s="109">
        <v>1.3876134904464168</v>
      </c>
      <c r="R10" s="109">
        <v>1.231505925871633</v>
      </c>
      <c r="S10" s="109">
        <v>1.0816237605008503</v>
      </c>
      <c r="T10" s="109">
        <v>0.94964924962594977</v>
      </c>
      <c r="U10" s="109">
        <v>0.82937164138515018</v>
      </c>
      <c r="V10" s="109">
        <v>0.73589232343324995</v>
      </c>
      <c r="W10" s="109">
        <v>0.65893525200031644</v>
      </c>
      <c r="X10" s="109">
        <v>0.58643350140451678</v>
      </c>
      <c r="Y10" s="109">
        <v>0.5181984158652001</v>
      </c>
      <c r="Z10" s="109">
        <v>0.45285959999006692</v>
      </c>
      <c r="AA10" s="109">
        <v>0.40620778722695006</v>
      </c>
      <c r="AB10" s="109">
        <v>0.36673506189598326</v>
      </c>
      <c r="AC10" s="109">
        <v>0.3321013854246167</v>
      </c>
      <c r="AD10" s="109">
        <v>0.30112858141184989</v>
      </c>
      <c r="AE10" s="109">
        <v>0.2728384082367834</v>
      </c>
      <c r="AF10" s="109">
        <v>4.2857496230966512E-2</v>
      </c>
      <c r="AG10" s="109">
        <f>SUM(D10:AF10)</f>
        <v>46.488402436275706</v>
      </c>
    </row>
    <row r="11" spans="2:33" ht="15.75" outlineLevel="1" thickBot="1">
      <c r="C11" s="28" t="s">
        <v>1178</v>
      </c>
      <c r="D11" s="42">
        <f>SUM(D9:D10)</f>
        <v>5.0502289431355205</v>
      </c>
      <c r="E11" s="42">
        <f t="shared" ref="E11:AD11" si="1">SUM(E9:E10)</f>
        <v>5.7079018804054993</v>
      </c>
      <c r="F11" s="42">
        <f t="shared" si="1"/>
        <v>6.0644343869505466</v>
      </c>
      <c r="G11" s="42">
        <f t="shared" si="1"/>
        <v>6.2311621084717732</v>
      </c>
      <c r="H11" s="42">
        <f t="shared" si="1"/>
        <v>6.8142618363090204</v>
      </c>
      <c r="I11" s="42">
        <f t="shared" si="1"/>
        <v>6.515939376894389</v>
      </c>
      <c r="J11" s="42">
        <f t="shared" si="1"/>
        <v>5.9934120519552216</v>
      </c>
      <c r="K11" s="42">
        <f t="shared" si="1"/>
        <v>5.5509860540103935</v>
      </c>
      <c r="L11" s="42">
        <f t="shared" si="1"/>
        <v>4.8850060990005861</v>
      </c>
      <c r="M11" s="42">
        <f t="shared" si="1"/>
        <v>4.2861378485759936</v>
      </c>
      <c r="N11" s="42">
        <f t="shared" si="1"/>
        <v>3.7698379291298663</v>
      </c>
      <c r="O11" s="42">
        <f t="shared" si="1"/>
        <v>3.325622071576591</v>
      </c>
      <c r="P11" s="42">
        <f t="shared" si="1"/>
        <v>2.9253319645657365</v>
      </c>
      <c r="Q11" s="42">
        <f t="shared" si="1"/>
        <v>2.5812854953050364</v>
      </c>
      <c r="R11" s="42">
        <f t="shared" si="1"/>
        <v>2.2795178075527209</v>
      </c>
      <c r="S11" s="42">
        <f t="shared" si="1"/>
        <v>1.9001893915886403</v>
      </c>
      <c r="T11" s="42">
        <f t="shared" si="1"/>
        <v>1.5314203932166599</v>
      </c>
      <c r="U11" s="42">
        <f t="shared" si="1"/>
        <v>1.1662262552281502</v>
      </c>
      <c r="V11" s="42">
        <f t="shared" si="1"/>
        <v>1.0345431331652499</v>
      </c>
      <c r="W11" s="42">
        <f t="shared" si="1"/>
        <v>0.92903513343571653</v>
      </c>
      <c r="X11" s="42">
        <f t="shared" si="1"/>
        <v>0.83049322516231672</v>
      </c>
      <c r="Y11" s="42">
        <f t="shared" si="1"/>
        <v>0.74224444730970007</v>
      </c>
      <c r="Z11" s="42">
        <f t="shared" si="1"/>
        <v>0.65406765542436696</v>
      </c>
      <c r="AA11" s="42">
        <f t="shared" si="1"/>
        <v>0.58714468000955011</v>
      </c>
      <c r="AB11" s="42">
        <f t="shared" si="1"/>
        <v>0.52961673590338343</v>
      </c>
      <c r="AC11" s="42">
        <f t="shared" si="1"/>
        <v>0.47941496769341668</v>
      </c>
      <c r="AD11" s="42">
        <f t="shared" si="1"/>
        <v>0.43454937336165</v>
      </c>
      <c r="AE11" s="42">
        <f>SUM(AE9:AE10)</f>
        <v>0.39158834531548348</v>
      </c>
      <c r="AF11" s="42">
        <f>SUM(AF9:AF10)</f>
        <v>6.1312748354866588E-2</v>
      </c>
      <c r="AG11" s="42">
        <f>SUM(D11:AF11)</f>
        <v>83.252912339008049</v>
      </c>
    </row>
    <row r="12" spans="2:33" ht="5.25" customHeight="1" outlineLevel="1" thickBot="1"/>
    <row r="13" spans="2:33" ht="16.5" outlineLevel="1" thickTop="1" thickBot="1">
      <c r="C13" s="10" t="s">
        <v>771</v>
      </c>
      <c r="D13" s="108">
        <v>3.5097714283660806</v>
      </c>
      <c r="E13" s="108">
        <v>3.2854513454979304</v>
      </c>
      <c r="F13" s="108">
        <v>3.549845129838868</v>
      </c>
      <c r="G13" s="108">
        <v>3.6098042042855472</v>
      </c>
      <c r="H13" s="108">
        <v>3.1972189524713057</v>
      </c>
      <c r="I13" s="108">
        <v>2.8411287052936549</v>
      </c>
      <c r="J13" s="108">
        <v>2.4930883189260884</v>
      </c>
      <c r="K13" s="108">
        <v>2.220364058834277</v>
      </c>
      <c r="L13" s="108">
        <v>1.948201790848932</v>
      </c>
      <c r="M13" s="108">
        <v>1.7212196660307473</v>
      </c>
      <c r="N13" s="108">
        <v>1.5248630118892315</v>
      </c>
      <c r="O13" s="108">
        <v>1.3303758845579579</v>
      </c>
      <c r="P13" s="108">
        <v>1.1673775126857309</v>
      </c>
      <c r="Q13" s="108">
        <v>1.0490755877147153</v>
      </c>
      <c r="R13" s="108">
        <v>0.94089544014848836</v>
      </c>
      <c r="S13" s="108">
        <v>0.84320151493964046</v>
      </c>
      <c r="T13" s="108">
        <v>0.75784391879826285</v>
      </c>
      <c r="U13" s="108">
        <v>0.68085480073971216</v>
      </c>
      <c r="V13" s="108">
        <v>0.60173357353327606</v>
      </c>
      <c r="W13" s="108">
        <v>0.53879799199878464</v>
      </c>
      <c r="X13" s="108">
        <v>0.47631790040546307</v>
      </c>
      <c r="Y13" s="108">
        <v>0.30256068447364703</v>
      </c>
      <c r="Z13" s="108">
        <v>3.2695291359089128E-2</v>
      </c>
      <c r="AA13" s="108">
        <v>2.6125012149798212E-2</v>
      </c>
      <c r="AB13" s="108">
        <v>0</v>
      </c>
      <c r="AC13" s="108">
        <v>0</v>
      </c>
      <c r="AD13" s="108">
        <v>0</v>
      </c>
      <c r="AE13" s="108">
        <v>0</v>
      </c>
      <c r="AF13" s="108">
        <v>0</v>
      </c>
      <c r="AG13" s="108">
        <f>SUM(D13:AF13)</f>
        <v>38.648811725787233</v>
      </c>
    </row>
    <row r="14" spans="2:33" ht="16.5" outlineLevel="1" thickTop="1" thickBot="1">
      <c r="C14" s="10" t="s">
        <v>772</v>
      </c>
      <c r="D14" s="109">
        <v>1.5442593328605851</v>
      </c>
      <c r="E14" s="109">
        <v>1.4468892690186073</v>
      </c>
      <c r="F14" s="109">
        <v>1.5287769384087841</v>
      </c>
      <c r="G14" s="109">
        <v>1.4989597507040191</v>
      </c>
      <c r="H14" s="109">
        <v>1.2612098505801412</v>
      </c>
      <c r="I14" s="109">
        <v>1.0873615440498341</v>
      </c>
      <c r="J14" s="109">
        <v>0.92868546226166926</v>
      </c>
      <c r="K14" s="109">
        <v>0.80969272473099962</v>
      </c>
      <c r="L14" s="109">
        <v>0.70910586490677496</v>
      </c>
      <c r="M14" s="109">
        <v>0.62720138215985421</v>
      </c>
      <c r="N14" s="109">
        <v>0.55774833469840102</v>
      </c>
      <c r="O14" s="109">
        <v>0.49885416851123499</v>
      </c>
      <c r="P14" s="109">
        <v>0.44761636249485415</v>
      </c>
      <c r="Q14" s="109">
        <v>0.4022181515245154</v>
      </c>
      <c r="R14" s="109">
        <v>0.36125967618018939</v>
      </c>
      <c r="S14" s="109">
        <v>0.3257531870426823</v>
      </c>
      <c r="T14" s="109">
        <v>0.29437665238307426</v>
      </c>
      <c r="U14" s="109">
        <v>0.26675812691168482</v>
      </c>
      <c r="V14" s="109">
        <v>0.24201486544196049</v>
      </c>
      <c r="W14" s="109">
        <v>0.21954305516695388</v>
      </c>
      <c r="X14" s="109">
        <v>0.19837530653457883</v>
      </c>
      <c r="Y14" s="109">
        <v>0.12338970652979969</v>
      </c>
      <c r="Z14" s="109">
        <v>5.8489136735657317E-3</v>
      </c>
      <c r="AA14" s="109">
        <v>4.7564004228679811E-3</v>
      </c>
      <c r="AB14" s="109">
        <v>0</v>
      </c>
      <c r="AC14" s="109">
        <v>0</v>
      </c>
      <c r="AD14" s="109">
        <v>0</v>
      </c>
      <c r="AE14" s="109">
        <v>0</v>
      </c>
      <c r="AF14" s="109">
        <v>0</v>
      </c>
      <c r="AG14" s="109">
        <f>SUM(D14:AF14)</f>
        <v>15.390655027197628</v>
      </c>
    </row>
    <row r="15" spans="2:33" ht="15.75" outlineLevel="1" thickBot="1">
      <c r="C15" s="28" t="s">
        <v>39</v>
      </c>
      <c r="D15" s="42">
        <f t="shared" ref="D15:P15" si="2">SUM(D13:D14)</f>
        <v>5.0540307612266657</v>
      </c>
      <c r="E15" s="42">
        <f t="shared" si="2"/>
        <v>4.7323406145165379</v>
      </c>
      <c r="F15" s="42">
        <f t="shared" si="2"/>
        <v>5.0786220682476522</v>
      </c>
      <c r="G15" s="42">
        <f t="shared" si="2"/>
        <v>5.1087639549895663</v>
      </c>
      <c r="H15" s="42">
        <f t="shared" si="2"/>
        <v>4.4584288030514472</v>
      </c>
      <c r="I15" s="42">
        <f t="shared" si="2"/>
        <v>3.928490249343489</v>
      </c>
      <c r="J15" s="42">
        <f t="shared" si="2"/>
        <v>3.4217737811877575</v>
      </c>
      <c r="K15" s="42">
        <f t="shared" si="2"/>
        <v>3.0300567835652767</v>
      </c>
      <c r="L15" s="42">
        <f t="shared" si="2"/>
        <v>2.6573076557557069</v>
      </c>
      <c r="M15" s="42">
        <f t="shared" si="2"/>
        <v>2.3484210481906014</v>
      </c>
      <c r="N15" s="42">
        <f t="shared" si="2"/>
        <v>2.0826113465876324</v>
      </c>
      <c r="O15" s="42">
        <f t="shared" si="2"/>
        <v>1.829230053069193</v>
      </c>
      <c r="P15" s="42">
        <f t="shared" si="2"/>
        <v>1.614993875180585</v>
      </c>
      <c r="Q15" s="42">
        <f t="shared" ref="Q15:AD15" si="3">SUM(Q13:Q14)</f>
        <v>1.4512937392392307</v>
      </c>
      <c r="R15" s="42">
        <f t="shared" si="3"/>
        <v>1.3021551163286778</v>
      </c>
      <c r="S15" s="42">
        <f t="shared" si="3"/>
        <v>1.1689547019823228</v>
      </c>
      <c r="T15" s="42">
        <f t="shared" si="3"/>
        <v>1.052220571181337</v>
      </c>
      <c r="U15" s="42">
        <f t="shared" si="3"/>
        <v>0.94761292765139693</v>
      </c>
      <c r="V15" s="42">
        <f t="shared" si="3"/>
        <v>0.84374843897523655</v>
      </c>
      <c r="W15" s="42">
        <f t="shared" si="3"/>
        <v>0.75834104716573858</v>
      </c>
      <c r="X15" s="42">
        <f t="shared" si="3"/>
        <v>0.67469320694004187</v>
      </c>
      <c r="Y15" s="42">
        <f t="shared" si="3"/>
        <v>0.42595039100344673</v>
      </c>
      <c r="Z15" s="42">
        <f t="shared" si="3"/>
        <v>3.8544205032654863E-2</v>
      </c>
      <c r="AA15" s="42">
        <f t="shared" si="3"/>
        <v>3.0881412572666193E-2</v>
      </c>
      <c r="AB15" s="42">
        <f t="shared" si="3"/>
        <v>0</v>
      </c>
      <c r="AC15" s="42">
        <f t="shared" si="3"/>
        <v>0</v>
      </c>
      <c r="AD15" s="42">
        <f t="shared" si="3"/>
        <v>0</v>
      </c>
      <c r="AE15" s="42">
        <f>SUM(AE13:AE14)</f>
        <v>0</v>
      </c>
      <c r="AF15" s="42">
        <f>SUM(AF13:AF14)</f>
        <v>0</v>
      </c>
      <c r="AG15" s="42">
        <f>SUM(D15:AF15)</f>
        <v>54.039466752984879</v>
      </c>
    </row>
    <row r="16" spans="2:33" ht="5.25" customHeight="1" outlineLevel="1" thickBot="1"/>
    <row r="17" spans="2:34" ht="15.75" thickTop="1">
      <c r="C17" s="10" t="s">
        <v>771</v>
      </c>
      <c r="D17" s="110">
        <f>D9+D13</f>
        <v>5.8647353570460012</v>
      </c>
      <c r="E17" s="110">
        <f t="shared" ref="E17:AF17" si="4">E9+E13</f>
        <v>5.9176470550064462</v>
      </c>
      <c r="F17" s="110">
        <f t="shared" si="4"/>
        <v>6.3303652260445658</v>
      </c>
      <c r="G17" s="110">
        <f t="shared" si="4"/>
        <v>6.4349633593809026</v>
      </c>
      <c r="H17" s="110">
        <f t="shared" si="4"/>
        <v>6.1832818379939924</v>
      </c>
      <c r="I17" s="110">
        <f t="shared" si="4"/>
        <v>5.7157901689441761</v>
      </c>
      <c r="J17" s="110">
        <f t="shared" si="4"/>
        <v>5.2147824197740436</v>
      </c>
      <c r="K17" s="110">
        <f t="shared" si="4"/>
        <v>4.8269532471698042</v>
      </c>
      <c r="L17" s="110">
        <f t="shared" si="4"/>
        <v>4.2519385274726007</v>
      </c>
      <c r="M17" s="110">
        <f>M9+M13</f>
        <v>3.7381787817345398</v>
      </c>
      <c r="N17" s="110">
        <f t="shared" si="4"/>
        <v>3.2943527408126481</v>
      </c>
      <c r="O17" s="110">
        <f t="shared" si="4"/>
        <v>2.8861000041562654</v>
      </c>
      <c r="P17" s="110">
        <f t="shared" si="4"/>
        <v>2.5254332796463004</v>
      </c>
      <c r="Q17" s="110">
        <f t="shared" si="4"/>
        <v>2.2427475925733349</v>
      </c>
      <c r="R17" s="110">
        <f t="shared" si="4"/>
        <v>1.9889073218295765</v>
      </c>
      <c r="S17" s="110">
        <f t="shared" si="4"/>
        <v>1.6617671460274304</v>
      </c>
      <c r="T17" s="110">
        <f t="shared" si="4"/>
        <v>1.3396150623889729</v>
      </c>
      <c r="U17" s="110">
        <f t="shared" si="4"/>
        <v>1.0177094145827121</v>
      </c>
      <c r="V17" s="110">
        <f t="shared" si="4"/>
        <v>0.90038438326527603</v>
      </c>
      <c r="W17" s="110">
        <f t="shared" si="4"/>
        <v>0.80889787343418473</v>
      </c>
      <c r="X17" s="110">
        <f t="shared" si="4"/>
        <v>0.72037762416326301</v>
      </c>
      <c r="Y17" s="110">
        <f t="shared" si="4"/>
        <v>0.52660671591814701</v>
      </c>
      <c r="Z17" s="110">
        <f t="shared" si="4"/>
        <v>0.23390334679338917</v>
      </c>
      <c r="AA17" s="110">
        <f t="shared" si="4"/>
        <v>0.20706190493239823</v>
      </c>
      <c r="AB17" s="110">
        <f t="shared" si="4"/>
        <v>0.16288167400740022</v>
      </c>
      <c r="AC17" s="110">
        <f t="shared" si="4"/>
        <v>0.14731358226879998</v>
      </c>
      <c r="AD17" s="110">
        <f t="shared" si="4"/>
        <v>0.13342079194980008</v>
      </c>
      <c r="AE17" s="110">
        <f t="shared" si="4"/>
        <v>0.11874993707870005</v>
      </c>
      <c r="AF17" s="110">
        <f t="shared" si="4"/>
        <v>1.8455252123900076E-2</v>
      </c>
      <c r="AG17" s="110">
        <f>SUM(D17:AF17)</f>
        <v>75.413321628519569</v>
      </c>
    </row>
    <row r="18" spans="2:34" ht="15.75" thickBot="1">
      <c r="C18" s="10" t="s">
        <v>772</v>
      </c>
      <c r="D18" s="109">
        <f>D10+D14</f>
        <v>4.2395243473161841</v>
      </c>
      <c r="E18" s="109">
        <f t="shared" ref="E18:AF18" si="5">E10+E14</f>
        <v>4.522595439915591</v>
      </c>
      <c r="F18" s="109">
        <f t="shared" si="5"/>
        <v>4.8126912291536339</v>
      </c>
      <c r="G18" s="109">
        <f t="shared" si="5"/>
        <v>4.904962704080436</v>
      </c>
      <c r="H18" s="109">
        <f t="shared" si="5"/>
        <v>5.0894088013664751</v>
      </c>
      <c r="I18" s="109">
        <f t="shared" si="5"/>
        <v>4.7286394572937009</v>
      </c>
      <c r="J18" s="109">
        <f t="shared" si="5"/>
        <v>4.2004034133689361</v>
      </c>
      <c r="K18" s="109">
        <f t="shared" si="5"/>
        <v>3.754089590405866</v>
      </c>
      <c r="L18" s="109">
        <f t="shared" si="5"/>
        <v>3.2903752272836924</v>
      </c>
      <c r="M18" s="109">
        <f t="shared" si="5"/>
        <v>2.8963801150320547</v>
      </c>
      <c r="N18" s="109">
        <f t="shared" si="5"/>
        <v>2.5580965349048506</v>
      </c>
      <c r="O18" s="109">
        <f t="shared" si="5"/>
        <v>2.2687521204895185</v>
      </c>
      <c r="P18" s="109">
        <f t="shared" si="5"/>
        <v>2.0148925601000212</v>
      </c>
      <c r="Q18" s="109">
        <f t="shared" si="5"/>
        <v>1.7898316419709321</v>
      </c>
      <c r="R18" s="109">
        <f t="shared" si="5"/>
        <v>1.5927656020518224</v>
      </c>
      <c r="S18" s="109">
        <f t="shared" si="5"/>
        <v>1.4073769475435327</v>
      </c>
      <c r="T18" s="109">
        <f t="shared" si="5"/>
        <v>1.2440259020090241</v>
      </c>
      <c r="U18" s="109">
        <f t="shared" si="5"/>
        <v>1.0961297682968349</v>
      </c>
      <c r="V18" s="109">
        <f t="shared" si="5"/>
        <v>0.97790718887521044</v>
      </c>
      <c r="W18" s="109">
        <f t="shared" si="5"/>
        <v>0.87847830716727038</v>
      </c>
      <c r="X18" s="109">
        <f t="shared" si="5"/>
        <v>0.78480880793909558</v>
      </c>
      <c r="Y18" s="109">
        <f t="shared" si="5"/>
        <v>0.64158812239499974</v>
      </c>
      <c r="Z18" s="109">
        <f t="shared" si="5"/>
        <v>0.45870851366363263</v>
      </c>
      <c r="AA18" s="109">
        <f t="shared" si="5"/>
        <v>0.41096418764981801</v>
      </c>
      <c r="AB18" s="109">
        <f t="shared" si="5"/>
        <v>0.36673506189598326</v>
      </c>
      <c r="AC18" s="109">
        <f t="shared" si="5"/>
        <v>0.3321013854246167</v>
      </c>
      <c r="AD18" s="109">
        <f t="shared" si="5"/>
        <v>0.30112858141184989</v>
      </c>
      <c r="AE18" s="109">
        <f t="shared" si="5"/>
        <v>0.2728384082367834</v>
      </c>
      <c r="AF18" s="109">
        <f t="shared" si="5"/>
        <v>4.2857496230966512E-2</v>
      </c>
      <c r="AG18" s="109">
        <f>SUM(D18:AF18)</f>
        <v>61.879057463473316</v>
      </c>
    </row>
    <row r="19" spans="2:34" ht="15.75" thickBot="1">
      <c r="C19" s="28" t="s">
        <v>775</v>
      </c>
      <c r="D19" s="42">
        <f>SUM(D17:D18)</f>
        <v>10.104259704362185</v>
      </c>
      <c r="E19" s="42">
        <f t="shared" ref="E19:AF19" si="6">SUM(E17:E18)</f>
        <v>10.440242494922037</v>
      </c>
      <c r="F19" s="42">
        <f t="shared" si="6"/>
        <v>11.143056455198199</v>
      </c>
      <c r="G19" s="42">
        <f t="shared" si="6"/>
        <v>11.339926063461338</v>
      </c>
      <c r="H19" s="42">
        <f t="shared" si="6"/>
        <v>11.272690639360468</v>
      </c>
      <c r="I19" s="42">
        <f t="shared" si="6"/>
        <v>10.444429626237877</v>
      </c>
      <c r="J19" s="42">
        <f t="shared" si="6"/>
        <v>9.4151858331429796</v>
      </c>
      <c r="K19" s="42">
        <f t="shared" si="6"/>
        <v>8.5810428375756693</v>
      </c>
      <c r="L19" s="42">
        <f t="shared" si="6"/>
        <v>7.5423137547562931</v>
      </c>
      <c r="M19" s="42">
        <f t="shared" si="6"/>
        <v>6.6345588967665945</v>
      </c>
      <c r="N19" s="42">
        <f t="shared" si="6"/>
        <v>5.8524492757174986</v>
      </c>
      <c r="O19" s="42">
        <f t="shared" si="6"/>
        <v>5.1548521246457835</v>
      </c>
      <c r="P19" s="42">
        <f t="shared" si="6"/>
        <v>4.5403258397463215</v>
      </c>
      <c r="Q19" s="42">
        <f t="shared" si="6"/>
        <v>4.0325792345442668</v>
      </c>
      <c r="R19" s="42">
        <f t="shared" si="6"/>
        <v>3.5816729238813991</v>
      </c>
      <c r="S19" s="42">
        <f t="shared" si="6"/>
        <v>3.0691440935709631</v>
      </c>
      <c r="T19" s="42">
        <f t="shared" si="6"/>
        <v>2.583640964397997</v>
      </c>
      <c r="U19" s="42">
        <f t="shared" si="6"/>
        <v>2.1138391828795471</v>
      </c>
      <c r="V19" s="42">
        <f t="shared" si="6"/>
        <v>1.8782915721404865</v>
      </c>
      <c r="W19" s="42">
        <f t="shared" si="6"/>
        <v>1.6873761806014551</v>
      </c>
      <c r="X19" s="42">
        <f t="shared" si="6"/>
        <v>1.5051864321023585</v>
      </c>
      <c r="Y19" s="42">
        <f t="shared" si="6"/>
        <v>1.1681948383131466</v>
      </c>
      <c r="Z19" s="42">
        <f t="shared" si="6"/>
        <v>0.69261186045702183</v>
      </c>
      <c r="AA19" s="42">
        <f t="shared" si="6"/>
        <v>0.6180260925822163</v>
      </c>
      <c r="AB19" s="42">
        <f t="shared" si="6"/>
        <v>0.52961673590338343</v>
      </c>
      <c r="AC19" s="42">
        <f t="shared" si="6"/>
        <v>0.47941496769341668</v>
      </c>
      <c r="AD19" s="42">
        <f t="shared" si="6"/>
        <v>0.43454937336165</v>
      </c>
      <c r="AE19" s="42">
        <f t="shared" si="6"/>
        <v>0.39158834531548348</v>
      </c>
      <c r="AF19" s="42">
        <f t="shared" si="6"/>
        <v>6.1312748354866588E-2</v>
      </c>
      <c r="AG19" s="42">
        <f>SUM(D19:AF19)</f>
        <v>137.29237909199296</v>
      </c>
    </row>
    <row r="21" spans="2:34">
      <c r="B21" s="107" t="s">
        <v>776</v>
      </c>
    </row>
    <row r="22" spans="2:34" ht="5.25" customHeight="1" outlineLevel="1" thickBot="1"/>
    <row r="23" spans="2:34" ht="16.5" outlineLevel="1" thickTop="1" thickBot="1">
      <c r="C23" s="10" t="s">
        <v>771</v>
      </c>
      <c r="D23" s="108">
        <v>3.8733277641999995E-3</v>
      </c>
      <c r="E23" s="108">
        <v>2.86609389544655E-2</v>
      </c>
      <c r="F23" s="108">
        <v>0.21050132453289674</v>
      </c>
      <c r="G23" s="108">
        <v>0.4897182303395865</v>
      </c>
      <c r="H23" s="108">
        <v>0.53980111418181786</v>
      </c>
      <c r="I23" s="108">
        <v>0.59076088323547904</v>
      </c>
      <c r="J23" s="108">
        <v>0.63661069638720325</v>
      </c>
      <c r="K23" s="108">
        <v>0.71082470864980174</v>
      </c>
      <c r="L23" s="108">
        <v>0.63021281464302548</v>
      </c>
      <c r="M23" s="108">
        <v>0.55055883255264426</v>
      </c>
      <c r="N23" s="108">
        <v>0.46841444203857652</v>
      </c>
      <c r="O23" s="108">
        <v>0.40697476332989041</v>
      </c>
      <c r="P23" s="108">
        <v>0.35500344620618773</v>
      </c>
      <c r="Q23" s="108">
        <v>0.31266450249715716</v>
      </c>
      <c r="R23" s="108">
        <v>0.27710470884199628</v>
      </c>
      <c r="S23" s="108">
        <v>0.24744611806834627</v>
      </c>
      <c r="T23" s="108">
        <v>0.35924412298544545</v>
      </c>
      <c r="U23" s="108">
        <v>0.49634542750297878</v>
      </c>
      <c r="V23" s="108">
        <v>0.25607284065199665</v>
      </c>
      <c r="W23" s="108">
        <v>6.5476087875099995E-2</v>
      </c>
      <c r="X23" s="108">
        <v>6.1176515107900002E-2</v>
      </c>
      <c r="Y23" s="108">
        <v>5.7185994955700009E-2</v>
      </c>
      <c r="Z23" s="108">
        <v>5.3472285595299984E-2</v>
      </c>
      <c r="AA23" s="108">
        <v>5.0014685779000013E-2</v>
      </c>
      <c r="AB23" s="108">
        <v>4.6667471487500001E-2</v>
      </c>
      <c r="AC23" s="108">
        <v>4.3634812845400009E-2</v>
      </c>
      <c r="AD23" s="108">
        <v>4.0847300737900008E-2</v>
      </c>
      <c r="AE23" s="108">
        <v>3.8246717557899997E-2</v>
      </c>
      <c r="AF23" s="108">
        <v>7.7893352353300027E-2</v>
      </c>
      <c r="AG23" s="108">
        <f>SUM(D23:AF23)</f>
        <v>8.1054084676586946</v>
      </c>
    </row>
    <row r="24" spans="2:34" ht="16.5" outlineLevel="1" thickTop="1" thickBot="1">
      <c r="C24" s="10" t="s">
        <v>772</v>
      </c>
      <c r="D24" s="109">
        <v>3.4746435803916662E-2</v>
      </c>
      <c r="E24" s="109">
        <v>8.7353288850083324E-2</v>
      </c>
      <c r="F24" s="109">
        <v>0.58101438348773327</v>
      </c>
      <c r="G24" s="109">
        <v>0.7053180527598667</v>
      </c>
      <c r="H24" s="109">
        <v>0.67652618500671691</v>
      </c>
      <c r="I24" s="109">
        <v>0.65900262906363338</v>
      </c>
      <c r="J24" s="109">
        <v>0.72545239608305012</v>
      </c>
      <c r="K24" s="109">
        <v>0.79466345898505009</v>
      </c>
      <c r="L24" s="109">
        <v>0.70525813299271656</v>
      </c>
      <c r="M24" s="109">
        <v>0.61688953118398315</v>
      </c>
      <c r="N24" s="109">
        <v>0.54135910790319997</v>
      </c>
      <c r="O24" s="109">
        <v>0.47843198719688323</v>
      </c>
      <c r="P24" s="109">
        <v>0.4246963765239834</v>
      </c>
      <c r="Q24" s="109">
        <v>0.37903644016141658</v>
      </c>
      <c r="R24" s="109">
        <v>0.33920437451158336</v>
      </c>
      <c r="S24" s="109">
        <v>0.30316469626315001</v>
      </c>
      <c r="T24" s="109">
        <v>0.28768758037659986</v>
      </c>
      <c r="U24" s="109">
        <v>0.28013819892889996</v>
      </c>
      <c r="V24" s="109">
        <v>0.23500222293023332</v>
      </c>
      <c r="W24" s="109">
        <v>0.19507179583221662</v>
      </c>
      <c r="X24" s="109">
        <v>0.17600806278895004</v>
      </c>
      <c r="Y24" s="109">
        <v>0.15739775572761661</v>
      </c>
      <c r="Z24" s="109">
        <v>0.14357708122123336</v>
      </c>
      <c r="AA24" s="109">
        <v>0.13118430933891664</v>
      </c>
      <c r="AB24" s="109">
        <v>0.11898084704765007</v>
      </c>
      <c r="AC24" s="109">
        <v>0.10863620778511666</v>
      </c>
      <c r="AD24" s="109">
        <v>9.5459660275949987E-2</v>
      </c>
      <c r="AE24" s="109">
        <v>8.7560589385866666E-2</v>
      </c>
      <c r="AF24" s="109">
        <v>0.17609746734706644</v>
      </c>
      <c r="AG24" s="109">
        <f>SUM(D24:AF24)</f>
        <v>10.244919255763282</v>
      </c>
      <c r="AH24" s="291"/>
    </row>
    <row r="25" spans="2:34" ht="15.75" outlineLevel="1" thickBot="1">
      <c r="C25" s="28" t="s">
        <v>1178</v>
      </c>
      <c r="D25" s="42">
        <f>SUM(D23:D24)</f>
        <v>3.8619763568116659E-2</v>
      </c>
      <c r="E25" s="42">
        <f t="shared" ref="E25:AD25" si="7">SUM(E23:E24)</f>
        <v>0.11601422780454883</v>
      </c>
      <c r="F25" s="42">
        <f t="shared" si="7"/>
        <v>0.79151570802062998</v>
      </c>
      <c r="G25" s="42">
        <f t="shared" si="7"/>
        <v>1.1950362830994532</v>
      </c>
      <c r="H25" s="42">
        <f t="shared" si="7"/>
        <v>1.2163272991885348</v>
      </c>
      <c r="I25" s="42">
        <f t="shared" si="7"/>
        <v>1.2497635122991124</v>
      </c>
      <c r="J25" s="42">
        <f t="shared" si="7"/>
        <v>1.3620630924702533</v>
      </c>
      <c r="K25" s="42">
        <f t="shared" si="7"/>
        <v>1.5054881676348519</v>
      </c>
      <c r="L25" s="42">
        <f t="shared" si="7"/>
        <v>1.335470947635742</v>
      </c>
      <c r="M25" s="42">
        <f t="shared" si="7"/>
        <v>1.1674483637366273</v>
      </c>
      <c r="N25" s="42">
        <f t="shared" si="7"/>
        <v>1.0097735499417766</v>
      </c>
      <c r="O25" s="42">
        <f t="shared" si="7"/>
        <v>0.88540675052677364</v>
      </c>
      <c r="P25" s="42">
        <f t="shared" si="7"/>
        <v>0.77969982273017113</v>
      </c>
      <c r="Q25" s="42">
        <f t="shared" si="7"/>
        <v>0.69170094265857374</v>
      </c>
      <c r="R25" s="42">
        <f t="shared" si="7"/>
        <v>0.61630908335357959</v>
      </c>
      <c r="S25" s="42">
        <f t="shared" si="7"/>
        <v>0.55061081433149628</v>
      </c>
      <c r="T25" s="42">
        <f t="shared" si="7"/>
        <v>0.64693170336204531</v>
      </c>
      <c r="U25" s="42">
        <f t="shared" si="7"/>
        <v>0.77648362643187874</v>
      </c>
      <c r="V25" s="42">
        <f t="shared" si="7"/>
        <v>0.49107506358222996</v>
      </c>
      <c r="W25" s="42">
        <f t="shared" si="7"/>
        <v>0.26054788370731663</v>
      </c>
      <c r="X25" s="42">
        <f t="shared" si="7"/>
        <v>0.23718457789685005</v>
      </c>
      <c r="Y25" s="42">
        <f t="shared" si="7"/>
        <v>0.21458375068331662</v>
      </c>
      <c r="Z25" s="42">
        <f t="shared" si="7"/>
        <v>0.19704936681653334</v>
      </c>
      <c r="AA25" s="42">
        <f t="shared" si="7"/>
        <v>0.18119899511791665</v>
      </c>
      <c r="AB25" s="42">
        <f t="shared" si="7"/>
        <v>0.16564831853515005</v>
      </c>
      <c r="AC25" s="42">
        <f t="shared" si="7"/>
        <v>0.15227102063051667</v>
      </c>
      <c r="AD25" s="42">
        <f t="shared" si="7"/>
        <v>0.13630696101384998</v>
      </c>
      <c r="AE25" s="42">
        <f>SUM(AE23:AE24)</f>
        <v>0.12580730694376666</v>
      </c>
      <c r="AF25" s="42">
        <f>SUM(AF23:AF24)</f>
        <v>0.25399081970036647</v>
      </c>
      <c r="AG25" s="42">
        <f>SUM(D25:AF25)</f>
        <v>18.350327723421984</v>
      </c>
    </row>
    <row r="26" spans="2:34" ht="5.25" customHeight="1" outlineLevel="1" thickBot="1"/>
    <row r="27" spans="2:34" ht="16.5" outlineLevel="1" thickTop="1" thickBot="1">
      <c r="C27" s="10" t="s">
        <v>771</v>
      </c>
      <c r="D27" s="108">
        <v>0.17554833246002574</v>
      </c>
      <c r="E27" s="108">
        <v>0.53282361366484776</v>
      </c>
      <c r="F27" s="108">
        <v>1.0285024288547149</v>
      </c>
      <c r="G27" s="108">
        <v>1.3739917716869841</v>
      </c>
      <c r="H27" s="108">
        <v>1.2896202843126348</v>
      </c>
      <c r="I27" s="108">
        <v>1.1649822737951847</v>
      </c>
      <c r="J27" s="108">
        <v>1.1187639677017451</v>
      </c>
      <c r="K27" s="108">
        <v>0.97919582869048549</v>
      </c>
      <c r="L27" s="108">
        <v>0.80413764587542758</v>
      </c>
      <c r="M27" s="108">
        <v>0.68010991929217046</v>
      </c>
      <c r="N27" s="108">
        <v>0.58518085215968985</v>
      </c>
      <c r="O27" s="108">
        <v>0.51341007777017256</v>
      </c>
      <c r="P27" s="108">
        <v>0.46243719576865233</v>
      </c>
      <c r="Q27" s="108">
        <v>0.40358417010652525</v>
      </c>
      <c r="R27" s="108">
        <v>0.35389243219709687</v>
      </c>
      <c r="S27" s="108">
        <v>0.31588373253432944</v>
      </c>
      <c r="T27" s="108">
        <v>0.28272082795953979</v>
      </c>
      <c r="U27" s="108">
        <v>0.25173501958593048</v>
      </c>
      <c r="V27" s="108">
        <v>0.22268289719696749</v>
      </c>
      <c r="W27" s="108">
        <v>0.18738141235050268</v>
      </c>
      <c r="X27" s="108">
        <v>0.16540018889664876</v>
      </c>
      <c r="Y27" s="108">
        <v>0.10294412624673135</v>
      </c>
      <c r="Z27" s="108">
        <v>1.0600300983717467E-2</v>
      </c>
      <c r="AA27" s="108">
        <v>7.625416464760673E-3</v>
      </c>
      <c r="AB27" s="108">
        <v>0</v>
      </c>
      <c r="AC27" s="108">
        <v>0</v>
      </c>
      <c r="AD27" s="108">
        <v>0</v>
      </c>
      <c r="AE27" s="108">
        <v>0</v>
      </c>
      <c r="AF27" s="108">
        <v>0</v>
      </c>
      <c r="AG27" s="108">
        <f>SUM(D27:AF27)</f>
        <v>13.013154716555491</v>
      </c>
    </row>
    <row r="28" spans="2:34" ht="16.5" outlineLevel="1" thickTop="1" thickBot="1">
      <c r="C28" s="10" t="s">
        <v>772</v>
      </c>
      <c r="D28" s="109">
        <v>8.1136785569262862E-2</v>
      </c>
      <c r="E28" s="109">
        <v>0.19593263933943569</v>
      </c>
      <c r="F28" s="109">
        <v>0.32026390513599395</v>
      </c>
      <c r="G28" s="109">
        <v>0.3854661764285825</v>
      </c>
      <c r="H28" s="109">
        <v>0.34158983124787262</v>
      </c>
      <c r="I28" s="109">
        <v>0.29100027502972908</v>
      </c>
      <c r="J28" s="109">
        <v>0.26020149931204412</v>
      </c>
      <c r="K28" s="109">
        <v>0.21765896843280708</v>
      </c>
      <c r="L28" s="109">
        <v>0.17862569712640766</v>
      </c>
      <c r="M28" s="109">
        <v>0.15226009536999605</v>
      </c>
      <c r="N28" s="109">
        <v>0.13167189889498385</v>
      </c>
      <c r="O28" s="109">
        <v>0.11524737200279477</v>
      </c>
      <c r="P28" s="109">
        <v>0.10185063092260646</v>
      </c>
      <c r="Q28" s="109">
        <v>9.0871863568956365E-2</v>
      </c>
      <c r="R28" s="109">
        <v>8.0531095227859034E-2</v>
      </c>
      <c r="S28" s="109">
        <v>7.226624415851382E-2</v>
      </c>
      <c r="T28" s="109">
        <v>6.4167985669589089E-2</v>
      </c>
      <c r="U28" s="109">
        <v>5.2868462349683822E-2</v>
      </c>
      <c r="V28" s="109">
        <v>4.8016668376317878E-2</v>
      </c>
      <c r="W28" s="109">
        <v>4.2588479259387267E-2</v>
      </c>
      <c r="X28" s="109">
        <v>3.7754034783835141E-2</v>
      </c>
      <c r="Y28" s="109">
        <v>2.2972178961220367E-2</v>
      </c>
      <c r="Z28" s="109">
        <v>7.7676527783909636E-4</v>
      </c>
      <c r="AA28" s="109">
        <v>5.9717059991748001E-4</v>
      </c>
      <c r="AB28" s="109">
        <v>0</v>
      </c>
      <c r="AC28" s="109">
        <v>0</v>
      </c>
      <c r="AD28" s="109">
        <v>0</v>
      </c>
      <c r="AE28" s="109">
        <v>0</v>
      </c>
      <c r="AF28" s="109">
        <v>0</v>
      </c>
      <c r="AG28" s="109">
        <f>SUM(D28:AF28)</f>
        <v>3.2863167230456352</v>
      </c>
    </row>
    <row r="29" spans="2:34" ht="15.75" outlineLevel="1" thickBot="1">
      <c r="C29" s="28" t="s">
        <v>39</v>
      </c>
      <c r="D29" s="42">
        <f t="shared" ref="D29:P29" si="8">SUM(D27:D28)</f>
        <v>0.25668511802928862</v>
      </c>
      <c r="E29" s="42">
        <f t="shared" si="8"/>
        <v>0.72875625300428348</v>
      </c>
      <c r="F29" s="42">
        <f t="shared" si="8"/>
        <v>1.3487663339907088</v>
      </c>
      <c r="G29" s="42">
        <f t="shared" si="8"/>
        <v>1.7594579481155666</v>
      </c>
      <c r="H29" s="42">
        <f t="shared" si="8"/>
        <v>1.6312101155605074</v>
      </c>
      <c r="I29" s="42">
        <f t="shared" si="8"/>
        <v>1.4559825488249138</v>
      </c>
      <c r="J29" s="42">
        <f t="shared" si="8"/>
        <v>1.3789654670137892</v>
      </c>
      <c r="K29" s="42">
        <f t="shared" si="8"/>
        <v>1.1968547971232926</v>
      </c>
      <c r="L29" s="42">
        <f t="shared" si="8"/>
        <v>0.98276334300183521</v>
      </c>
      <c r="M29" s="42">
        <f t="shared" si="8"/>
        <v>0.83237001466216654</v>
      </c>
      <c r="N29" s="42">
        <f t="shared" si="8"/>
        <v>0.71685275105467372</v>
      </c>
      <c r="O29" s="42">
        <f t="shared" si="8"/>
        <v>0.62865744977296734</v>
      </c>
      <c r="P29" s="42">
        <f t="shared" si="8"/>
        <v>0.56428782669125876</v>
      </c>
      <c r="Q29" s="42">
        <f t="shared" ref="Q29:AD29" si="9">SUM(Q27:Q28)</f>
        <v>0.49445603367548163</v>
      </c>
      <c r="R29" s="42">
        <f t="shared" si="9"/>
        <v>0.43442352742495594</v>
      </c>
      <c r="S29" s="42">
        <f t="shared" si="9"/>
        <v>0.38814997669284323</v>
      </c>
      <c r="T29" s="42">
        <f t="shared" si="9"/>
        <v>0.34688881362912888</v>
      </c>
      <c r="U29" s="42">
        <f t="shared" si="9"/>
        <v>0.30460348193561432</v>
      </c>
      <c r="V29" s="42">
        <f t="shared" si="9"/>
        <v>0.27069956557328534</v>
      </c>
      <c r="W29" s="42">
        <f t="shared" si="9"/>
        <v>0.22996989160988995</v>
      </c>
      <c r="X29" s="42">
        <f t="shared" si="9"/>
        <v>0.20315422368048391</v>
      </c>
      <c r="Y29" s="42">
        <f t="shared" si="9"/>
        <v>0.12591630520795172</v>
      </c>
      <c r="Z29" s="42">
        <f t="shared" si="9"/>
        <v>1.1377066261556563E-2</v>
      </c>
      <c r="AA29" s="42">
        <f t="shared" si="9"/>
        <v>8.2225870646781534E-3</v>
      </c>
      <c r="AB29" s="42">
        <f t="shared" si="9"/>
        <v>0</v>
      </c>
      <c r="AC29" s="42">
        <f t="shared" si="9"/>
        <v>0</v>
      </c>
      <c r="AD29" s="42">
        <f t="shared" si="9"/>
        <v>0</v>
      </c>
      <c r="AE29" s="42">
        <f>SUM(AE27:AE28)</f>
        <v>0</v>
      </c>
      <c r="AF29" s="42">
        <f>SUM(AF27:AF28)</f>
        <v>0</v>
      </c>
      <c r="AG29" s="42">
        <f>SUM(D29:AF29)</f>
        <v>16.29947143960112</v>
      </c>
    </row>
    <row r="30" spans="2:34" ht="5.25" customHeight="1" outlineLevel="1" thickBot="1"/>
    <row r="31" spans="2:34" ht="15.75" thickTop="1">
      <c r="C31" s="10" t="s">
        <v>771</v>
      </c>
      <c r="D31" s="110">
        <f>D23+D27</f>
        <v>0.17942166022422573</v>
      </c>
      <c r="E31" s="110">
        <f t="shared" ref="E31:AF31" si="10">E23+E27</f>
        <v>0.56148455261931329</v>
      </c>
      <c r="F31" s="110">
        <f t="shared" si="10"/>
        <v>1.2390037533876117</v>
      </c>
      <c r="G31" s="110">
        <f t="shared" si="10"/>
        <v>1.8637100020265707</v>
      </c>
      <c r="H31" s="110">
        <f t="shared" si="10"/>
        <v>1.8294213984944525</v>
      </c>
      <c r="I31" s="110">
        <f t="shared" si="10"/>
        <v>1.7557431570306639</v>
      </c>
      <c r="J31" s="110">
        <f t="shared" si="10"/>
        <v>1.7553746640889485</v>
      </c>
      <c r="K31" s="110">
        <f t="shared" si="10"/>
        <v>1.6900205373402872</v>
      </c>
      <c r="L31" s="110">
        <f t="shared" si="10"/>
        <v>1.4343504605184529</v>
      </c>
      <c r="M31" s="110">
        <f t="shared" si="10"/>
        <v>1.2306687518448147</v>
      </c>
      <c r="N31" s="110">
        <f t="shared" si="10"/>
        <v>1.0535952941982663</v>
      </c>
      <c r="O31" s="110">
        <f t="shared" si="10"/>
        <v>0.92038484110006302</v>
      </c>
      <c r="P31" s="110">
        <f t="shared" si="10"/>
        <v>0.81744064197484012</v>
      </c>
      <c r="Q31" s="110">
        <f t="shared" si="10"/>
        <v>0.71624867260368241</v>
      </c>
      <c r="R31" s="110">
        <f t="shared" si="10"/>
        <v>0.6309971410390931</v>
      </c>
      <c r="S31" s="110">
        <f t="shared" si="10"/>
        <v>0.56332985060267571</v>
      </c>
      <c r="T31" s="110">
        <f t="shared" si="10"/>
        <v>0.64196495094498518</v>
      </c>
      <c r="U31" s="110">
        <f t="shared" si="10"/>
        <v>0.74808044708890931</v>
      </c>
      <c r="V31" s="110">
        <f t="shared" si="10"/>
        <v>0.47875573784896414</v>
      </c>
      <c r="W31" s="110">
        <f t="shared" si="10"/>
        <v>0.25285750022560266</v>
      </c>
      <c r="X31" s="110">
        <f t="shared" si="10"/>
        <v>0.22657670400454877</v>
      </c>
      <c r="Y31" s="110">
        <f t="shared" si="10"/>
        <v>0.16013012120243136</v>
      </c>
      <c r="Z31" s="110">
        <f t="shared" si="10"/>
        <v>6.4072586579017446E-2</v>
      </c>
      <c r="AA31" s="110">
        <f t="shared" si="10"/>
        <v>5.7640102243760684E-2</v>
      </c>
      <c r="AB31" s="110">
        <f t="shared" si="10"/>
        <v>4.6667471487500001E-2</v>
      </c>
      <c r="AC31" s="110">
        <f t="shared" si="10"/>
        <v>4.3634812845400009E-2</v>
      </c>
      <c r="AD31" s="110">
        <f t="shared" si="10"/>
        <v>4.0847300737900008E-2</v>
      </c>
      <c r="AE31" s="110">
        <f t="shared" si="10"/>
        <v>3.8246717557899997E-2</v>
      </c>
      <c r="AF31" s="110">
        <f t="shared" si="10"/>
        <v>7.7893352353300027E-2</v>
      </c>
      <c r="AG31" s="110">
        <f>SUM(D31:AF31)</f>
        <v>21.118563184214178</v>
      </c>
    </row>
    <row r="32" spans="2:34" ht="15.75" thickBot="1">
      <c r="C32" s="10" t="s">
        <v>772</v>
      </c>
      <c r="D32" s="109">
        <f>D24+D28</f>
        <v>0.11588322137317952</v>
      </c>
      <c r="E32" s="109">
        <f t="shared" ref="E32:AF32" si="11">E24+E28</f>
        <v>0.28328592818951903</v>
      </c>
      <c r="F32" s="109">
        <f t="shared" si="11"/>
        <v>0.90127828862372716</v>
      </c>
      <c r="G32" s="109">
        <f t="shared" si="11"/>
        <v>1.0907842291884493</v>
      </c>
      <c r="H32" s="109">
        <f t="shared" si="11"/>
        <v>1.0181160162545895</v>
      </c>
      <c r="I32" s="109">
        <f t="shared" si="11"/>
        <v>0.95000290409336241</v>
      </c>
      <c r="J32" s="109">
        <f t="shared" si="11"/>
        <v>0.98565389539509418</v>
      </c>
      <c r="K32" s="109">
        <f t="shared" si="11"/>
        <v>1.0123224274178573</v>
      </c>
      <c r="L32" s="109">
        <f t="shared" si="11"/>
        <v>0.88388383011912419</v>
      </c>
      <c r="M32" s="109">
        <f t="shared" si="11"/>
        <v>0.76914962655397923</v>
      </c>
      <c r="N32" s="109">
        <f t="shared" si="11"/>
        <v>0.67303100679818384</v>
      </c>
      <c r="O32" s="109">
        <f t="shared" si="11"/>
        <v>0.59367935919967796</v>
      </c>
      <c r="P32" s="109">
        <f t="shared" si="11"/>
        <v>0.52654700744658989</v>
      </c>
      <c r="Q32" s="109">
        <f t="shared" si="11"/>
        <v>0.46990830373037296</v>
      </c>
      <c r="R32" s="109">
        <f t="shared" si="11"/>
        <v>0.41973546973944242</v>
      </c>
      <c r="S32" s="109">
        <f t="shared" si="11"/>
        <v>0.37543094042166381</v>
      </c>
      <c r="T32" s="109">
        <f t="shared" si="11"/>
        <v>0.35185556604618895</v>
      </c>
      <c r="U32" s="109">
        <f t="shared" si="11"/>
        <v>0.3330066612785838</v>
      </c>
      <c r="V32" s="109">
        <f t="shared" si="11"/>
        <v>0.28301889130655122</v>
      </c>
      <c r="W32" s="109">
        <f t="shared" si="11"/>
        <v>0.2376602750916039</v>
      </c>
      <c r="X32" s="109">
        <f t="shared" si="11"/>
        <v>0.21376209757278519</v>
      </c>
      <c r="Y32" s="109">
        <f t="shared" si="11"/>
        <v>0.18036993468883697</v>
      </c>
      <c r="Z32" s="109">
        <f t="shared" si="11"/>
        <v>0.14435384649907246</v>
      </c>
      <c r="AA32" s="109">
        <f t="shared" si="11"/>
        <v>0.13178147993883413</v>
      </c>
      <c r="AB32" s="109">
        <f t="shared" si="11"/>
        <v>0.11898084704765007</v>
      </c>
      <c r="AC32" s="109">
        <f t="shared" si="11"/>
        <v>0.10863620778511666</v>
      </c>
      <c r="AD32" s="109">
        <f t="shared" si="11"/>
        <v>9.5459660275949987E-2</v>
      </c>
      <c r="AE32" s="109">
        <f t="shared" si="11"/>
        <v>8.7560589385866666E-2</v>
      </c>
      <c r="AF32" s="109">
        <f t="shared" si="11"/>
        <v>0.17609746734706644</v>
      </c>
      <c r="AG32" s="109">
        <f>SUM(D32:AF32)</f>
        <v>13.531235978808915</v>
      </c>
    </row>
    <row r="33" spans="2:35" ht="15.75" thickBot="1">
      <c r="C33" s="28" t="s">
        <v>776</v>
      </c>
      <c r="D33" s="42">
        <f>SUM(D31:D32)</f>
        <v>0.29530488159740526</v>
      </c>
      <c r="E33" s="42">
        <f t="shared" ref="E33:AF33" si="12">SUM(E31:E32)</f>
        <v>0.84477048080883232</v>
      </c>
      <c r="F33" s="42">
        <f t="shared" si="12"/>
        <v>2.1402820420113389</v>
      </c>
      <c r="G33" s="42">
        <f t="shared" si="12"/>
        <v>2.95449423121502</v>
      </c>
      <c r="H33" s="42">
        <f t="shared" si="12"/>
        <v>2.8475374147490422</v>
      </c>
      <c r="I33" s="42">
        <f t="shared" si="12"/>
        <v>2.7057460611240263</v>
      </c>
      <c r="J33" s="42">
        <f t="shared" si="12"/>
        <v>2.7410285594840427</v>
      </c>
      <c r="K33" s="42">
        <f t="shared" si="12"/>
        <v>2.7023429647581443</v>
      </c>
      <c r="L33" s="42">
        <f t="shared" si="12"/>
        <v>2.318234290637577</v>
      </c>
      <c r="M33" s="42">
        <f t="shared" si="12"/>
        <v>1.9998183783987939</v>
      </c>
      <c r="N33" s="42">
        <f t="shared" si="12"/>
        <v>1.72662630099645</v>
      </c>
      <c r="O33" s="42">
        <f t="shared" si="12"/>
        <v>1.5140642002997411</v>
      </c>
      <c r="P33" s="42">
        <f t="shared" si="12"/>
        <v>1.34398764942143</v>
      </c>
      <c r="Q33" s="42">
        <f t="shared" si="12"/>
        <v>1.1861569763340554</v>
      </c>
      <c r="R33" s="42">
        <f t="shared" si="12"/>
        <v>1.0507326107785355</v>
      </c>
      <c r="S33" s="42">
        <f t="shared" si="12"/>
        <v>0.93876079102433951</v>
      </c>
      <c r="T33" s="42">
        <f t="shared" si="12"/>
        <v>0.99382051699117413</v>
      </c>
      <c r="U33" s="42">
        <f t="shared" si="12"/>
        <v>1.0810871083674931</v>
      </c>
      <c r="V33" s="42">
        <f t="shared" si="12"/>
        <v>0.76177462915551541</v>
      </c>
      <c r="W33" s="42">
        <f t="shared" si="12"/>
        <v>0.49051777531720653</v>
      </c>
      <c r="X33" s="42">
        <f t="shared" si="12"/>
        <v>0.44033880157733396</v>
      </c>
      <c r="Y33" s="42">
        <f t="shared" si="12"/>
        <v>0.34050005589126831</v>
      </c>
      <c r="Z33" s="42">
        <f t="shared" si="12"/>
        <v>0.20842643307808989</v>
      </c>
      <c r="AA33" s="42">
        <f t="shared" si="12"/>
        <v>0.18942158218259481</v>
      </c>
      <c r="AB33" s="42">
        <f t="shared" si="12"/>
        <v>0.16564831853515005</v>
      </c>
      <c r="AC33" s="42">
        <f t="shared" si="12"/>
        <v>0.15227102063051667</v>
      </c>
      <c r="AD33" s="42">
        <f t="shared" si="12"/>
        <v>0.13630696101384998</v>
      </c>
      <c r="AE33" s="42">
        <f t="shared" si="12"/>
        <v>0.12580730694376666</v>
      </c>
      <c r="AF33" s="42">
        <f t="shared" si="12"/>
        <v>0.25399081970036647</v>
      </c>
      <c r="AG33" s="42">
        <f>SUM(D33:AF33)</f>
        <v>34.649799163023104</v>
      </c>
    </row>
    <row r="35" spans="2:35">
      <c r="B35" s="107" t="s">
        <v>780</v>
      </c>
    </row>
    <row r="36" spans="2:35" ht="5.25" customHeight="1" outlineLevel="1" thickBot="1"/>
    <row r="37" spans="2:35" ht="16.5" outlineLevel="1" thickTop="1" thickBot="1">
      <c r="C37" s="10" t="s">
        <v>771</v>
      </c>
      <c r="D37" s="108">
        <f>D9+D23</f>
        <v>2.3588372564441205</v>
      </c>
      <c r="E37" s="108">
        <f t="shared" ref="E37:AF37" si="13">E9+E23</f>
        <v>2.6608566484629819</v>
      </c>
      <c r="F37" s="108">
        <f t="shared" si="13"/>
        <v>2.9910214207385946</v>
      </c>
      <c r="G37" s="108">
        <f t="shared" si="13"/>
        <v>3.3148773854349418</v>
      </c>
      <c r="H37" s="108">
        <f t="shared" si="13"/>
        <v>3.5258639997045047</v>
      </c>
      <c r="I37" s="108">
        <f t="shared" si="13"/>
        <v>3.4654223468860006</v>
      </c>
      <c r="J37" s="108">
        <f t="shared" si="13"/>
        <v>3.3583047972351583</v>
      </c>
      <c r="K37" s="108">
        <f t="shared" si="13"/>
        <v>3.3174138969853288</v>
      </c>
      <c r="L37" s="108">
        <f t="shared" si="13"/>
        <v>2.9339495512666938</v>
      </c>
      <c r="M37" s="108">
        <f t="shared" si="13"/>
        <v>2.567517948256437</v>
      </c>
      <c r="N37" s="108">
        <f t="shared" si="13"/>
        <v>2.2379041709619933</v>
      </c>
      <c r="O37" s="108">
        <f t="shared" si="13"/>
        <v>1.9626988829281977</v>
      </c>
      <c r="P37" s="108">
        <f t="shared" si="13"/>
        <v>1.7130592131667572</v>
      </c>
      <c r="Q37" s="108">
        <f t="shared" si="13"/>
        <v>1.5063365073557771</v>
      </c>
      <c r="R37" s="108">
        <f t="shared" si="13"/>
        <v>1.3251165905230844</v>
      </c>
      <c r="S37" s="108">
        <f t="shared" si="13"/>
        <v>1.0660117491561363</v>
      </c>
      <c r="T37" s="108">
        <f t="shared" si="13"/>
        <v>0.94101526657615553</v>
      </c>
      <c r="U37" s="108">
        <f t="shared" si="13"/>
        <v>0.83320004134597858</v>
      </c>
      <c r="V37" s="108">
        <f t="shared" si="13"/>
        <v>0.55472365038399662</v>
      </c>
      <c r="W37" s="108">
        <f t="shared" si="13"/>
        <v>0.33557596931050004</v>
      </c>
      <c r="X37" s="108">
        <f t="shared" si="13"/>
        <v>0.30523623886569995</v>
      </c>
      <c r="Y37" s="108">
        <f t="shared" si="13"/>
        <v>0.28123202640019995</v>
      </c>
      <c r="Z37" s="108">
        <f t="shared" si="13"/>
        <v>0.25468034102960002</v>
      </c>
      <c r="AA37" s="108">
        <f t="shared" si="13"/>
        <v>0.23095157856160003</v>
      </c>
      <c r="AB37" s="108">
        <f t="shared" si="13"/>
        <v>0.20954914549490022</v>
      </c>
      <c r="AC37" s="108">
        <f t="shared" si="13"/>
        <v>0.19094839511419998</v>
      </c>
      <c r="AD37" s="108">
        <f t="shared" si="13"/>
        <v>0.1742680926877001</v>
      </c>
      <c r="AE37" s="108">
        <f t="shared" si="13"/>
        <v>0.15699665463660004</v>
      </c>
      <c r="AF37" s="108">
        <f t="shared" si="13"/>
        <v>9.6348604477200103E-2</v>
      </c>
      <c r="AG37" s="108">
        <f>SUM(D37:AF37)</f>
        <v>44.869918370391026</v>
      </c>
      <c r="AH37" s="291"/>
      <c r="AI37" s="169"/>
    </row>
    <row r="38" spans="2:35" ht="16.5" outlineLevel="1" thickTop="1" thickBot="1">
      <c r="C38" s="10" t="s">
        <v>772</v>
      </c>
      <c r="D38" s="109">
        <f t="shared" ref="D38:AF38" si="14">D10+D24</f>
        <v>2.7300114502595161</v>
      </c>
      <c r="E38" s="109">
        <f t="shared" si="14"/>
        <v>3.1630594597470667</v>
      </c>
      <c r="F38" s="109">
        <f t="shared" si="14"/>
        <v>3.8649286742325826</v>
      </c>
      <c r="G38" s="109">
        <f t="shared" si="14"/>
        <v>4.1113210061362837</v>
      </c>
      <c r="H38" s="109">
        <f t="shared" si="14"/>
        <v>4.5047251357930511</v>
      </c>
      <c r="I38" s="109">
        <f t="shared" si="14"/>
        <v>4.3002805423075001</v>
      </c>
      <c r="J38" s="109">
        <f t="shared" si="14"/>
        <v>3.9971703471903171</v>
      </c>
      <c r="K38" s="109">
        <f t="shared" si="14"/>
        <v>3.7390603246599161</v>
      </c>
      <c r="L38" s="109">
        <f t="shared" si="14"/>
        <v>3.2865274953696337</v>
      </c>
      <c r="M38" s="109">
        <f t="shared" si="14"/>
        <v>2.8860682640561834</v>
      </c>
      <c r="N38" s="109">
        <f t="shared" si="14"/>
        <v>2.5417073081096495</v>
      </c>
      <c r="O38" s="109">
        <f t="shared" si="14"/>
        <v>2.248329939175167</v>
      </c>
      <c r="P38" s="109">
        <f t="shared" si="14"/>
        <v>1.9919725741291501</v>
      </c>
      <c r="Q38" s="109">
        <f t="shared" si="14"/>
        <v>1.7666499306078334</v>
      </c>
      <c r="R38" s="109">
        <f t="shared" si="14"/>
        <v>1.5707103003832164</v>
      </c>
      <c r="S38" s="109">
        <f t="shared" si="14"/>
        <v>1.3847884567640003</v>
      </c>
      <c r="T38" s="109">
        <f t="shared" si="14"/>
        <v>1.2373368300025496</v>
      </c>
      <c r="U38" s="109">
        <f t="shared" si="14"/>
        <v>1.1095098403140502</v>
      </c>
      <c r="V38" s="109">
        <f t="shared" si="14"/>
        <v>0.97089454636348327</v>
      </c>
      <c r="W38" s="109">
        <f t="shared" si="14"/>
        <v>0.85400704783253301</v>
      </c>
      <c r="X38" s="109">
        <f t="shared" si="14"/>
        <v>0.76244156419346676</v>
      </c>
      <c r="Y38" s="109">
        <f t="shared" si="14"/>
        <v>0.67559617159281671</v>
      </c>
      <c r="Z38" s="109">
        <f t="shared" si="14"/>
        <v>0.59643668121130022</v>
      </c>
      <c r="AA38" s="109">
        <f t="shared" si="14"/>
        <v>0.53739209656586673</v>
      </c>
      <c r="AB38" s="109">
        <f t="shared" si="14"/>
        <v>0.48571590894363331</v>
      </c>
      <c r="AC38" s="109">
        <f t="shared" si="14"/>
        <v>0.44073759320973338</v>
      </c>
      <c r="AD38" s="109">
        <f t="shared" si="14"/>
        <v>0.39658824168779988</v>
      </c>
      <c r="AE38" s="109">
        <f t="shared" si="14"/>
        <v>0.36039899762265004</v>
      </c>
      <c r="AF38" s="109">
        <f t="shared" si="14"/>
        <v>0.21895496357803296</v>
      </c>
      <c r="AG38" s="109">
        <f>SUM(D38:AF38)</f>
        <v>56.733321692038984</v>
      </c>
      <c r="AH38" s="291"/>
      <c r="AI38" s="169"/>
    </row>
    <row r="39" spans="2:35" ht="15.75" outlineLevel="1" thickBot="1">
      <c r="C39" s="28" t="s">
        <v>1178</v>
      </c>
      <c r="D39" s="42">
        <f>SUM(D37:D38)</f>
        <v>5.0888487067036365</v>
      </c>
      <c r="E39" s="42">
        <f t="shared" ref="E39:AD39" si="15">SUM(E37:E38)</f>
        <v>5.8239161082100486</v>
      </c>
      <c r="F39" s="42">
        <f t="shared" si="15"/>
        <v>6.8559500949711776</v>
      </c>
      <c r="G39" s="42">
        <f t="shared" si="15"/>
        <v>7.4261983915712255</v>
      </c>
      <c r="H39" s="42">
        <f t="shared" si="15"/>
        <v>8.0305891354975554</v>
      </c>
      <c r="I39" s="42">
        <f t="shared" si="15"/>
        <v>7.7657028891935003</v>
      </c>
      <c r="J39" s="42">
        <f t="shared" si="15"/>
        <v>7.3554751444254753</v>
      </c>
      <c r="K39" s="42">
        <f t="shared" si="15"/>
        <v>7.056474221645245</v>
      </c>
      <c r="L39" s="42">
        <f t="shared" si="15"/>
        <v>6.2204770466363275</v>
      </c>
      <c r="M39" s="42">
        <f t="shared" si="15"/>
        <v>5.4535862123126204</v>
      </c>
      <c r="N39" s="42">
        <f t="shared" si="15"/>
        <v>4.7796114790716429</v>
      </c>
      <c r="O39" s="42">
        <f t="shared" si="15"/>
        <v>4.2110288221033647</v>
      </c>
      <c r="P39" s="42">
        <f t="shared" si="15"/>
        <v>3.7050317872959075</v>
      </c>
      <c r="Q39" s="42">
        <f t="shared" si="15"/>
        <v>3.2729864379636107</v>
      </c>
      <c r="R39" s="42">
        <f t="shared" si="15"/>
        <v>2.8958268909063007</v>
      </c>
      <c r="S39" s="42">
        <f t="shared" si="15"/>
        <v>2.4508002059201366</v>
      </c>
      <c r="T39" s="42">
        <f t="shared" si="15"/>
        <v>2.1783520965787053</v>
      </c>
      <c r="U39" s="42">
        <f t="shared" si="15"/>
        <v>1.9427098816600288</v>
      </c>
      <c r="V39" s="42">
        <f t="shared" si="15"/>
        <v>1.5256181967474798</v>
      </c>
      <c r="W39" s="42">
        <f t="shared" si="15"/>
        <v>1.1895830171430331</v>
      </c>
      <c r="X39" s="42">
        <f t="shared" si="15"/>
        <v>1.0676778030591667</v>
      </c>
      <c r="Y39" s="42">
        <f t="shared" si="15"/>
        <v>0.95682819799301666</v>
      </c>
      <c r="Z39" s="42">
        <f t="shared" si="15"/>
        <v>0.85111702224090025</v>
      </c>
      <c r="AA39" s="42">
        <f t="shared" si="15"/>
        <v>0.76834367512746682</v>
      </c>
      <c r="AB39" s="42">
        <f t="shared" si="15"/>
        <v>0.69526505443853348</v>
      </c>
      <c r="AC39" s="42">
        <f t="shared" si="15"/>
        <v>0.63168598832393341</v>
      </c>
      <c r="AD39" s="42">
        <f t="shared" si="15"/>
        <v>0.57085633437549999</v>
      </c>
      <c r="AE39" s="42">
        <f>SUM(AE37:AE38)</f>
        <v>0.51739565225925011</v>
      </c>
      <c r="AF39" s="42">
        <f>SUM(AF37:AF38)</f>
        <v>0.31530356805523307</v>
      </c>
      <c r="AG39" s="42">
        <f>SUM(D39:AF39)</f>
        <v>101.60324006243003</v>
      </c>
      <c r="AH39" s="291"/>
      <c r="AI39" s="169"/>
    </row>
    <row r="40" spans="2:35" ht="5.25" customHeight="1" outlineLevel="1" thickBot="1">
      <c r="AH40" s="291"/>
    </row>
    <row r="41" spans="2:35" ht="16.5" outlineLevel="1" thickTop="1" thickBot="1">
      <c r="C41" s="10" t="s">
        <v>771</v>
      </c>
      <c r="D41" s="108">
        <f t="shared" ref="D41:AF41" si="16">D13+D27</f>
        <v>3.6853197608261064</v>
      </c>
      <c r="E41" s="108">
        <f t="shared" si="16"/>
        <v>3.8182749591627783</v>
      </c>
      <c r="F41" s="108">
        <f t="shared" si="16"/>
        <v>4.5783475586935829</v>
      </c>
      <c r="G41" s="108">
        <f t="shared" si="16"/>
        <v>4.983795975972531</v>
      </c>
      <c r="H41" s="108">
        <f t="shared" si="16"/>
        <v>4.4868392367839407</v>
      </c>
      <c r="I41" s="108">
        <f t="shared" si="16"/>
        <v>4.0061109790888398</v>
      </c>
      <c r="J41" s="108">
        <f t="shared" si="16"/>
        <v>3.6118522866278333</v>
      </c>
      <c r="K41" s="108">
        <f t="shared" si="16"/>
        <v>3.1995598875247624</v>
      </c>
      <c r="L41" s="108">
        <f t="shared" si="16"/>
        <v>2.7523394367243594</v>
      </c>
      <c r="M41" s="108">
        <f t="shared" si="16"/>
        <v>2.4013295853229177</v>
      </c>
      <c r="N41" s="108">
        <f t="shared" si="16"/>
        <v>2.1100438640489214</v>
      </c>
      <c r="O41" s="108">
        <f t="shared" si="16"/>
        <v>1.8437859623281305</v>
      </c>
      <c r="P41" s="108">
        <f t="shared" si="16"/>
        <v>1.6298147084543833</v>
      </c>
      <c r="Q41" s="108">
        <f t="shared" si="16"/>
        <v>1.4526597578212406</v>
      </c>
      <c r="R41" s="108">
        <f t="shared" si="16"/>
        <v>1.2947878723455852</v>
      </c>
      <c r="S41" s="108">
        <f t="shared" si="16"/>
        <v>1.1590852474739699</v>
      </c>
      <c r="T41" s="108">
        <f t="shared" si="16"/>
        <v>1.0405647467578025</v>
      </c>
      <c r="U41" s="108">
        <f t="shared" si="16"/>
        <v>0.93258982032564264</v>
      </c>
      <c r="V41" s="108">
        <f t="shared" si="16"/>
        <v>0.82441647073024349</v>
      </c>
      <c r="W41" s="108">
        <f t="shared" si="16"/>
        <v>0.72617940434928729</v>
      </c>
      <c r="X41" s="108">
        <f t="shared" si="16"/>
        <v>0.64171808930211183</v>
      </c>
      <c r="Y41" s="108">
        <f t="shared" si="16"/>
        <v>0.40550481072037836</v>
      </c>
      <c r="Z41" s="108">
        <f t="shared" si="16"/>
        <v>4.3295592342806596E-2</v>
      </c>
      <c r="AA41" s="108">
        <f t="shared" si="16"/>
        <v>3.3750428614558882E-2</v>
      </c>
      <c r="AB41" s="108">
        <f t="shared" si="16"/>
        <v>0</v>
      </c>
      <c r="AC41" s="108">
        <f t="shared" si="16"/>
        <v>0</v>
      </c>
      <c r="AD41" s="108">
        <f t="shared" si="16"/>
        <v>0</v>
      </c>
      <c r="AE41" s="108">
        <f t="shared" si="16"/>
        <v>0</v>
      </c>
      <c r="AF41" s="108">
        <f t="shared" si="16"/>
        <v>0</v>
      </c>
      <c r="AG41" s="108">
        <f>SUM(D41:AF41)</f>
        <v>51.661966442342717</v>
      </c>
    </row>
    <row r="42" spans="2:35" ht="16.5" outlineLevel="1" thickTop="1" thickBot="1">
      <c r="C42" s="10" t="s">
        <v>772</v>
      </c>
      <c r="D42" s="109">
        <f t="shared" ref="D42:AF42" si="17">D14+D28</f>
        <v>1.625396118429848</v>
      </c>
      <c r="E42" s="109">
        <f t="shared" si="17"/>
        <v>1.6428219083580429</v>
      </c>
      <c r="F42" s="109">
        <f t="shared" si="17"/>
        <v>1.849040843544778</v>
      </c>
      <c r="G42" s="109">
        <f t="shared" si="17"/>
        <v>1.8844259271326016</v>
      </c>
      <c r="H42" s="109">
        <f t="shared" si="17"/>
        <v>1.6027996818280139</v>
      </c>
      <c r="I42" s="109">
        <f t="shared" si="17"/>
        <v>1.3783618190795632</v>
      </c>
      <c r="J42" s="109">
        <f t="shared" si="17"/>
        <v>1.1888869615737134</v>
      </c>
      <c r="K42" s="109">
        <f t="shared" si="17"/>
        <v>1.0273516931638067</v>
      </c>
      <c r="L42" s="109">
        <f t="shared" si="17"/>
        <v>0.8877315620331826</v>
      </c>
      <c r="M42" s="109">
        <f t="shared" si="17"/>
        <v>0.77946147752985029</v>
      </c>
      <c r="N42" s="109">
        <f t="shared" si="17"/>
        <v>0.68942023359338489</v>
      </c>
      <c r="O42" s="109">
        <f t="shared" si="17"/>
        <v>0.61410154051402976</v>
      </c>
      <c r="P42" s="109">
        <f t="shared" si="17"/>
        <v>0.54946699341746064</v>
      </c>
      <c r="Q42" s="109">
        <f t="shared" si="17"/>
        <v>0.49309001509347178</v>
      </c>
      <c r="R42" s="109">
        <f t="shared" si="17"/>
        <v>0.44179077140804845</v>
      </c>
      <c r="S42" s="109">
        <f t="shared" si="17"/>
        <v>0.39801943120119609</v>
      </c>
      <c r="T42" s="109">
        <f t="shared" si="17"/>
        <v>0.35854463805266334</v>
      </c>
      <c r="U42" s="109">
        <f t="shared" si="17"/>
        <v>0.31962658926136867</v>
      </c>
      <c r="V42" s="109">
        <f t="shared" si="17"/>
        <v>0.2900315338182784</v>
      </c>
      <c r="W42" s="109">
        <f t="shared" si="17"/>
        <v>0.26213153442634113</v>
      </c>
      <c r="X42" s="109">
        <f t="shared" si="17"/>
        <v>0.23612934131841395</v>
      </c>
      <c r="Y42" s="109">
        <f t="shared" si="17"/>
        <v>0.14636188549102006</v>
      </c>
      <c r="Z42" s="109">
        <f t="shared" si="17"/>
        <v>6.6256789514048276E-3</v>
      </c>
      <c r="AA42" s="109">
        <f t="shared" si="17"/>
        <v>5.3535710227854607E-3</v>
      </c>
      <c r="AB42" s="109">
        <f t="shared" si="17"/>
        <v>0</v>
      </c>
      <c r="AC42" s="109">
        <f t="shared" si="17"/>
        <v>0</v>
      </c>
      <c r="AD42" s="109">
        <f t="shared" si="17"/>
        <v>0</v>
      </c>
      <c r="AE42" s="109">
        <f t="shared" si="17"/>
        <v>0</v>
      </c>
      <c r="AF42" s="109">
        <f t="shared" si="17"/>
        <v>0</v>
      </c>
      <c r="AG42" s="109">
        <f>SUM(D42:AF42)</f>
        <v>18.676971750243268</v>
      </c>
    </row>
    <row r="43" spans="2:35" ht="15.75" outlineLevel="1" thickBot="1">
      <c r="C43" s="28" t="s">
        <v>39</v>
      </c>
      <c r="D43" s="42">
        <f t="shared" ref="D43:AD43" si="18">SUM(D41:D42)</f>
        <v>5.3107158792559543</v>
      </c>
      <c r="E43" s="42">
        <f t="shared" si="18"/>
        <v>5.4610968675208209</v>
      </c>
      <c r="F43" s="42">
        <f t="shared" si="18"/>
        <v>6.4273884022383605</v>
      </c>
      <c r="G43" s="42">
        <f t="shared" si="18"/>
        <v>6.8682219031051321</v>
      </c>
      <c r="H43" s="42">
        <f t="shared" si="18"/>
        <v>6.0896389186119544</v>
      </c>
      <c r="I43" s="42">
        <f t="shared" si="18"/>
        <v>5.3844727981684031</v>
      </c>
      <c r="J43" s="42">
        <f t="shared" si="18"/>
        <v>4.8007392482015465</v>
      </c>
      <c r="K43" s="42">
        <f t="shared" si="18"/>
        <v>4.2269115806885686</v>
      </c>
      <c r="L43" s="42">
        <f t="shared" si="18"/>
        <v>3.6400709987575421</v>
      </c>
      <c r="M43" s="42">
        <f t="shared" si="18"/>
        <v>3.180791062852768</v>
      </c>
      <c r="N43" s="42">
        <f t="shared" si="18"/>
        <v>2.7994640976423062</v>
      </c>
      <c r="O43" s="42">
        <f t="shared" si="18"/>
        <v>2.4578875028421603</v>
      </c>
      <c r="P43" s="42">
        <f t="shared" si="18"/>
        <v>2.1792817018718438</v>
      </c>
      <c r="Q43" s="42">
        <f t="shared" si="18"/>
        <v>1.9457497729147124</v>
      </c>
      <c r="R43" s="42">
        <f t="shared" si="18"/>
        <v>1.7365786437536337</v>
      </c>
      <c r="S43" s="42">
        <f t="shared" si="18"/>
        <v>1.5571046786751661</v>
      </c>
      <c r="T43" s="42">
        <f t="shared" si="18"/>
        <v>1.3991093848104659</v>
      </c>
      <c r="U43" s="42">
        <f t="shared" si="18"/>
        <v>1.2522164095870112</v>
      </c>
      <c r="V43" s="42">
        <f t="shared" si="18"/>
        <v>1.1144480045485219</v>
      </c>
      <c r="W43" s="42">
        <f t="shared" si="18"/>
        <v>0.98831093877562837</v>
      </c>
      <c r="X43" s="42">
        <f t="shared" si="18"/>
        <v>0.87784743062052573</v>
      </c>
      <c r="Y43" s="42">
        <f t="shared" si="18"/>
        <v>0.55186669621139839</v>
      </c>
      <c r="Z43" s="42">
        <f t="shared" si="18"/>
        <v>4.9921271294211422E-2</v>
      </c>
      <c r="AA43" s="42">
        <f t="shared" si="18"/>
        <v>3.9103999637344344E-2</v>
      </c>
      <c r="AB43" s="42">
        <f t="shared" si="18"/>
        <v>0</v>
      </c>
      <c r="AC43" s="42">
        <f t="shared" si="18"/>
        <v>0</v>
      </c>
      <c r="AD43" s="42">
        <f t="shared" si="18"/>
        <v>0</v>
      </c>
      <c r="AE43" s="42">
        <f>SUM(AE41:AE42)</f>
        <v>0</v>
      </c>
      <c r="AF43" s="42">
        <f>SUM(AF41:AF42)</f>
        <v>0</v>
      </c>
      <c r="AG43" s="42">
        <f>SUM(D43:AF43)</f>
        <v>70.338938192585971</v>
      </c>
    </row>
    <row r="44" spans="2:35" ht="5.25" customHeight="1" outlineLevel="1" thickBot="1"/>
    <row r="45" spans="2:35" ht="16.5" thickTop="1" thickBot="1">
      <c r="C45" s="10" t="s">
        <v>771</v>
      </c>
      <c r="D45" s="108">
        <f>D37+D41</f>
        <v>6.0441570172702264</v>
      </c>
      <c r="E45" s="108">
        <f t="shared" ref="E45:AF45" si="19">E37+E41</f>
        <v>6.4791316076257601</v>
      </c>
      <c r="F45" s="108">
        <f t="shared" si="19"/>
        <v>7.569368979432177</v>
      </c>
      <c r="G45" s="108">
        <f t="shared" si="19"/>
        <v>8.2986733614074737</v>
      </c>
      <c r="H45" s="108">
        <f t="shared" si="19"/>
        <v>8.012703236488445</v>
      </c>
      <c r="I45" s="108">
        <f t="shared" si="19"/>
        <v>7.4715333259748409</v>
      </c>
      <c r="J45" s="108">
        <f t="shared" si="19"/>
        <v>6.9701570838629916</v>
      </c>
      <c r="K45" s="108">
        <f t="shared" si="19"/>
        <v>6.5169737845100908</v>
      </c>
      <c r="L45" s="108">
        <f t="shared" si="19"/>
        <v>5.6862889879910536</v>
      </c>
      <c r="M45" s="108">
        <f t="shared" si="19"/>
        <v>4.9688475335793552</v>
      </c>
      <c r="N45" s="108">
        <f t="shared" si="19"/>
        <v>4.3479480350109148</v>
      </c>
      <c r="O45" s="108">
        <f t="shared" si="19"/>
        <v>3.8064848452563282</v>
      </c>
      <c r="P45" s="108">
        <f t="shared" si="19"/>
        <v>3.3428739216211403</v>
      </c>
      <c r="Q45" s="108">
        <f t="shared" si="19"/>
        <v>2.9589962651770176</v>
      </c>
      <c r="R45" s="108">
        <f t="shared" si="19"/>
        <v>2.6199044628686696</v>
      </c>
      <c r="S45" s="108">
        <f t="shared" si="19"/>
        <v>2.2250969966301062</v>
      </c>
      <c r="T45" s="108">
        <f t="shared" si="19"/>
        <v>1.9815800133339581</v>
      </c>
      <c r="U45" s="108">
        <f t="shared" si="19"/>
        <v>1.7657898616716212</v>
      </c>
      <c r="V45" s="108">
        <f t="shared" si="19"/>
        <v>1.37914012111424</v>
      </c>
      <c r="W45" s="108">
        <f t="shared" si="19"/>
        <v>1.0617553736597873</v>
      </c>
      <c r="X45" s="108">
        <f t="shared" si="19"/>
        <v>0.94695432816781178</v>
      </c>
      <c r="Y45" s="108">
        <f t="shared" si="19"/>
        <v>0.68673683712057831</v>
      </c>
      <c r="Z45" s="108">
        <f t="shared" si="19"/>
        <v>0.29797593337240663</v>
      </c>
      <c r="AA45" s="108">
        <f t="shared" si="19"/>
        <v>0.26470200717615894</v>
      </c>
      <c r="AB45" s="108">
        <f t="shared" si="19"/>
        <v>0.20954914549490022</v>
      </c>
      <c r="AC45" s="108">
        <f t="shared" si="19"/>
        <v>0.19094839511419998</v>
      </c>
      <c r="AD45" s="108">
        <f t="shared" si="19"/>
        <v>0.1742680926877001</v>
      </c>
      <c r="AE45" s="108">
        <f t="shared" si="19"/>
        <v>0.15699665463660004</v>
      </c>
      <c r="AF45" s="108">
        <f t="shared" si="19"/>
        <v>9.6348604477200103E-2</v>
      </c>
      <c r="AG45" s="110">
        <f>SUM(D45:AF45)</f>
        <v>96.53188481273375</v>
      </c>
    </row>
    <row r="46" spans="2:35" ht="16.5" thickTop="1" thickBot="1">
      <c r="C46" s="10" t="s">
        <v>772</v>
      </c>
      <c r="D46" s="109">
        <f>D38+D42</f>
        <v>4.3554075686893636</v>
      </c>
      <c r="E46" s="109">
        <f t="shared" ref="E46:AF46" si="20">E38+E42</f>
        <v>4.8058813681051094</v>
      </c>
      <c r="F46" s="109">
        <f t="shared" si="20"/>
        <v>5.7139695177773611</v>
      </c>
      <c r="G46" s="109">
        <f t="shared" si="20"/>
        <v>5.9957469332688849</v>
      </c>
      <c r="H46" s="109">
        <f t="shared" si="20"/>
        <v>6.1075248176210648</v>
      </c>
      <c r="I46" s="109">
        <f t="shared" si="20"/>
        <v>5.6786423613870634</v>
      </c>
      <c r="J46" s="109">
        <f t="shared" si="20"/>
        <v>5.1860573087640303</v>
      </c>
      <c r="K46" s="109">
        <f t="shared" si="20"/>
        <v>4.7664120178237228</v>
      </c>
      <c r="L46" s="109">
        <f t="shared" si="20"/>
        <v>4.174259057402816</v>
      </c>
      <c r="M46" s="109">
        <f t="shared" si="20"/>
        <v>3.6655297415860337</v>
      </c>
      <c r="N46" s="109">
        <f t="shared" si="20"/>
        <v>3.2311275417030343</v>
      </c>
      <c r="O46" s="109">
        <f t="shared" si="20"/>
        <v>2.8624314796891968</v>
      </c>
      <c r="P46" s="109">
        <f t="shared" si="20"/>
        <v>2.5414395675466106</v>
      </c>
      <c r="Q46" s="109">
        <f t="shared" si="20"/>
        <v>2.259739945701305</v>
      </c>
      <c r="R46" s="109">
        <f t="shared" si="20"/>
        <v>2.0125010717912648</v>
      </c>
      <c r="S46" s="109">
        <f t="shared" si="20"/>
        <v>1.7828078879651965</v>
      </c>
      <c r="T46" s="109">
        <f t="shared" si="20"/>
        <v>1.5958814680552129</v>
      </c>
      <c r="U46" s="109">
        <f t="shared" si="20"/>
        <v>1.429136429575419</v>
      </c>
      <c r="V46" s="109">
        <f t="shared" si="20"/>
        <v>1.2609260801817617</v>
      </c>
      <c r="W46" s="109">
        <f t="shared" si="20"/>
        <v>1.1161385822588741</v>
      </c>
      <c r="X46" s="109">
        <f t="shared" si="20"/>
        <v>0.99857090551188077</v>
      </c>
      <c r="Y46" s="109">
        <f t="shared" si="20"/>
        <v>0.82195805708383674</v>
      </c>
      <c r="Z46" s="109">
        <f t="shared" si="20"/>
        <v>0.60306236016270509</v>
      </c>
      <c r="AA46" s="109">
        <f t="shared" si="20"/>
        <v>0.54274566758865217</v>
      </c>
      <c r="AB46" s="109">
        <f t="shared" si="20"/>
        <v>0.48571590894363331</v>
      </c>
      <c r="AC46" s="109">
        <f t="shared" si="20"/>
        <v>0.44073759320973338</v>
      </c>
      <c r="AD46" s="109">
        <f t="shared" si="20"/>
        <v>0.39658824168779988</v>
      </c>
      <c r="AE46" s="109">
        <f t="shared" si="20"/>
        <v>0.36039899762265004</v>
      </c>
      <c r="AF46" s="109">
        <f t="shared" si="20"/>
        <v>0.21895496357803296</v>
      </c>
      <c r="AG46" s="109">
        <f>SUM(D46:AF46)</f>
        <v>75.410293442282239</v>
      </c>
    </row>
    <row r="47" spans="2:35" ht="15.75" thickBot="1">
      <c r="C47" s="28" t="s">
        <v>781</v>
      </c>
      <c r="D47" s="42">
        <f>SUM(D45:D46)</f>
        <v>10.39956458595959</v>
      </c>
      <c r="E47" s="42">
        <f t="shared" ref="E47:AF47" si="21">SUM(E45:E46)</f>
        <v>11.285012975730869</v>
      </c>
      <c r="F47" s="42">
        <f t="shared" si="21"/>
        <v>13.283338497209538</v>
      </c>
      <c r="G47" s="42">
        <f t="shared" si="21"/>
        <v>14.294420294676359</v>
      </c>
      <c r="H47" s="42">
        <f t="shared" si="21"/>
        <v>14.120228054109511</v>
      </c>
      <c r="I47" s="42">
        <f t="shared" si="21"/>
        <v>13.150175687361905</v>
      </c>
      <c r="J47" s="42">
        <f t="shared" si="21"/>
        <v>12.156214392627021</v>
      </c>
      <c r="K47" s="42">
        <f t="shared" si="21"/>
        <v>11.283385802333814</v>
      </c>
      <c r="L47" s="42">
        <f t="shared" si="21"/>
        <v>9.8605480453938696</v>
      </c>
      <c r="M47" s="42">
        <f t="shared" si="21"/>
        <v>8.634377275165388</v>
      </c>
      <c r="N47" s="42">
        <f t="shared" si="21"/>
        <v>7.579075576713949</v>
      </c>
      <c r="O47" s="42">
        <f t="shared" si="21"/>
        <v>6.668916324945525</v>
      </c>
      <c r="P47" s="42">
        <f t="shared" si="21"/>
        <v>5.8843134891677504</v>
      </c>
      <c r="Q47" s="42">
        <f t="shared" si="21"/>
        <v>5.2187362108783226</v>
      </c>
      <c r="R47" s="42">
        <f t="shared" si="21"/>
        <v>4.6324055346599344</v>
      </c>
      <c r="S47" s="42">
        <f t="shared" si="21"/>
        <v>4.0079048845953027</v>
      </c>
      <c r="T47" s="42">
        <f t="shared" si="21"/>
        <v>3.5774614813891707</v>
      </c>
      <c r="U47" s="42">
        <f t="shared" si="21"/>
        <v>3.1949262912470404</v>
      </c>
      <c r="V47" s="42">
        <f t="shared" si="21"/>
        <v>2.6400662012960017</v>
      </c>
      <c r="W47" s="42">
        <f t="shared" si="21"/>
        <v>2.1778939559186616</v>
      </c>
      <c r="X47" s="42">
        <f t="shared" si="21"/>
        <v>1.9455252336796924</v>
      </c>
      <c r="Y47" s="42">
        <f t="shared" si="21"/>
        <v>1.5086948942044152</v>
      </c>
      <c r="Z47" s="42">
        <f t="shared" si="21"/>
        <v>0.90103829353511178</v>
      </c>
      <c r="AA47" s="42">
        <f t="shared" si="21"/>
        <v>0.80744767476481116</v>
      </c>
      <c r="AB47" s="42">
        <f t="shared" si="21"/>
        <v>0.69526505443853348</v>
      </c>
      <c r="AC47" s="42">
        <f t="shared" si="21"/>
        <v>0.63168598832393341</v>
      </c>
      <c r="AD47" s="42">
        <f t="shared" si="21"/>
        <v>0.57085633437549999</v>
      </c>
      <c r="AE47" s="42">
        <f t="shared" si="21"/>
        <v>0.51739565225925011</v>
      </c>
      <c r="AF47" s="42">
        <f t="shared" si="21"/>
        <v>0.31530356805523307</v>
      </c>
      <c r="AG47" s="42">
        <f>SUM(D47:AF47)</f>
        <v>171.94217825501596</v>
      </c>
    </row>
    <row r="50" spans="3:33" ht="26.25" customHeight="1">
      <c r="C50" s="111" t="s">
        <v>782</v>
      </c>
      <c r="D50" s="185" t="s">
        <v>773</v>
      </c>
      <c r="E50" s="112" t="s">
        <v>784</v>
      </c>
      <c r="F50" s="112" t="s">
        <v>652</v>
      </c>
      <c r="H50" s="385" t="s">
        <v>783</v>
      </c>
      <c r="I50" s="385"/>
      <c r="J50" s="385"/>
      <c r="K50" s="185" t="s">
        <v>773</v>
      </c>
      <c r="L50" s="112" t="s">
        <v>651</v>
      </c>
      <c r="M50" s="112" t="s">
        <v>652</v>
      </c>
    </row>
    <row r="51" spans="3:33" ht="3" customHeight="1" thickBot="1">
      <c r="C51" s="113"/>
      <c r="D51" s="114"/>
      <c r="E51" s="114"/>
      <c r="F51" s="115"/>
      <c r="H51" s="113"/>
      <c r="K51" s="114"/>
      <c r="L51" s="114"/>
      <c r="M51" s="115"/>
    </row>
    <row r="52" spans="3:33" ht="16.5" thickTop="1" thickBot="1">
      <c r="C52" s="116" t="s">
        <v>1178</v>
      </c>
      <c r="D52" s="117">
        <f>AG9</f>
        <v>36.76450990273235</v>
      </c>
      <c r="E52" s="117">
        <f>AG10</f>
        <v>46.488402436275706</v>
      </c>
      <c r="F52" s="117">
        <f>SUM(D52:E52)</f>
        <v>83.252912339008049</v>
      </c>
      <c r="H52" s="383" t="s">
        <v>1178</v>
      </c>
      <c r="I52" s="383"/>
      <c r="J52" s="384"/>
      <c r="K52" s="117">
        <f>AG37</f>
        <v>44.869918370391026</v>
      </c>
      <c r="L52" s="117">
        <f>AG38</f>
        <v>56.733321692038984</v>
      </c>
      <c r="M52" s="117">
        <f>SUM(K52:L52)</f>
        <v>101.60324006243002</v>
      </c>
    </row>
    <row r="53" spans="3:33" ht="16.5" thickTop="1" thickBot="1">
      <c r="C53" s="116" t="s">
        <v>39</v>
      </c>
      <c r="D53" s="117">
        <f>AG13</f>
        <v>38.648811725787233</v>
      </c>
      <c r="E53" s="117">
        <f>AG14</f>
        <v>15.390655027197628</v>
      </c>
      <c r="F53" s="117">
        <f>SUM(D53:E53)</f>
        <v>54.039466752984865</v>
      </c>
      <c r="H53" s="383" t="s">
        <v>39</v>
      </c>
      <c r="I53" s="383"/>
      <c r="J53" s="384"/>
      <c r="K53" s="117">
        <f>AG41</f>
        <v>51.661966442342717</v>
      </c>
      <c r="L53" s="117">
        <f>AG42</f>
        <v>18.676971750243268</v>
      </c>
      <c r="M53" s="117">
        <f>SUM(K53:L53)</f>
        <v>70.338938192585985</v>
      </c>
    </row>
    <row r="54" spans="3:33" ht="3" customHeight="1" thickTop="1" thickBot="1">
      <c r="C54" s="113"/>
      <c r="D54" s="114"/>
      <c r="E54" s="114"/>
      <c r="F54" s="115"/>
      <c r="H54" s="113"/>
      <c r="K54" s="114"/>
      <c r="L54" s="114"/>
      <c r="M54" s="115"/>
    </row>
    <row r="55" spans="3:33" ht="15.75" thickBot="1">
      <c r="C55" s="118" t="s">
        <v>654</v>
      </c>
      <c r="D55" s="119">
        <f>SUM(D52:D53)</f>
        <v>75.413321628519583</v>
      </c>
      <c r="E55" s="119">
        <f>SUM(E52:E53)</f>
        <v>61.87905746347333</v>
      </c>
      <c r="F55" s="119">
        <f>SUM(F52:F53)</f>
        <v>137.29237909199293</v>
      </c>
      <c r="H55" s="122" t="s">
        <v>655</v>
      </c>
      <c r="I55" s="120"/>
      <c r="J55" s="121"/>
      <c r="K55" s="119">
        <f>SUM(K52:K53)</f>
        <v>96.53188481273375</v>
      </c>
      <c r="L55" s="119">
        <f>SUM(L52:L53)</f>
        <v>75.410293442282253</v>
      </c>
      <c r="M55" s="119">
        <f>SUM(M52:M53)</f>
        <v>171.94217825501602</v>
      </c>
    </row>
    <row r="56" spans="3:33">
      <c r="C56" s="23"/>
      <c r="L56" s="172"/>
    </row>
    <row r="57" spans="3:33" s="3" customFormat="1" ht="12.75">
      <c r="C57" s="44" t="s">
        <v>778</v>
      </c>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row>
    <row r="58" spans="3:33" s="3" customFormat="1" ht="12.75">
      <c r="C58" s="44" t="s">
        <v>779</v>
      </c>
    </row>
    <row r="61" spans="3:33">
      <c r="C61" s="44" t="s">
        <v>1184</v>
      </c>
    </row>
    <row r="62" spans="3:33">
      <c r="C62" s="44" t="s">
        <v>1185</v>
      </c>
    </row>
    <row r="63" spans="3:33">
      <c r="C63" s="44" t="s">
        <v>1186</v>
      </c>
    </row>
    <row r="64" spans="3:33">
      <c r="C64" s="44" t="s">
        <v>1187</v>
      </c>
    </row>
  </sheetData>
  <mergeCells count="3">
    <mergeCell ref="H52:J52"/>
    <mergeCell ref="H53:J53"/>
    <mergeCell ref="H50:J50"/>
  </mergeCells>
  <pageMargins left="0.511811024" right="0.511811024" top="0.78740157499999996" bottom="0.78740157499999996" header="0.31496062000000002" footer="0.31496062000000002"/>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6B37A-B662-41AB-8EA5-9B6557A8B3D0}">
  <dimension ref="A2:BT48"/>
  <sheetViews>
    <sheetView showGridLines="0" workbookViewId="0">
      <pane xSplit="2" ySplit="14" topLeftCell="G15" activePane="bottomRight" state="frozen"/>
      <selection pane="topRight"/>
      <selection pane="bottomLeft"/>
      <selection pane="bottomRight" activeCell="Y39" sqref="Y39"/>
    </sheetView>
  </sheetViews>
  <sheetFormatPr defaultColWidth="9.140625" defaultRowHeight="12.75" outlineLevelRow="1" outlineLevelCol="1"/>
  <cols>
    <col min="1" max="1" width="10.140625" style="3" customWidth="1"/>
    <col min="2" max="2" width="2" style="3" customWidth="1"/>
    <col min="3" max="4" width="9.42578125" style="3" hidden="1" customWidth="1" outlineLevel="1"/>
    <col min="5" max="6" width="9.28515625" style="3" hidden="1" customWidth="1" outlineLevel="1"/>
    <col min="7" max="7" width="9.42578125" style="3" customWidth="1" collapsed="1"/>
    <col min="8" max="8" width="0.7109375" style="3" customWidth="1"/>
    <col min="9" max="10" width="9.42578125" style="3" hidden="1" customWidth="1" outlineLevel="1"/>
    <col min="11" max="12" width="9.28515625" style="3" hidden="1" customWidth="1" outlineLevel="1"/>
    <col min="13" max="13" width="9.85546875" style="3" customWidth="1" collapsed="1"/>
    <col min="14" max="14" width="0.7109375" style="3" customWidth="1"/>
    <col min="15" max="16" width="9.42578125" style="3" hidden="1" customWidth="1" outlineLevel="1"/>
    <col min="17" max="18" width="9.28515625" style="3" hidden="1" customWidth="1" outlineLevel="1"/>
    <col min="19" max="19" width="9.42578125" style="3" customWidth="1" collapsed="1"/>
    <col min="20" max="20" width="2" style="3" customWidth="1"/>
    <col min="21" max="21" width="9.85546875" style="3" hidden="1" customWidth="1" outlineLevel="1"/>
    <col min="22" max="22" width="9.42578125" style="3" hidden="1" customWidth="1" outlineLevel="1"/>
    <col min="23" max="24" width="9.28515625" style="3" hidden="1" customWidth="1" outlineLevel="1"/>
    <col min="25" max="25" width="9.42578125" style="3" customWidth="1" collapsed="1"/>
    <col min="26" max="26" width="0.7109375" style="3" customWidth="1"/>
    <col min="27" max="27" width="10" style="3" hidden="1" customWidth="1" outlineLevel="1"/>
    <col min="28" max="28" width="9.42578125" style="3" hidden="1" customWidth="1" outlineLevel="1"/>
    <col min="29" max="30" width="9.28515625" style="3" hidden="1" customWidth="1" outlineLevel="1"/>
    <col min="31" max="31" width="9.85546875" style="3" customWidth="1" collapsed="1"/>
    <col min="32" max="32" width="0.7109375" style="3" customWidth="1"/>
    <col min="33" max="34" width="9.42578125" style="3" hidden="1" customWidth="1" outlineLevel="1"/>
    <col min="35" max="36" width="9.28515625" style="3" hidden="1" customWidth="1" outlineLevel="1"/>
    <col min="37" max="37" width="9.42578125" style="3" customWidth="1" collapsed="1"/>
    <col min="38" max="38" width="2" style="3" customWidth="1"/>
    <col min="39" max="40" width="9.42578125" style="3" hidden="1" customWidth="1" outlineLevel="1"/>
    <col min="41" max="42" width="9.28515625" style="3" hidden="1" customWidth="1" outlineLevel="1"/>
    <col min="43" max="43" width="9.85546875" style="3" bestFit="1" customWidth="1" collapsed="1"/>
    <col min="44" max="44" width="0.7109375" style="3" customWidth="1"/>
    <col min="45" max="45" width="10" style="3" hidden="1" customWidth="1" outlineLevel="1"/>
    <col min="46" max="46" width="9.42578125" style="3" hidden="1" customWidth="1" outlineLevel="1"/>
    <col min="47" max="47" width="10" style="3" hidden="1" customWidth="1" outlineLevel="1"/>
    <col min="48" max="48" width="9.28515625" style="3" hidden="1" customWidth="1" outlineLevel="1"/>
    <col min="49" max="49" width="10" style="3" customWidth="1" collapsed="1"/>
    <col min="50" max="50" width="0.7109375" style="3" customWidth="1"/>
    <col min="51" max="52" width="9.42578125" style="3" hidden="1" customWidth="1" outlineLevel="1"/>
    <col min="53" max="54" width="9.28515625" style="3" hidden="1" customWidth="1" outlineLevel="1"/>
    <col min="55" max="55" width="9.5703125" style="3" customWidth="1" collapsed="1"/>
    <col min="56" max="16384" width="9.140625" style="3"/>
  </cols>
  <sheetData>
    <row r="2" spans="1:72" ht="18.75">
      <c r="E2" s="387" t="s">
        <v>1192</v>
      </c>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7"/>
      <c r="AK2" s="387"/>
      <c r="AL2" s="387"/>
      <c r="AM2" s="387"/>
      <c r="AN2" s="387"/>
      <c r="AO2" s="387"/>
      <c r="AP2" s="387"/>
      <c r="AQ2" s="387"/>
      <c r="AR2" s="387"/>
      <c r="AS2" s="387"/>
      <c r="AT2" s="387"/>
      <c r="AU2" s="387"/>
      <c r="AV2" s="387"/>
      <c r="AW2" s="387"/>
      <c r="AX2" s="387"/>
      <c r="AY2" s="387"/>
      <c r="AZ2" s="387"/>
      <c r="BA2" s="387"/>
      <c r="BB2" s="387"/>
      <c r="BC2" s="387"/>
      <c r="BD2" s="387"/>
      <c r="BE2" s="387"/>
      <c r="BF2" s="387"/>
      <c r="BG2" s="143"/>
      <c r="BH2" s="143"/>
      <c r="BI2" s="143"/>
      <c r="BJ2" s="143"/>
      <c r="BK2" s="143"/>
      <c r="BL2" s="143"/>
      <c r="BM2" s="143"/>
      <c r="BN2" s="143"/>
      <c r="BO2" s="143"/>
      <c r="BP2" s="143"/>
      <c r="BQ2" s="143"/>
      <c r="BR2" s="143"/>
      <c r="BS2" s="143"/>
      <c r="BT2" s="143"/>
    </row>
    <row r="3" spans="1:72">
      <c r="E3" s="388" t="s">
        <v>1193</v>
      </c>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388"/>
      <c r="AO3" s="388"/>
      <c r="AP3" s="388"/>
      <c r="AQ3" s="388"/>
      <c r="AR3" s="388"/>
      <c r="AS3" s="388"/>
      <c r="AT3" s="388"/>
      <c r="AU3" s="388"/>
      <c r="AV3" s="388"/>
      <c r="AW3" s="388"/>
      <c r="AX3" s="388"/>
      <c r="AY3" s="388"/>
      <c r="AZ3" s="388"/>
      <c r="BA3" s="388"/>
      <c r="BB3" s="388"/>
      <c r="BC3" s="388"/>
    </row>
    <row r="4" spans="1:72">
      <c r="E4" s="388" t="s">
        <v>1194</v>
      </c>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row>
    <row r="5" spans="1:72" ht="13.5" thickBot="1"/>
    <row r="6" spans="1:72" ht="13.5" thickBot="1">
      <c r="C6" s="389" t="s">
        <v>1178</v>
      </c>
      <c r="D6" s="389"/>
      <c r="E6" s="389"/>
      <c r="F6" s="389"/>
      <c r="G6" s="389"/>
      <c r="H6" s="389"/>
      <c r="I6" s="389"/>
      <c r="J6" s="389"/>
      <c r="K6" s="389"/>
      <c r="L6" s="389"/>
      <c r="M6" s="389"/>
      <c r="N6" s="389"/>
      <c r="O6" s="389"/>
      <c r="P6" s="389"/>
      <c r="Q6" s="389"/>
      <c r="R6" s="389"/>
      <c r="S6" s="389"/>
      <c r="U6" s="389" t="s">
        <v>39</v>
      </c>
      <c r="V6" s="389"/>
      <c r="W6" s="389"/>
      <c r="X6" s="389"/>
      <c r="Y6" s="389"/>
      <c r="Z6" s="389"/>
      <c r="AA6" s="389"/>
      <c r="AB6" s="389"/>
      <c r="AC6" s="389"/>
      <c r="AD6" s="389"/>
      <c r="AE6" s="389"/>
      <c r="AF6" s="389"/>
      <c r="AG6" s="389"/>
      <c r="AH6" s="389"/>
      <c r="AI6" s="389"/>
      <c r="AJ6" s="389"/>
      <c r="AK6" s="389"/>
      <c r="AM6" s="389" t="s">
        <v>1188</v>
      </c>
      <c r="AN6" s="389"/>
      <c r="AO6" s="389"/>
      <c r="AP6" s="389"/>
      <c r="AQ6" s="389"/>
      <c r="AR6" s="389"/>
      <c r="AS6" s="389"/>
      <c r="AT6" s="389"/>
      <c r="AU6" s="389"/>
      <c r="AV6" s="389"/>
      <c r="AW6" s="389"/>
      <c r="AX6" s="389"/>
      <c r="AY6" s="389"/>
      <c r="AZ6" s="389"/>
      <c r="BA6" s="389"/>
      <c r="BB6" s="389"/>
      <c r="BC6" s="389"/>
    </row>
    <row r="7" spans="1:72" customFormat="1" ht="3" customHeight="1">
      <c r="B7" s="3"/>
      <c r="C7" s="113"/>
      <c r="D7" s="114"/>
      <c r="E7" s="114"/>
      <c r="F7" s="114"/>
      <c r="G7" s="114"/>
      <c r="H7" s="3"/>
      <c r="I7" s="113"/>
      <c r="J7" s="114"/>
      <c r="K7" s="114"/>
      <c r="L7" s="114"/>
      <c r="M7" s="114"/>
      <c r="N7" s="3"/>
      <c r="O7" s="113"/>
      <c r="P7" s="114"/>
      <c r="Q7" s="114"/>
      <c r="R7" s="114"/>
      <c r="S7" s="114"/>
      <c r="T7" s="3"/>
      <c r="U7" s="113"/>
      <c r="V7" s="114"/>
      <c r="W7" s="114"/>
      <c r="X7" s="114"/>
      <c r="Y7" s="114"/>
      <c r="Z7" s="3"/>
      <c r="AA7" s="113"/>
      <c r="AB7" s="114"/>
      <c r="AC7" s="114"/>
      <c r="AD7" s="114"/>
      <c r="AE7" s="114"/>
      <c r="AF7" s="3"/>
      <c r="AG7" s="113"/>
      <c r="AH7" s="114"/>
      <c r="AI7" s="114"/>
      <c r="AJ7" s="114"/>
      <c r="AK7" s="114"/>
      <c r="AL7" s="3"/>
      <c r="AM7" s="113"/>
      <c r="AN7" s="114"/>
      <c r="AO7" s="114"/>
      <c r="AP7" s="114"/>
      <c r="AQ7" s="114"/>
      <c r="AR7" s="3"/>
      <c r="AS7" s="113"/>
      <c r="AT7" s="114"/>
      <c r="AU7" s="114"/>
      <c r="AV7" s="114"/>
      <c r="AW7" s="114"/>
      <c r="AX7" s="3"/>
      <c r="AY7" s="113"/>
      <c r="AZ7" s="114"/>
      <c r="BA7" s="114"/>
      <c r="BB7" s="114"/>
      <c r="BC7" s="114"/>
    </row>
    <row r="8" spans="1:72" customFormat="1" ht="15" customHeight="1">
      <c r="A8" s="128" t="s">
        <v>1181</v>
      </c>
      <c r="B8" s="3"/>
      <c r="C8" s="381" t="s">
        <v>1195</v>
      </c>
      <c r="D8" s="381"/>
      <c r="E8" s="381"/>
      <c r="F8" s="386"/>
      <c r="G8" s="380" t="s">
        <v>1196</v>
      </c>
      <c r="H8" s="3"/>
      <c r="I8" s="381" t="s">
        <v>931</v>
      </c>
      <c r="J8" s="381"/>
      <c r="K8" s="381"/>
      <c r="L8" s="386"/>
      <c r="M8" s="380" t="s">
        <v>1197</v>
      </c>
      <c r="N8" s="3"/>
      <c r="O8" s="381" t="s">
        <v>193</v>
      </c>
      <c r="P8" s="381"/>
      <c r="Q8" s="381"/>
      <c r="R8" s="386"/>
      <c r="S8" s="380" t="s">
        <v>1198</v>
      </c>
      <c r="T8" s="3"/>
      <c r="U8" s="381" t="s">
        <v>85</v>
      </c>
      <c r="V8" s="381"/>
      <c r="W8" s="381"/>
      <c r="X8" s="386"/>
      <c r="Y8" s="380" t="s">
        <v>1196</v>
      </c>
      <c r="Z8" s="3"/>
      <c r="AA8" s="381" t="s">
        <v>931</v>
      </c>
      <c r="AB8" s="381"/>
      <c r="AC8" s="381"/>
      <c r="AD8" s="386"/>
      <c r="AE8" s="380" t="s">
        <v>1197</v>
      </c>
      <c r="AF8" s="3"/>
      <c r="AG8" s="381" t="s">
        <v>193</v>
      </c>
      <c r="AH8" s="381"/>
      <c r="AI8" s="381"/>
      <c r="AJ8" s="386"/>
      <c r="AK8" s="380" t="s">
        <v>1198</v>
      </c>
      <c r="AL8" s="3"/>
      <c r="AM8" s="381" t="s">
        <v>85</v>
      </c>
      <c r="AN8" s="381"/>
      <c r="AO8" s="381"/>
      <c r="AP8" s="386"/>
      <c r="AQ8" s="380" t="s">
        <v>1196</v>
      </c>
      <c r="AR8" s="3"/>
      <c r="AS8" s="381" t="s">
        <v>931</v>
      </c>
      <c r="AT8" s="381"/>
      <c r="AU8" s="381"/>
      <c r="AV8" s="386"/>
      <c r="AW8" s="380" t="s">
        <v>1197</v>
      </c>
      <c r="AX8" s="3"/>
      <c r="AY8" s="381" t="s">
        <v>193</v>
      </c>
      <c r="AZ8" s="381"/>
      <c r="BA8" s="381"/>
      <c r="BB8" s="386"/>
      <c r="BC8" s="380" t="s">
        <v>1198</v>
      </c>
    </row>
    <row r="9" spans="1:72" customFormat="1" ht="3" customHeight="1">
      <c r="B9" s="3"/>
      <c r="C9" s="113"/>
      <c r="D9" s="114"/>
      <c r="E9" s="114"/>
      <c r="F9" s="114"/>
      <c r="G9" s="380"/>
      <c r="H9" s="3"/>
      <c r="I9" s="113"/>
      <c r="J9" s="114"/>
      <c r="K9" s="114"/>
      <c r="L9" s="114"/>
      <c r="M9" s="380"/>
      <c r="N9" s="3"/>
      <c r="O9" s="113"/>
      <c r="P9" s="114"/>
      <c r="Q9" s="114"/>
      <c r="R9" s="114"/>
      <c r="S9" s="380"/>
      <c r="T9" s="3"/>
      <c r="U9" s="113"/>
      <c r="V9" s="114"/>
      <c r="W9" s="114"/>
      <c r="X9" s="114"/>
      <c r="Y9" s="380"/>
      <c r="Z9" s="3"/>
      <c r="AA9" s="113"/>
      <c r="AB9" s="114"/>
      <c r="AC9" s="114"/>
      <c r="AD9" s="114"/>
      <c r="AE9" s="380"/>
      <c r="AF9" s="3"/>
      <c r="AG9" s="113"/>
      <c r="AH9" s="114"/>
      <c r="AI9" s="114"/>
      <c r="AJ9" s="114"/>
      <c r="AK9" s="380"/>
      <c r="AL9" s="3"/>
      <c r="AM9" s="113"/>
      <c r="AN9" s="114"/>
      <c r="AO9" s="114"/>
      <c r="AP9" s="114"/>
      <c r="AQ9" s="380"/>
      <c r="AR9" s="3"/>
      <c r="AS9" s="113"/>
      <c r="AT9" s="114"/>
      <c r="AU9" s="114"/>
      <c r="AV9" s="114"/>
      <c r="AW9" s="380"/>
      <c r="AX9" s="3"/>
      <c r="AY9" s="113"/>
      <c r="AZ9" s="114"/>
      <c r="BA9" s="114"/>
      <c r="BB9" s="114"/>
      <c r="BC9" s="380"/>
    </row>
    <row r="10" spans="1:72" ht="20.25" customHeight="1">
      <c r="A10" s="128" t="s">
        <v>656</v>
      </c>
      <c r="C10" s="129" t="s">
        <v>1199</v>
      </c>
      <c r="D10" s="129" t="s">
        <v>1200</v>
      </c>
      <c r="E10" s="129" t="s">
        <v>55</v>
      </c>
      <c r="F10" s="129" t="s">
        <v>1201</v>
      </c>
      <c r="G10" s="380"/>
      <c r="I10" s="129" t="s">
        <v>1199</v>
      </c>
      <c r="J10" s="129" t="s">
        <v>1200</v>
      </c>
      <c r="K10" s="129" t="s">
        <v>55</v>
      </c>
      <c r="L10" s="129" t="s">
        <v>1201</v>
      </c>
      <c r="M10" s="380"/>
      <c r="O10" s="129" t="s">
        <v>1199</v>
      </c>
      <c r="P10" s="129" t="s">
        <v>1200</v>
      </c>
      <c r="Q10" s="129" t="s">
        <v>55</v>
      </c>
      <c r="R10" s="129" t="s">
        <v>1201</v>
      </c>
      <c r="S10" s="380"/>
      <c r="U10" s="129" t="s">
        <v>1199</v>
      </c>
      <c r="V10" s="129" t="s">
        <v>1200</v>
      </c>
      <c r="W10" s="129" t="s">
        <v>55</v>
      </c>
      <c r="X10" s="129" t="s">
        <v>1201</v>
      </c>
      <c r="Y10" s="380"/>
      <c r="AA10" s="129" t="s">
        <v>1199</v>
      </c>
      <c r="AB10" s="129" t="s">
        <v>1200</v>
      </c>
      <c r="AC10" s="129" t="s">
        <v>55</v>
      </c>
      <c r="AD10" s="129" t="s">
        <v>1201</v>
      </c>
      <c r="AE10" s="380"/>
      <c r="AG10" s="129" t="s">
        <v>1199</v>
      </c>
      <c r="AH10" s="129" t="s">
        <v>1200</v>
      </c>
      <c r="AI10" s="129" t="s">
        <v>55</v>
      </c>
      <c r="AJ10" s="129" t="s">
        <v>1201</v>
      </c>
      <c r="AK10" s="380"/>
      <c r="AM10" s="129" t="s">
        <v>1199</v>
      </c>
      <c r="AN10" s="129" t="s">
        <v>1200</v>
      </c>
      <c r="AO10" s="129" t="s">
        <v>55</v>
      </c>
      <c r="AP10" s="129" t="s">
        <v>1201</v>
      </c>
      <c r="AQ10" s="380"/>
      <c r="AS10" s="129" t="s">
        <v>1199</v>
      </c>
      <c r="AT10" s="129" t="s">
        <v>1200</v>
      </c>
      <c r="AU10" s="129" t="s">
        <v>55</v>
      </c>
      <c r="AV10" s="129" t="s">
        <v>1201</v>
      </c>
      <c r="AW10" s="380"/>
      <c r="AY10" s="129" t="s">
        <v>1199</v>
      </c>
      <c r="AZ10" s="129" t="s">
        <v>1200</v>
      </c>
      <c r="BA10" s="129" t="s">
        <v>55</v>
      </c>
      <c r="BB10" s="129" t="s">
        <v>1201</v>
      </c>
      <c r="BC10" s="380"/>
    </row>
    <row r="11" spans="1:72" customFormat="1" ht="3" customHeight="1">
      <c r="B11" s="3"/>
      <c r="C11" s="113"/>
      <c r="D11" s="114"/>
      <c r="E11" s="114"/>
      <c r="F11" s="114"/>
      <c r="G11" s="114"/>
      <c r="H11" s="3"/>
      <c r="I11" s="113"/>
      <c r="J11" s="114"/>
      <c r="K11" s="114"/>
      <c r="L11" s="114"/>
      <c r="M11" s="114"/>
      <c r="N11" s="3"/>
      <c r="O11" s="113"/>
      <c r="P11" s="114"/>
      <c r="Q11" s="114"/>
      <c r="R11" s="114"/>
      <c r="S11" s="114"/>
      <c r="T11" s="3"/>
      <c r="U11" s="113"/>
      <c r="V11" s="114"/>
      <c r="W11" s="114"/>
      <c r="X11" s="114"/>
      <c r="Y11" s="114"/>
      <c r="Z11" s="3"/>
      <c r="AA11" s="113"/>
      <c r="AB11" s="114"/>
      <c r="AC11" s="114"/>
      <c r="AD11" s="114"/>
      <c r="AE11" s="114"/>
      <c r="AF11" s="3"/>
      <c r="AG11" s="113"/>
      <c r="AH11" s="114"/>
      <c r="AI11" s="114"/>
      <c r="AJ11" s="114"/>
      <c r="AK11" s="114"/>
      <c r="AL11" s="3"/>
      <c r="AM11" s="113"/>
      <c r="AN11" s="114"/>
      <c r="AO11" s="114"/>
      <c r="AP11" s="114"/>
      <c r="AQ11" s="114"/>
      <c r="AR11" s="3"/>
      <c r="AS11" s="113"/>
      <c r="AT11" s="114"/>
      <c r="AU11" s="114"/>
      <c r="AV11" s="114"/>
      <c r="AW11" s="114"/>
      <c r="AX11" s="3"/>
      <c r="AY11" s="113"/>
      <c r="AZ11" s="114"/>
      <c r="BA11" s="114"/>
      <c r="BB11" s="114"/>
      <c r="BC11" s="114"/>
    </row>
    <row r="12" spans="1:72" s="135" customFormat="1">
      <c r="A12" s="134"/>
      <c r="C12" s="136" t="s">
        <v>659</v>
      </c>
      <c r="D12" s="136" t="s">
        <v>659</v>
      </c>
      <c r="E12" s="136" t="s">
        <v>659</v>
      </c>
      <c r="F12" s="136" t="s">
        <v>659</v>
      </c>
      <c r="G12" s="136" t="s">
        <v>659</v>
      </c>
      <c r="I12" s="136" t="s">
        <v>659</v>
      </c>
      <c r="J12" s="136" t="s">
        <v>659</v>
      </c>
      <c r="K12" s="136" t="s">
        <v>659</v>
      </c>
      <c r="L12" s="136" t="s">
        <v>659</v>
      </c>
      <c r="M12" s="136" t="s">
        <v>659</v>
      </c>
      <c r="O12" s="136" t="s">
        <v>659</v>
      </c>
      <c r="P12" s="136" t="s">
        <v>659</v>
      </c>
      <c r="Q12" s="136" t="s">
        <v>659</v>
      </c>
      <c r="R12" s="136" t="s">
        <v>659</v>
      </c>
      <c r="S12" s="136" t="s">
        <v>659</v>
      </c>
      <c r="U12" s="136" t="s">
        <v>659</v>
      </c>
      <c r="V12" s="136" t="s">
        <v>659</v>
      </c>
      <c r="W12" s="136" t="s">
        <v>659</v>
      </c>
      <c r="X12" s="136" t="s">
        <v>659</v>
      </c>
      <c r="Y12" s="136" t="s">
        <v>659</v>
      </c>
      <c r="AA12" s="136" t="s">
        <v>659</v>
      </c>
      <c r="AB12" s="136" t="s">
        <v>659</v>
      </c>
      <c r="AC12" s="136" t="s">
        <v>659</v>
      </c>
      <c r="AD12" s="136" t="s">
        <v>659</v>
      </c>
      <c r="AE12" s="136" t="s">
        <v>659</v>
      </c>
      <c r="AG12" s="136" t="s">
        <v>659</v>
      </c>
      <c r="AH12" s="136" t="s">
        <v>659</v>
      </c>
      <c r="AI12" s="136" t="s">
        <v>659</v>
      </c>
      <c r="AJ12" s="136" t="s">
        <v>659</v>
      </c>
      <c r="AK12" s="136" t="s">
        <v>659</v>
      </c>
      <c r="AM12" s="136" t="s">
        <v>659</v>
      </c>
      <c r="AN12" s="136" t="s">
        <v>659</v>
      </c>
      <c r="AO12" s="136" t="s">
        <v>659</v>
      </c>
      <c r="AP12" s="136" t="s">
        <v>659</v>
      </c>
      <c r="AQ12" s="136" t="s">
        <v>659</v>
      </c>
      <c r="AS12" s="136" t="s">
        <v>659</v>
      </c>
      <c r="AT12" s="136" t="s">
        <v>659</v>
      </c>
      <c r="AU12" s="136" t="s">
        <v>659</v>
      </c>
      <c r="AV12" s="136" t="s">
        <v>659</v>
      </c>
      <c r="AW12" s="136" t="s">
        <v>659</v>
      </c>
      <c r="AY12" s="136" t="s">
        <v>659</v>
      </c>
      <c r="AZ12" s="136" t="s">
        <v>659</v>
      </c>
      <c r="BA12" s="136" t="s">
        <v>659</v>
      </c>
      <c r="BB12" s="136" t="s">
        <v>659</v>
      </c>
      <c r="BC12" s="136" t="s">
        <v>659</v>
      </c>
    </row>
    <row r="13" spans="1:72" s="135" customFormat="1" hidden="1" outlineLevel="1">
      <c r="A13" s="136" t="s">
        <v>1202</v>
      </c>
      <c r="C13" s="136"/>
      <c r="D13" s="136"/>
      <c r="E13" s="136"/>
      <c r="F13" s="136"/>
      <c r="G13" s="136"/>
      <c r="I13" s="295">
        <v>9.2499999999999999E-2</v>
      </c>
      <c r="J13" s="295">
        <f>$I$13</f>
        <v>9.2499999999999999E-2</v>
      </c>
      <c r="K13" s="295">
        <f>$I$13</f>
        <v>9.2499999999999999E-2</v>
      </c>
      <c r="L13" s="295">
        <f>$I$13</f>
        <v>9.2499999999999999E-2</v>
      </c>
      <c r="M13" s="136"/>
      <c r="O13" s="136"/>
      <c r="P13" s="136"/>
      <c r="Q13" s="136"/>
      <c r="R13" s="136"/>
      <c r="S13" s="136"/>
      <c r="U13" s="136"/>
      <c r="V13" s="136"/>
      <c r="W13" s="136"/>
      <c r="X13" s="136"/>
      <c r="Y13" s="136"/>
      <c r="AA13" s="295">
        <f>$I$13</f>
        <v>9.2499999999999999E-2</v>
      </c>
      <c r="AB13" s="295">
        <f>$I$13</f>
        <v>9.2499999999999999E-2</v>
      </c>
      <c r="AC13" s="295">
        <f>$I$13</f>
        <v>9.2499999999999999E-2</v>
      </c>
      <c r="AD13" s="295">
        <f>$I$13</f>
        <v>9.2499999999999999E-2</v>
      </c>
      <c r="AE13" s="136"/>
      <c r="AG13" s="136"/>
      <c r="AH13" s="136"/>
      <c r="AI13" s="136"/>
      <c r="AJ13" s="136"/>
      <c r="AK13" s="136"/>
      <c r="AM13" s="136"/>
      <c r="AN13" s="136"/>
      <c r="AO13" s="136"/>
      <c r="AP13" s="136"/>
      <c r="AQ13" s="136"/>
      <c r="AS13" s="136"/>
      <c r="AT13" s="136"/>
      <c r="AU13" s="136"/>
      <c r="AV13" s="136"/>
      <c r="AW13" s="136"/>
      <c r="AY13" s="136"/>
      <c r="AZ13" s="136"/>
      <c r="BA13" s="136"/>
      <c r="BB13" s="136"/>
      <c r="BC13" s="136"/>
    </row>
    <row r="14" spans="1:72" s="135" customFormat="1" hidden="1" outlineLevel="1">
      <c r="A14" s="136" t="s">
        <v>671</v>
      </c>
      <c r="C14" s="136"/>
      <c r="D14" s="136"/>
      <c r="E14" s="136"/>
      <c r="F14" s="136"/>
      <c r="G14" s="136"/>
      <c r="I14" s="136">
        <v>0</v>
      </c>
      <c r="J14" s="296">
        <v>0.12</v>
      </c>
      <c r="K14" s="296">
        <f>$J$14</f>
        <v>0.12</v>
      </c>
      <c r="L14" s="296">
        <f>$J$14</f>
        <v>0.12</v>
      </c>
      <c r="M14" s="136"/>
      <c r="O14" s="136"/>
      <c r="P14" s="136"/>
      <c r="Q14" s="136"/>
      <c r="R14" s="136"/>
      <c r="S14" s="136"/>
      <c r="U14" s="297"/>
      <c r="V14" s="297"/>
      <c r="W14" s="297"/>
      <c r="X14" s="296"/>
      <c r="Y14" s="136"/>
      <c r="AA14" s="296"/>
      <c r="AB14" s="296"/>
      <c r="AC14" s="296"/>
      <c r="AD14" s="296"/>
      <c r="AG14" s="136"/>
      <c r="AH14" s="136"/>
      <c r="AI14" s="136"/>
      <c r="AJ14" s="136"/>
      <c r="AK14" s="136"/>
      <c r="AM14" s="136"/>
      <c r="AN14" s="136"/>
      <c r="AO14" s="136"/>
      <c r="AP14" s="136"/>
      <c r="AQ14" s="136"/>
      <c r="AS14" s="136"/>
      <c r="AT14" s="136"/>
      <c r="AU14" s="136"/>
      <c r="AV14" s="136"/>
      <c r="AW14" s="136"/>
      <c r="AY14" s="136"/>
      <c r="AZ14" s="136"/>
      <c r="BA14" s="136"/>
      <c r="BB14" s="136"/>
      <c r="BC14" s="136"/>
    </row>
    <row r="15" spans="1:72" s="38" customFormat="1" collapsed="1">
      <c r="A15" s="131"/>
      <c r="C15" s="132"/>
      <c r="D15" s="132"/>
      <c r="E15" s="132"/>
      <c r="F15" s="132"/>
      <c r="G15" s="132"/>
      <c r="I15" s="132"/>
      <c r="J15" s="132"/>
      <c r="K15" s="132"/>
      <c r="L15" s="132"/>
      <c r="M15" s="132"/>
      <c r="O15" s="132"/>
      <c r="P15" s="132"/>
      <c r="Q15" s="132"/>
      <c r="R15" s="132"/>
      <c r="S15" s="132"/>
      <c r="U15" s="132"/>
      <c r="V15" s="132"/>
      <c r="W15" s="132"/>
      <c r="X15" s="132"/>
      <c r="Y15" s="132"/>
      <c r="AA15" s="132"/>
      <c r="AB15" s="132"/>
      <c r="AC15" s="132"/>
      <c r="AD15" s="132"/>
      <c r="AE15" s="132"/>
      <c r="AG15" s="132"/>
      <c r="AH15" s="132"/>
      <c r="AI15" s="132"/>
      <c r="AJ15" s="132"/>
      <c r="AK15" s="132"/>
      <c r="AM15" s="132"/>
      <c r="AN15" s="132"/>
      <c r="AO15" s="132"/>
      <c r="AP15" s="132"/>
      <c r="AQ15" s="132"/>
      <c r="AS15" s="132"/>
      <c r="AT15" s="132"/>
      <c r="AU15" s="132"/>
      <c r="AV15" s="132"/>
      <c r="AW15" s="132"/>
      <c r="AY15" s="132"/>
      <c r="AZ15" s="132"/>
      <c r="BA15" s="132"/>
      <c r="BB15" s="132"/>
      <c r="BC15" s="132"/>
    </row>
    <row r="16" spans="1:72">
      <c r="A16" s="123">
        <v>2024</v>
      </c>
      <c r="C16" s="124">
        <v>191543.97303284504</v>
      </c>
      <c r="D16" s="124">
        <v>31065.633048882097</v>
      </c>
      <c r="E16" s="124">
        <v>148794.32776673289</v>
      </c>
      <c r="F16" s="124">
        <v>0</v>
      </c>
      <c r="G16" s="170">
        <f>SUM(C16:F16)</f>
        <v>371403.93384846003</v>
      </c>
      <c r="I16" s="124">
        <f>C16*-(I$13+I$14)</f>
        <v>-17717.817505538165</v>
      </c>
      <c r="J16" s="124">
        <f>D16*-(J$13+J$14)</f>
        <v>-6601.4470228874452</v>
      </c>
      <c r="K16" s="124">
        <f t="shared" ref="K16:L31" si="0">E16*-(K$13+K$14)</f>
        <v>-31618.79465043074</v>
      </c>
      <c r="L16" s="124">
        <f t="shared" si="0"/>
        <v>0</v>
      </c>
      <c r="M16" s="170">
        <f>SUM(I16:L16)</f>
        <v>-55938.059178856347</v>
      </c>
      <c r="O16" s="124">
        <f t="shared" ref="O16:O46" si="1">C16+I16</f>
        <v>173826.15552730687</v>
      </c>
      <c r="P16" s="124">
        <f t="shared" ref="P16:P46" si="2">D16+J16</f>
        <v>24464.186025994652</v>
      </c>
      <c r="Q16" s="124">
        <f t="shared" ref="Q16:Q46" si="3">E16+K16</f>
        <v>117175.53311630216</v>
      </c>
      <c r="R16" s="124">
        <f t="shared" ref="R16:R46" si="4">F16+L16</f>
        <v>0</v>
      </c>
      <c r="S16" s="170">
        <f>SUM(O16:R16)</f>
        <v>315465.87466960365</v>
      </c>
      <c r="U16" s="124">
        <v>256958.23623838628</v>
      </c>
      <c r="V16" s="124">
        <v>20476.613066266407</v>
      </c>
      <c r="W16" s="124">
        <v>112035.85697684703</v>
      </c>
      <c r="X16" s="124">
        <v>7177.6969451595351</v>
      </c>
      <c r="Y16" s="170">
        <f>SUM(U16:X16)</f>
        <v>396648.40322665923</v>
      </c>
      <c r="AA16" s="124">
        <f>(U16*-(AA$13+AA$14))+-1563.38782499998</f>
        <v>-25332.024677050715</v>
      </c>
      <c r="AB16" s="124">
        <f>V16*-(AB$13+AB$14)</f>
        <v>-1894.0867086296425</v>
      </c>
      <c r="AC16" s="124">
        <f t="shared" ref="AC16:AD41" si="5">W16*-(AC$13+AC$14)</f>
        <v>-10363.316770358351</v>
      </c>
      <c r="AD16" s="124">
        <f t="shared" si="5"/>
        <v>-663.93696742725695</v>
      </c>
      <c r="AE16" s="170">
        <f>SUM(AA16:AD16)</f>
        <v>-38253.36512346597</v>
      </c>
      <c r="AG16" s="124">
        <f t="shared" ref="AG16:AG46" si="6">U16+AA16</f>
        <v>231626.21156133557</v>
      </c>
      <c r="AH16" s="124">
        <f t="shared" ref="AH16:AH46" si="7">V16+AB16</f>
        <v>18582.526357636765</v>
      </c>
      <c r="AI16" s="124">
        <f t="shared" ref="AI16:AI46" si="8">W16+AC16</f>
        <v>101672.54020648869</v>
      </c>
      <c r="AJ16" s="124">
        <f t="shared" ref="AJ16:AJ46" si="9">X16+AD16</f>
        <v>6513.7599777322785</v>
      </c>
      <c r="AK16" s="170">
        <f>SUM(AG16:AJ16)</f>
        <v>358395.03810319328</v>
      </c>
      <c r="AM16" s="124">
        <f t="shared" ref="AM16:AM46" si="10">C16+U16</f>
        <v>448502.20927123132</v>
      </c>
      <c r="AN16" s="124">
        <f t="shared" ref="AN16:AN46" si="11">D16+V16</f>
        <v>51542.246115148504</v>
      </c>
      <c r="AO16" s="124">
        <f t="shared" ref="AO16:AO46" si="12">E16+W16</f>
        <v>260830.18474357994</v>
      </c>
      <c r="AP16" s="124">
        <f t="shared" ref="AP16:AP46" si="13">F16+X16</f>
        <v>7177.6969451595351</v>
      </c>
      <c r="AQ16" s="170">
        <f t="shared" ref="AQ16:AQ46" si="14">SUM(AM16:AP16)</f>
        <v>768052.33707511937</v>
      </c>
      <c r="AS16" s="124">
        <f t="shared" ref="AS16:AS46" si="15">I16+AA16</f>
        <v>-43049.84218258888</v>
      </c>
      <c r="AT16" s="124">
        <f t="shared" ref="AT16:AT46" si="16">J16+AB16</f>
        <v>-8495.5337315170873</v>
      </c>
      <c r="AU16" s="124">
        <f t="shared" ref="AU16:AU46" si="17">K16+AC16</f>
        <v>-41982.111420789093</v>
      </c>
      <c r="AV16" s="124">
        <f t="shared" ref="AV16:AV46" si="18">L16+AD16</f>
        <v>-663.93696742725695</v>
      </c>
      <c r="AW16" s="170">
        <f t="shared" ref="AW16:AW46" si="19">SUM(AS16:AV16)</f>
        <v>-94191.424302322324</v>
      </c>
      <c r="AY16" s="124">
        <f t="shared" ref="AY16:AY46" si="20">O16+AG16</f>
        <v>405452.36708864244</v>
      </c>
      <c r="AZ16" s="124">
        <f t="shared" ref="AZ16:AZ46" si="21">P16+AH16</f>
        <v>43046.712383631413</v>
      </c>
      <c r="BA16" s="124">
        <f t="shared" ref="BA16:BA46" si="22">Q16+AI16</f>
        <v>218848.07332279085</v>
      </c>
      <c r="BB16" s="124">
        <f t="shared" ref="BB16:BB46" si="23">R16+AJ16</f>
        <v>6513.7599777322785</v>
      </c>
      <c r="BC16" s="170">
        <f t="shared" ref="BC16:BC46" si="24">SUM(AY16:BB16)</f>
        <v>673860.91277279705</v>
      </c>
    </row>
    <row r="17" spans="1:55">
      <c r="A17" s="123">
        <v>2025</v>
      </c>
      <c r="C17" s="124">
        <v>206937.79697743914</v>
      </c>
      <c r="D17" s="124">
        <v>32621.665955647437</v>
      </c>
      <c r="E17" s="124">
        <v>173536.77421584903</v>
      </c>
      <c r="F17" s="124">
        <v>0</v>
      </c>
      <c r="G17" s="170">
        <f t="shared" ref="G17:G46" si="25">SUM(C17:F17)</f>
        <v>413096.23714893562</v>
      </c>
      <c r="I17" s="124">
        <f t="shared" ref="I17:L46" si="26">C17*-(I$13+I$14)</f>
        <v>-19141.746220413119</v>
      </c>
      <c r="J17" s="124">
        <f t="shared" si="26"/>
        <v>-6932.1040155750798</v>
      </c>
      <c r="K17" s="124">
        <f t="shared" si="0"/>
        <v>-36876.56452086792</v>
      </c>
      <c r="L17" s="124">
        <f t="shared" si="0"/>
        <v>0</v>
      </c>
      <c r="M17" s="170">
        <f t="shared" ref="M17:M46" si="27">SUM(I17:L17)</f>
        <v>-62950.414756856117</v>
      </c>
      <c r="O17" s="124">
        <f t="shared" si="1"/>
        <v>187796.05075702601</v>
      </c>
      <c r="P17" s="124">
        <f t="shared" si="2"/>
        <v>25689.561940072359</v>
      </c>
      <c r="Q17" s="124">
        <f t="shared" si="3"/>
        <v>136660.20969498111</v>
      </c>
      <c r="R17" s="124">
        <f t="shared" si="4"/>
        <v>0</v>
      </c>
      <c r="S17" s="170">
        <f t="shared" ref="S17:S46" si="28">SUM(O17:R17)</f>
        <v>350145.82239207951</v>
      </c>
      <c r="U17" s="124">
        <v>281933.57156242261</v>
      </c>
      <c r="V17" s="124">
        <v>20682.578041241552</v>
      </c>
      <c r="W17" s="124">
        <v>108213.11971623496</v>
      </c>
      <c r="X17" s="124">
        <v>6960.0113125804692</v>
      </c>
      <c r="Y17" s="170">
        <f t="shared" ref="Y17:Y46" si="29">SUM(U17:X17)</f>
        <v>417789.28063247964</v>
      </c>
      <c r="AA17" s="124">
        <f t="shared" ref="AA17:AD46" si="30">U17*-(AA$13+AA$14)</f>
        <v>-26078.855369524092</v>
      </c>
      <c r="AB17" s="124">
        <f t="shared" si="30"/>
        <v>-1913.1384688148435</v>
      </c>
      <c r="AC17" s="124">
        <f t="shared" si="5"/>
        <v>-10009.713573751733</v>
      </c>
      <c r="AD17" s="124">
        <f t="shared" si="5"/>
        <v>-643.80104641369337</v>
      </c>
      <c r="AE17" s="170">
        <f t="shared" ref="AE17:AE46" si="31">SUM(AA17:AD17)</f>
        <v>-38645.508458504366</v>
      </c>
      <c r="AG17" s="124">
        <f t="shared" si="6"/>
        <v>255854.71619289852</v>
      </c>
      <c r="AH17" s="124">
        <f t="shared" si="7"/>
        <v>18769.439572426709</v>
      </c>
      <c r="AI17" s="124">
        <f t="shared" si="8"/>
        <v>98203.406142483218</v>
      </c>
      <c r="AJ17" s="124">
        <f t="shared" si="9"/>
        <v>6316.2102661667759</v>
      </c>
      <c r="AK17" s="170">
        <f t="shared" ref="AK17:AK46" si="32">SUM(AG17:AJ17)</f>
        <v>379143.77217397525</v>
      </c>
      <c r="AM17" s="124">
        <f t="shared" si="10"/>
        <v>488871.36853986175</v>
      </c>
      <c r="AN17" s="124">
        <f t="shared" si="11"/>
        <v>53304.243996888988</v>
      </c>
      <c r="AO17" s="124">
        <f t="shared" si="12"/>
        <v>281749.89393208397</v>
      </c>
      <c r="AP17" s="124">
        <f t="shared" si="13"/>
        <v>6960.0113125804692</v>
      </c>
      <c r="AQ17" s="170">
        <f t="shared" si="14"/>
        <v>830885.51778141514</v>
      </c>
      <c r="AS17" s="124">
        <f t="shared" si="15"/>
        <v>-45220.601589937214</v>
      </c>
      <c r="AT17" s="124">
        <f t="shared" si="16"/>
        <v>-8845.2424843899225</v>
      </c>
      <c r="AU17" s="124">
        <f t="shared" si="17"/>
        <v>-46886.278094619651</v>
      </c>
      <c r="AV17" s="124">
        <f t="shared" si="18"/>
        <v>-643.80104641369337</v>
      </c>
      <c r="AW17" s="170">
        <f t="shared" si="19"/>
        <v>-101595.92321536047</v>
      </c>
      <c r="AY17" s="124">
        <f t="shared" si="20"/>
        <v>443650.76694992452</v>
      </c>
      <c r="AZ17" s="124">
        <f t="shared" si="21"/>
        <v>44459.001512499068</v>
      </c>
      <c r="BA17" s="124">
        <f t="shared" si="22"/>
        <v>234863.61583746434</v>
      </c>
      <c r="BB17" s="124">
        <f t="shared" si="23"/>
        <v>6316.2102661667759</v>
      </c>
      <c r="BC17" s="170">
        <f t="shared" si="24"/>
        <v>729289.59456605476</v>
      </c>
    </row>
    <row r="18" spans="1:55">
      <c r="A18" s="123">
        <v>2026</v>
      </c>
      <c r="C18" s="124">
        <v>224322.53754176281</v>
      </c>
      <c r="D18" s="124">
        <v>38279.370578536254</v>
      </c>
      <c r="E18" s="124">
        <v>217426.86408725614</v>
      </c>
      <c r="F18" s="124">
        <v>0</v>
      </c>
      <c r="G18" s="170">
        <f t="shared" si="25"/>
        <v>480028.77220755519</v>
      </c>
      <c r="I18" s="124">
        <f t="shared" si="26"/>
        <v>-20749.834722613061</v>
      </c>
      <c r="J18" s="124">
        <f t="shared" si="26"/>
        <v>-8134.3662479389541</v>
      </c>
      <c r="K18" s="124">
        <f t="shared" si="0"/>
        <v>-46203.208618541925</v>
      </c>
      <c r="L18" s="124">
        <f t="shared" si="0"/>
        <v>0</v>
      </c>
      <c r="M18" s="170">
        <f t="shared" si="27"/>
        <v>-75087.409589093935</v>
      </c>
      <c r="O18" s="124">
        <f t="shared" si="1"/>
        <v>203572.70281914974</v>
      </c>
      <c r="P18" s="124">
        <f t="shared" si="2"/>
        <v>30145.004330597301</v>
      </c>
      <c r="Q18" s="124">
        <f t="shared" si="3"/>
        <v>171223.65546871422</v>
      </c>
      <c r="R18" s="124">
        <f t="shared" si="4"/>
        <v>0</v>
      </c>
      <c r="S18" s="170">
        <f t="shared" si="28"/>
        <v>404941.36261846125</v>
      </c>
      <c r="U18" s="124">
        <v>325582.95085638959</v>
      </c>
      <c r="V18" s="124">
        <v>23270.829202648158</v>
      </c>
      <c r="W18" s="124">
        <v>118991.65562309313</v>
      </c>
      <c r="X18" s="124">
        <v>7561.8414866348876</v>
      </c>
      <c r="Y18" s="170">
        <f t="shared" si="29"/>
        <v>475407.27716876572</v>
      </c>
      <c r="AA18" s="124">
        <f t="shared" si="30"/>
        <v>-30116.422954216036</v>
      </c>
      <c r="AB18" s="124">
        <f t="shared" si="30"/>
        <v>-2152.5517012449545</v>
      </c>
      <c r="AC18" s="124">
        <f t="shared" si="5"/>
        <v>-11006.728145136114</v>
      </c>
      <c r="AD18" s="124">
        <f t="shared" si="5"/>
        <v>-699.47033751372715</v>
      </c>
      <c r="AE18" s="170">
        <f t="shared" si="31"/>
        <v>-43975.173138110826</v>
      </c>
      <c r="AG18" s="124">
        <f t="shared" si="6"/>
        <v>295466.52790217358</v>
      </c>
      <c r="AH18" s="124">
        <f t="shared" si="7"/>
        <v>21118.277501403201</v>
      </c>
      <c r="AI18" s="124">
        <f t="shared" si="8"/>
        <v>107984.92747795701</v>
      </c>
      <c r="AJ18" s="124">
        <f t="shared" si="9"/>
        <v>6862.3711491211607</v>
      </c>
      <c r="AK18" s="170">
        <f t="shared" si="32"/>
        <v>431432.10403065494</v>
      </c>
      <c r="AM18" s="124">
        <f t="shared" si="10"/>
        <v>549905.4883981524</v>
      </c>
      <c r="AN18" s="124">
        <f t="shared" si="11"/>
        <v>61550.199781184412</v>
      </c>
      <c r="AO18" s="124">
        <f t="shared" si="12"/>
        <v>336418.51971034927</v>
      </c>
      <c r="AP18" s="124">
        <f t="shared" si="13"/>
        <v>7561.8414866348876</v>
      </c>
      <c r="AQ18" s="170">
        <f t="shared" si="14"/>
        <v>955436.04937632103</v>
      </c>
      <c r="AS18" s="124">
        <f t="shared" si="15"/>
        <v>-50866.257676829096</v>
      </c>
      <c r="AT18" s="124">
        <f t="shared" si="16"/>
        <v>-10286.91794918391</v>
      </c>
      <c r="AU18" s="124">
        <f t="shared" si="17"/>
        <v>-57209.936763678037</v>
      </c>
      <c r="AV18" s="124">
        <f t="shared" si="18"/>
        <v>-699.47033751372715</v>
      </c>
      <c r="AW18" s="170">
        <f t="shared" si="19"/>
        <v>-119062.58272720478</v>
      </c>
      <c r="AY18" s="124">
        <f t="shared" si="20"/>
        <v>499039.23072132329</v>
      </c>
      <c r="AZ18" s="124">
        <f t="shared" si="21"/>
        <v>51263.281832000503</v>
      </c>
      <c r="BA18" s="124">
        <f t="shared" si="22"/>
        <v>279208.58294667123</v>
      </c>
      <c r="BB18" s="124">
        <f t="shared" si="23"/>
        <v>6862.3711491211607</v>
      </c>
      <c r="BC18" s="170">
        <f t="shared" si="24"/>
        <v>836373.46664911613</v>
      </c>
    </row>
    <row r="19" spans="1:55">
      <c r="A19" s="123">
        <v>2027</v>
      </c>
      <c r="C19" s="124">
        <v>242844.39613705818</v>
      </c>
      <c r="D19" s="124">
        <v>40124.111926022393</v>
      </c>
      <c r="E19" s="124">
        <v>230604.21095742634</v>
      </c>
      <c r="F19" s="124">
        <v>0</v>
      </c>
      <c r="G19" s="170">
        <f t="shared" si="25"/>
        <v>513572.71902050695</v>
      </c>
      <c r="I19" s="124">
        <f t="shared" si="26"/>
        <v>-22463.106642677882</v>
      </c>
      <c r="J19" s="124">
        <f t="shared" si="26"/>
        <v>-8526.3737842797582</v>
      </c>
      <c r="K19" s="124">
        <f t="shared" si="0"/>
        <v>-49003.3948284531</v>
      </c>
      <c r="L19" s="124">
        <f t="shared" si="0"/>
        <v>0</v>
      </c>
      <c r="M19" s="170">
        <f t="shared" si="27"/>
        <v>-79992.875255410734</v>
      </c>
      <c r="O19" s="124">
        <f t="shared" si="1"/>
        <v>220381.2894943803</v>
      </c>
      <c r="P19" s="124">
        <f t="shared" si="2"/>
        <v>31597.738141742637</v>
      </c>
      <c r="Q19" s="124">
        <f t="shared" si="3"/>
        <v>181600.81612897324</v>
      </c>
      <c r="R19" s="124">
        <f t="shared" si="4"/>
        <v>0</v>
      </c>
      <c r="S19" s="170">
        <f t="shared" si="28"/>
        <v>433579.84376509616</v>
      </c>
      <c r="U19" s="124">
        <v>344318.14891737892</v>
      </c>
      <c r="V19" s="124">
        <v>23668.995147115504</v>
      </c>
      <c r="W19" s="124">
        <v>119480.27335573675</v>
      </c>
      <c r="X19" s="124">
        <v>7507.6236179369844</v>
      </c>
      <c r="Y19" s="170">
        <f t="shared" si="29"/>
        <v>494975.04103816813</v>
      </c>
      <c r="AA19" s="124">
        <f t="shared" si="30"/>
        <v>-31849.428774857548</v>
      </c>
      <c r="AB19" s="124">
        <f t="shared" si="30"/>
        <v>-2189.382051108184</v>
      </c>
      <c r="AC19" s="124">
        <f t="shared" si="5"/>
        <v>-11051.925285405649</v>
      </c>
      <c r="AD19" s="124">
        <f t="shared" si="5"/>
        <v>-694.4551846591711</v>
      </c>
      <c r="AE19" s="170">
        <f t="shared" si="31"/>
        <v>-45785.191296030549</v>
      </c>
      <c r="AG19" s="124">
        <f t="shared" si="6"/>
        <v>312468.72014252137</v>
      </c>
      <c r="AH19" s="124">
        <f t="shared" si="7"/>
        <v>21479.613096007321</v>
      </c>
      <c r="AI19" s="124">
        <f t="shared" si="8"/>
        <v>108428.34807033109</v>
      </c>
      <c r="AJ19" s="124">
        <f t="shared" si="9"/>
        <v>6813.1684332778132</v>
      </c>
      <c r="AK19" s="170">
        <f t="shared" si="32"/>
        <v>449189.84974213759</v>
      </c>
      <c r="AM19" s="124">
        <f t="shared" si="10"/>
        <v>587162.54505443713</v>
      </c>
      <c r="AN19" s="124">
        <f t="shared" si="11"/>
        <v>63793.1070731379</v>
      </c>
      <c r="AO19" s="124">
        <f t="shared" si="12"/>
        <v>350084.48431316309</v>
      </c>
      <c r="AP19" s="124">
        <f t="shared" si="13"/>
        <v>7507.6236179369844</v>
      </c>
      <c r="AQ19" s="170">
        <f t="shared" si="14"/>
        <v>1008547.7600586751</v>
      </c>
      <c r="AS19" s="124">
        <f t="shared" si="15"/>
        <v>-54312.53541753543</v>
      </c>
      <c r="AT19" s="124">
        <f t="shared" si="16"/>
        <v>-10715.755835387943</v>
      </c>
      <c r="AU19" s="124">
        <f t="shared" si="17"/>
        <v>-60055.320113858746</v>
      </c>
      <c r="AV19" s="124">
        <f t="shared" si="18"/>
        <v>-694.4551846591711</v>
      </c>
      <c r="AW19" s="170">
        <f t="shared" si="19"/>
        <v>-125778.06655144128</v>
      </c>
      <c r="AY19" s="124">
        <f t="shared" si="20"/>
        <v>532850.00963690167</v>
      </c>
      <c r="AZ19" s="124">
        <f t="shared" si="21"/>
        <v>53077.351237749957</v>
      </c>
      <c r="BA19" s="124">
        <f t="shared" si="22"/>
        <v>290029.1641993043</v>
      </c>
      <c r="BB19" s="124">
        <f t="shared" si="23"/>
        <v>6813.1684332778132</v>
      </c>
      <c r="BC19" s="170">
        <f t="shared" si="24"/>
        <v>882769.69350723375</v>
      </c>
    </row>
    <row r="20" spans="1:55">
      <c r="A20" s="123">
        <v>2028</v>
      </c>
      <c r="C20" s="124">
        <v>254704.33590427894</v>
      </c>
      <c r="D20" s="124">
        <v>43513.385375469443</v>
      </c>
      <c r="E20" s="124">
        <v>254352.30369435338</v>
      </c>
      <c r="F20" s="124">
        <v>0</v>
      </c>
      <c r="G20" s="170">
        <f t="shared" si="25"/>
        <v>552570.02497410169</v>
      </c>
      <c r="I20" s="124">
        <f t="shared" si="26"/>
        <v>-23560.151071145803</v>
      </c>
      <c r="J20" s="124">
        <f t="shared" si="26"/>
        <v>-9246.5943922872557</v>
      </c>
      <c r="K20" s="124">
        <f t="shared" si="0"/>
        <v>-54049.864535050096</v>
      </c>
      <c r="L20" s="124">
        <f t="shared" si="0"/>
        <v>0</v>
      </c>
      <c r="M20" s="170">
        <f t="shared" si="27"/>
        <v>-86856.609998483153</v>
      </c>
      <c r="O20" s="124">
        <f t="shared" si="1"/>
        <v>231144.18483313313</v>
      </c>
      <c r="P20" s="124">
        <f t="shared" si="2"/>
        <v>34266.790983182189</v>
      </c>
      <c r="Q20" s="124">
        <f t="shared" si="3"/>
        <v>200302.43915930329</v>
      </c>
      <c r="R20" s="124">
        <f t="shared" si="4"/>
        <v>0</v>
      </c>
      <c r="S20" s="170">
        <f t="shared" si="28"/>
        <v>465713.41497561859</v>
      </c>
      <c r="U20" s="124">
        <v>304222.8898745745</v>
      </c>
      <c r="V20" s="124">
        <v>20105.566247946881</v>
      </c>
      <c r="W20" s="124">
        <v>100799.61692102427</v>
      </c>
      <c r="X20" s="124">
        <v>6276.4087530229772</v>
      </c>
      <c r="Y20" s="170">
        <f t="shared" si="29"/>
        <v>431404.48179656861</v>
      </c>
      <c r="AA20" s="124">
        <f t="shared" si="30"/>
        <v>-28140.617313398139</v>
      </c>
      <c r="AB20" s="124">
        <f t="shared" si="30"/>
        <v>-1859.7648779350866</v>
      </c>
      <c r="AC20" s="124">
        <f t="shared" si="5"/>
        <v>-9323.9645651947449</v>
      </c>
      <c r="AD20" s="124">
        <f t="shared" si="5"/>
        <v>-580.56780965462542</v>
      </c>
      <c r="AE20" s="170">
        <f t="shared" si="31"/>
        <v>-39904.914566182597</v>
      </c>
      <c r="AG20" s="124">
        <f t="shared" si="6"/>
        <v>276082.27256117633</v>
      </c>
      <c r="AH20" s="124">
        <f t="shared" si="7"/>
        <v>18245.801370011795</v>
      </c>
      <c r="AI20" s="124">
        <f t="shared" si="8"/>
        <v>91475.652355829516</v>
      </c>
      <c r="AJ20" s="124">
        <f t="shared" si="9"/>
        <v>5695.8409433683519</v>
      </c>
      <c r="AK20" s="170">
        <f t="shared" si="32"/>
        <v>391499.56723038602</v>
      </c>
      <c r="AM20" s="124">
        <f t="shared" si="10"/>
        <v>558927.2257788534</v>
      </c>
      <c r="AN20" s="124">
        <f t="shared" si="11"/>
        <v>63618.951623416324</v>
      </c>
      <c r="AO20" s="124">
        <f t="shared" si="12"/>
        <v>355151.92061537766</v>
      </c>
      <c r="AP20" s="124">
        <f t="shared" si="13"/>
        <v>6276.4087530229772</v>
      </c>
      <c r="AQ20" s="170">
        <f t="shared" si="14"/>
        <v>983974.50677067041</v>
      </c>
      <c r="AS20" s="124">
        <f t="shared" si="15"/>
        <v>-51700.768384543946</v>
      </c>
      <c r="AT20" s="124">
        <f t="shared" si="16"/>
        <v>-11106.359270222343</v>
      </c>
      <c r="AU20" s="124">
        <f t="shared" si="17"/>
        <v>-63373.829100244839</v>
      </c>
      <c r="AV20" s="124">
        <f t="shared" si="18"/>
        <v>-580.56780965462542</v>
      </c>
      <c r="AW20" s="170">
        <f t="shared" si="19"/>
        <v>-126761.52456466576</v>
      </c>
      <c r="AY20" s="124">
        <f t="shared" si="20"/>
        <v>507226.45739430946</v>
      </c>
      <c r="AZ20" s="124">
        <f t="shared" si="21"/>
        <v>52512.592353193984</v>
      </c>
      <c r="BA20" s="124">
        <f t="shared" si="22"/>
        <v>291778.09151513281</v>
      </c>
      <c r="BB20" s="124">
        <f t="shared" si="23"/>
        <v>5695.8409433683519</v>
      </c>
      <c r="BC20" s="170">
        <f t="shared" si="24"/>
        <v>857212.98220600467</v>
      </c>
    </row>
    <row r="21" spans="1:55">
      <c r="A21" s="123">
        <v>2029</v>
      </c>
      <c r="C21" s="124">
        <v>248719.3598202492</v>
      </c>
      <c r="D21" s="124">
        <v>41998.853313804168</v>
      </c>
      <c r="E21" s="124">
        <v>240795.55504962581</v>
      </c>
      <c r="F21" s="124">
        <v>0</v>
      </c>
      <c r="G21" s="170">
        <f t="shared" si="25"/>
        <v>531513.7681836792</v>
      </c>
      <c r="I21" s="124">
        <f t="shared" si="26"/>
        <v>-23006.54078337305</v>
      </c>
      <c r="J21" s="124">
        <f t="shared" si="26"/>
        <v>-8924.7563291833849</v>
      </c>
      <c r="K21" s="124">
        <f t="shared" si="0"/>
        <v>-51169.055448045481</v>
      </c>
      <c r="L21" s="124">
        <f t="shared" si="0"/>
        <v>0</v>
      </c>
      <c r="M21" s="170">
        <f t="shared" si="27"/>
        <v>-83100.352560601925</v>
      </c>
      <c r="O21" s="124">
        <f t="shared" si="1"/>
        <v>225712.81903687614</v>
      </c>
      <c r="P21" s="124">
        <f t="shared" si="2"/>
        <v>33074.096984620781</v>
      </c>
      <c r="Q21" s="124">
        <f t="shared" si="3"/>
        <v>189626.49960158032</v>
      </c>
      <c r="R21" s="124">
        <f t="shared" si="4"/>
        <v>0</v>
      </c>
      <c r="S21" s="170">
        <f t="shared" si="28"/>
        <v>448413.41562307725</v>
      </c>
      <c r="U21" s="124">
        <v>268990.38015748258</v>
      </c>
      <c r="V21" s="124">
        <v>17292.069073236624</v>
      </c>
      <c r="W21" s="124">
        <v>86401.504229687474</v>
      </c>
      <c r="X21" s="124">
        <v>5355.411119591141</v>
      </c>
      <c r="Y21" s="170">
        <f t="shared" si="29"/>
        <v>378039.36457999778</v>
      </c>
      <c r="AA21" s="124">
        <f t="shared" si="30"/>
        <v>-24881.610164567137</v>
      </c>
      <c r="AB21" s="124">
        <f t="shared" si="30"/>
        <v>-1599.5163892743876</v>
      </c>
      <c r="AC21" s="124">
        <f t="shared" si="5"/>
        <v>-7992.1391412460916</v>
      </c>
      <c r="AD21" s="124">
        <f t="shared" si="5"/>
        <v>-495.37552856218053</v>
      </c>
      <c r="AE21" s="170">
        <f t="shared" si="31"/>
        <v>-34968.6412236498</v>
      </c>
      <c r="AG21" s="124">
        <f t="shared" si="6"/>
        <v>244108.76999291545</v>
      </c>
      <c r="AH21" s="124">
        <f t="shared" si="7"/>
        <v>15692.552683962236</v>
      </c>
      <c r="AI21" s="124">
        <f t="shared" si="8"/>
        <v>78409.36508844138</v>
      </c>
      <c r="AJ21" s="124">
        <f t="shared" si="9"/>
        <v>4860.03559102896</v>
      </c>
      <c r="AK21" s="170">
        <f t="shared" si="32"/>
        <v>343070.72335634805</v>
      </c>
      <c r="AM21" s="124">
        <f t="shared" si="10"/>
        <v>517709.73997773178</v>
      </c>
      <c r="AN21" s="124">
        <f t="shared" si="11"/>
        <v>59290.922387040788</v>
      </c>
      <c r="AO21" s="124">
        <f t="shared" si="12"/>
        <v>327197.05927931331</v>
      </c>
      <c r="AP21" s="124">
        <f t="shared" si="13"/>
        <v>5355.411119591141</v>
      </c>
      <c r="AQ21" s="170">
        <f t="shared" si="14"/>
        <v>909553.13276367693</v>
      </c>
      <c r="AS21" s="124">
        <f t="shared" si="15"/>
        <v>-47888.150947940187</v>
      </c>
      <c r="AT21" s="124">
        <f t="shared" si="16"/>
        <v>-10524.272718457772</v>
      </c>
      <c r="AU21" s="124">
        <f t="shared" si="17"/>
        <v>-59161.194589291576</v>
      </c>
      <c r="AV21" s="124">
        <f t="shared" si="18"/>
        <v>-495.37552856218053</v>
      </c>
      <c r="AW21" s="170">
        <f t="shared" si="19"/>
        <v>-118068.99378425171</v>
      </c>
      <c r="AY21" s="124">
        <f t="shared" si="20"/>
        <v>469821.58902979159</v>
      </c>
      <c r="AZ21" s="124">
        <f t="shared" si="21"/>
        <v>48766.649668583021</v>
      </c>
      <c r="BA21" s="124">
        <f t="shared" si="22"/>
        <v>268035.86469002173</v>
      </c>
      <c r="BB21" s="124">
        <f t="shared" si="23"/>
        <v>4860.03559102896</v>
      </c>
      <c r="BC21" s="170">
        <f t="shared" si="24"/>
        <v>791484.1389794253</v>
      </c>
    </row>
    <row r="22" spans="1:55">
      <c r="A22" s="123">
        <v>2030</v>
      </c>
      <c r="C22" s="124">
        <v>240048.97122127109</v>
      </c>
      <c r="D22" s="124">
        <v>39286.822237273795</v>
      </c>
      <c r="E22" s="124">
        <v>221329.63770198269</v>
      </c>
      <c r="F22" s="124">
        <v>0</v>
      </c>
      <c r="G22" s="170">
        <f t="shared" si="25"/>
        <v>500665.43116052757</v>
      </c>
      <c r="I22" s="124">
        <f t="shared" si="26"/>
        <v>-22204.529837967577</v>
      </c>
      <c r="J22" s="124">
        <f t="shared" si="26"/>
        <v>-8348.4497254206817</v>
      </c>
      <c r="K22" s="124">
        <f t="shared" si="0"/>
        <v>-47032.548011671322</v>
      </c>
      <c r="L22" s="124">
        <f t="shared" si="0"/>
        <v>0</v>
      </c>
      <c r="M22" s="170">
        <f t="shared" si="27"/>
        <v>-77585.52757505959</v>
      </c>
      <c r="O22" s="124">
        <f t="shared" si="1"/>
        <v>217844.44138330352</v>
      </c>
      <c r="P22" s="124">
        <f t="shared" si="2"/>
        <v>30938.372511853115</v>
      </c>
      <c r="Q22" s="124">
        <f t="shared" si="3"/>
        <v>174297.08969031138</v>
      </c>
      <c r="R22" s="124">
        <f t="shared" si="4"/>
        <v>0</v>
      </c>
      <c r="S22" s="170">
        <f t="shared" si="28"/>
        <v>423079.90358546801</v>
      </c>
      <c r="U22" s="124">
        <v>240893.64253274392</v>
      </c>
      <c r="V22" s="124">
        <v>14914.57741457142</v>
      </c>
      <c r="W22" s="124">
        <v>74356.196237498269</v>
      </c>
      <c r="X22" s="124">
        <v>4595.0143828294131</v>
      </c>
      <c r="Y22" s="170">
        <f t="shared" si="29"/>
        <v>334759.43056764302</v>
      </c>
      <c r="AA22" s="124">
        <f t="shared" si="30"/>
        <v>-22282.661934278811</v>
      </c>
      <c r="AB22" s="124">
        <f t="shared" si="30"/>
        <v>-1379.5984108478563</v>
      </c>
      <c r="AC22" s="124">
        <f t="shared" si="5"/>
        <v>-6877.9481519685896</v>
      </c>
      <c r="AD22" s="124">
        <f t="shared" si="5"/>
        <v>-425.03883041172071</v>
      </c>
      <c r="AE22" s="170">
        <f t="shared" si="31"/>
        <v>-30965.247327506979</v>
      </c>
      <c r="AG22" s="124">
        <f t="shared" si="6"/>
        <v>218610.9805984651</v>
      </c>
      <c r="AH22" s="124">
        <f t="shared" si="7"/>
        <v>13534.979003723563</v>
      </c>
      <c r="AI22" s="124">
        <f t="shared" si="8"/>
        <v>67478.248085529674</v>
      </c>
      <c r="AJ22" s="124">
        <f t="shared" si="9"/>
        <v>4169.9755524176926</v>
      </c>
      <c r="AK22" s="170">
        <f t="shared" si="32"/>
        <v>303794.18324013602</v>
      </c>
      <c r="AM22" s="124">
        <f t="shared" si="10"/>
        <v>480942.61375401501</v>
      </c>
      <c r="AN22" s="124">
        <f t="shared" si="11"/>
        <v>54201.399651845219</v>
      </c>
      <c r="AO22" s="124">
        <f t="shared" si="12"/>
        <v>295685.83393948094</v>
      </c>
      <c r="AP22" s="124">
        <f t="shared" si="13"/>
        <v>4595.0143828294131</v>
      </c>
      <c r="AQ22" s="170">
        <f t="shared" si="14"/>
        <v>835424.86172817054</v>
      </c>
      <c r="AS22" s="124">
        <f t="shared" si="15"/>
        <v>-44487.191772246384</v>
      </c>
      <c r="AT22" s="124">
        <f t="shared" si="16"/>
        <v>-9728.0481362685387</v>
      </c>
      <c r="AU22" s="124">
        <f t="shared" si="17"/>
        <v>-53910.496163639909</v>
      </c>
      <c r="AV22" s="124">
        <f t="shared" si="18"/>
        <v>-425.03883041172071</v>
      </c>
      <c r="AW22" s="170">
        <f t="shared" si="19"/>
        <v>-108550.77490256655</v>
      </c>
      <c r="AY22" s="124">
        <f t="shared" si="20"/>
        <v>436455.42198176862</v>
      </c>
      <c r="AZ22" s="124">
        <f t="shared" si="21"/>
        <v>44473.35151557668</v>
      </c>
      <c r="BA22" s="124">
        <f t="shared" si="22"/>
        <v>241775.33777584106</v>
      </c>
      <c r="BB22" s="124">
        <f t="shared" si="23"/>
        <v>4169.9755524176926</v>
      </c>
      <c r="BC22" s="170">
        <f t="shared" si="24"/>
        <v>726874.08682560397</v>
      </c>
    </row>
    <row r="23" spans="1:55">
      <c r="A23" s="123">
        <v>2031</v>
      </c>
      <c r="C23" s="124">
        <v>236853.71287283959</v>
      </c>
      <c r="D23" s="124">
        <v>36947.95606922132</v>
      </c>
      <c r="E23" s="124">
        <v>205233.10270906493</v>
      </c>
      <c r="F23" s="124">
        <v>0</v>
      </c>
      <c r="G23" s="170">
        <f t="shared" si="25"/>
        <v>479034.77165112586</v>
      </c>
      <c r="I23" s="124">
        <f t="shared" si="26"/>
        <v>-21908.968440737663</v>
      </c>
      <c r="J23" s="124">
        <f t="shared" si="26"/>
        <v>-7851.4406647095302</v>
      </c>
      <c r="K23" s="124">
        <f t="shared" si="0"/>
        <v>-43612.034325676294</v>
      </c>
      <c r="L23" s="124">
        <f t="shared" si="0"/>
        <v>0</v>
      </c>
      <c r="M23" s="170">
        <f t="shared" si="27"/>
        <v>-73372.44343112348</v>
      </c>
      <c r="O23" s="124">
        <f t="shared" si="1"/>
        <v>214944.74443210193</v>
      </c>
      <c r="P23" s="124">
        <f t="shared" si="2"/>
        <v>29096.515404511789</v>
      </c>
      <c r="Q23" s="124">
        <f t="shared" si="3"/>
        <v>161621.06838338863</v>
      </c>
      <c r="R23" s="124">
        <f t="shared" si="4"/>
        <v>0</v>
      </c>
      <c r="S23" s="170">
        <f t="shared" si="28"/>
        <v>405662.32822000235</v>
      </c>
      <c r="U23" s="124">
        <v>212669.70423133156</v>
      </c>
      <c r="V23" s="124">
        <v>12886.631117669571</v>
      </c>
      <c r="W23" s="124">
        <v>64176.932510549414</v>
      </c>
      <c r="X23" s="124">
        <v>3959.9106510653587</v>
      </c>
      <c r="Y23" s="170">
        <f t="shared" si="29"/>
        <v>293693.17851061589</v>
      </c>
      <c r="AA23" s="124">
        <f t="shared" si="30"/>
        <v>-19671.947641398168</v>
      </c>
      <c r="AB23" s="124">
        <f t="shared" si="30"/>
        <v>-1192.0133783844353</v>
      </c>
      <c r="AC23" s="124">
        <f t="shared" si="5"/>
        <v>-5936.3662572258208</v>
      </c>
      <c r="AD23" s="124">
        <f t="shared" si="5"/>
        <v>-366.29173522354569</v>
      </c>
      <c r="AE23" s="170">
        <f t="shared" si="31"/>
        <v>-27166.619012231971</v>
      </c>
      <c r="AG23" s="124">
        <f t="shared" si="6"/>
        <v>192997.75658993339</v>
      </c>
      <c r="AH23" s="124">
        <f t="shared" si="7"/>
        <v>11694.617739285135</v>
      </c>
      <c r="AI23" s="124">
        <f t="shared" si="8"/>
        <v>58240.566253323595</v>
      </c>
      <c r="AJ23" s="124">
        <f t="shared" si="9"/>
        <v>3593.6189158418128</v>
      </c>
      <c r="AK23" s="170">
        <f t="shared" si="32"/>
        <v>266526.5594983839</v>
      </c>
      <c r="AM23" s="124">
        <f t="shared" si="10"/>
        <v>449523.41710417112</v>
      </c>
      <c r="AN23" s="124">
        <f t="shared" si="11"/>
        <v>49834.587186890887</v>
      </c>
      <c r="AO23" s="124">
        <f t="shared" si="12"/>
        <v>269410.03521961434</v>
      </c>
      <c r="AP23" s="124">
        <f t="shared" si="13"/>
        <v>3959.9106510653587</v>
      </c>
      <c r="AQ23" s="170">
        <f t="shared" si="14"/>
        <v>772727.95016174181</v>
      </c>
      <c r="AS23" s="124">
        <f t="shared" si="15"/>
        <v>-41580.916082135831</v>
      </c>
      <c r="AT23" s="124">
        <f t="shared" si="16"/>
        <v>-9043.4540430939651</v>
      </c>
      <c r="AU23" s="124">
        <f t="shared" si="17"/>
        <v>-49548.400582902112</v>
      </c>
      <c r="AV23" s="124">
        <f t="shared" si="18"/>
        <v>-366.29173522354569</v>
      </c>
      <c r="AW23" s="170">
        <f t="shared" si="19"/>
        <v>-100539.06244335546</v>
      </c>
      <c r="AY23" s="124">
        <f t="shared" si="20"/>
        <v>407942.50102203531</v>
      </c>
      <c r="AZ23" s="124">
        <f t="shared" si="21"/>
        <v>40791.13314379692</v>
      </c>
      <c r="BA23" s="124">
        <f t="shared" si="22"/>
        <v>219861.63463671223</v>
      </c>
      <c r="BB23" s="124">
        <f t="shared" si="23"/>
        <v>3593.6189158418128</v>
      </c>
      <c r="BC23" s="170">
        <f t="shared" si="24"/>
        <v>672188.88771838625</v>
      </c>
    </row>
    <row r="24" spans="1:55">
      <c r="A24" s="123">
        <v>2032</v>
      </c>
      <c r="C24" s="124">
        <v>209299.17222404847</v>
      </c>
      <c r="D24" s="124">
        <v>32476.932682982195</v>
      </c>
      <c r="E24" s="124">
        <v>178326.68788874155</v>
      </c>
      <c r="F24" s="124">
        <v>0</v>
      </c>
      <c r="G24" s="170">
        <f t="shared" si="25"/>
        <v>420102.7927957722</v>
      </c>
      <c r="I24" s="124">
        <f t="shared" si="26"/>
        <v>-19360.173430724484</v>
      </c>
      <c r="J24" s="124">
        <f t="shared" si="26"/>
        <v>-6901.3481951337162</v>
      </c>
      <c r="K24" s="124">
        <f t="shared" si="0"/>
        <v>-37894.42117635758</v>
      </c>
      <c r="L24" s="124">
        <f t="shared" si="0"/>
        <v>0</v>
      </c>
      <c r="M24" s="170">
        <f t="shared" si="27"/>
        <v>-64155.942802215781</v>
      </c>
      <c r="O24" s="124">
        <f t="shared" si="1"/>
        <v>189938.99879332399</v>
      </c>
      <c r="P24" s="124">
        <f t="shared" si="2"/>
        <v>25575.584487848479</v>
      </c>
      <c r="Q24" s="124">
        <f t="shared" si="3"/>
        <v>140432.26671238398</v>
      </c>
      <c r="R24" s="124">
        <f t="shared" si="4"/>
        <v>0</v>
      </c>
      <c r="S24" s="170">
        <f t="shared" si="28"/>
        <v>355946.84999355645</v>
      </c>
      <c r="U24" s="124">
        <v>182862.02820055484</v>
      </c>
      <c r="V24" s="124">
        <v>11133.099202726115</v>
      </c>
      <c r="W24" s="124">
        <v>55443.988107710349</v>
      </c>
      <c r="X24" s="124">
        <v>3421.0705668910996</v>
      </c>
      <c r="Y24" s="170">
        <f t="shared" si="29"/>
        <v>252860.18607788242</v>
      </c>
      <c r="AA24" s="124">
        <f t="shared" si="30"/>
        <v>-16914.737608551321</v>
      </c>
      <c r="AB24" s="124">
        <f t="shared" si="30"/>
        <v>-1029.8116762521656</v>
      </c>
      <c r="AC24" s="124">
        <f t="shared" si="5"/>
        <v>-5128.5688999632075</v>
      </c>
      <c r="AD24" s="124">
        <f t="shared" si="5"/>
        <v>-316.44902743742671</v>
      </c>
      <c r="AE24" s="170">
        <f t="shared" si="31"/>
        <v>-23389.567212204118</v>
      </c>
      <c r="AG24" s="124">
        <f t="shared" si="6"/>
        <v>165947.29059200353</v>
      </c>
      <c r="AH24" s="124">
        <f t="shared" si="7"/>
        <v>10103.287526473949</v>
      </c>
      <c r="AI24" s="124">
        <f t="shared" si="8"/>
        <v>50315.419207747138</v>
      </c>
      <c r="AJ24" s="124">
        <f t="shared" si="9"/>
        <v>3104.621539453673</v>
      </c>
      <c r="AK24" s="170">
        <f t="shared" si="32"/>
        <v>229470.61886567832</v>
      </c>
      <c r="AM24" s="124">
        <f t="shared" si="10"/>
        <v>392161.2004246033</v>
      </c>
      <c r="AN24" s="124">
        <f t="shared" si="11"/>
        <v>43610.031885708311</v>
      </c>
      <c r="AO24" s="124">
        <f t="shared" si="12"/>
        <v>233770.6759964519</v>
      </c>
      <c r="AP24" s="124">
        <f t="shared" si="13"/>
        <v>3421.0705668910996</v>
      </c>
      <c r="AQ24" s="170">
        <f t="shared" si="14"/>
        <v>672962.97887365462</v>
      </c>
      <c r="AS24" s="124">
        <f t="shared" si="15"/>
        <v>-36274.911039275801</v>
      </c>
      <c r="AT24" s="124">
        <f t="shared" si="16"/>
        <v>-7931.1598713858821</v>
      </c>
      <c r="AU24" s="124">
        <f t="shared" si="17"/>
        <v>-43022.990076320784</v>
      </c>
      <c r="AV24" s="124">
        <f t="shared" si="18"/>
        <v>-316.44902743742671</v>
      </c>
      <c r="AW24" s="170">
        <f t="shared" si="19"/>
        <v>-87545.510014419895</v>
      </c>
      <c r="AY24" s="124">
        <f t="shared" si="20"/>
        <v>355886.28938532749</v>
      </c>
      <c r="AZ24" s="124">
        <f t="shared" si="21"/>
        <v>35678.872014322427</v>
      </c>
      <c r="BA24" s="124">
        <f t="shared" si="22"/>
        <v>190747.6859201311</v>
      </c>
      <c r="BB24" s="124">
        <f t="shared" si="23"/>
        <v>3104.621539453673</v>
      </c>
      <c r="BC24" s="170">
        <f t="shared" si="24"/>
        <v>585417.46885923471</v>
      </c>
    </row>
    <row r="25" spans="1:55">
      <c r="A25" s="123">
        <v>2033</v>
      </c>
      <c r="C25" s="124">
        <v>183023.92051374307</v>
      </c>
      <c r="D25" s="124">
        <v>28505.986501205043</v>
      </c>
      <c r="E25" s="124">
        <v>155838.7070209051</v>
      </c>
      <c r="F25" s="124">
        <v>0</v>
      </c>
      <c r="G25" s="170">
        <f t="shared" si="25"/>
        <v>367368.61403585318</v>
      </c>
      <c r="I25" s="124">
        <f t="shared" si="26"/>
        <v>-16929.712647521235</v>
      </c>
      <c r="J25" s="124">
        <f t="shared" si="26"/>
        <v>-6057.5221315060717</v>
      </c>
      <c r="K25" s="124">
        <f t="shared" si="0"/>
        <v>-33115.725241942331</v>
      </c>
      <c r="L25" s="124">
        <f t="shared" si="0"/>
        <v>0</v>
      </c>
      <c r="M25" s="170">
        <f t="shared" si="27"/>
        <v>-56102.960020969636</v>
      </c>
      <c r="O25" s="124">
        <f t="shared" si="1"/>
        <v>166094.20786622184</v>
      </c>
      <c r="P25" s="124">
        <f t="shared" si="2"/>
        <v>22448.464369698973</v>
      </c>
      <c r="Q25" s="124">
        <f t="shared" si="3"/>
        <v>122722.98177896277</v>
      </c>
      <c r="R25" s="124">
        <f t="shared" si="4"/>
        <v>0</v>
      </c>
      <c r="S25" s="170">
        <f t="shared" si="28"/>
        <v>311265.65401488356</v>
      </c>
      <c r="U25" s="124">
        <v>159485.73815482785</v>
      </c>
      <c r="V25" s="124">
        <v>9776.8299921924481</v>
      </c>
      <c r="W25" s="124">
        <v>48689.626846166284</v>
      </c>
      <c r="X25" s="124">
        <v>3004.3049757000367</v>
      </c>
      <c r="Y25" s="170">
        <f t="shared" si="29"/>
        <v>220956.49996888661</v>
      </c>
      <c r="AA25" s="124">
        <f t="shared" si="30"/>
        <v>-14752.430779321576</v>
      </c>
      <c r="AB25" s="124">
        <f t="shared" si="30"/>
        <v>-904.35677427780149</v>
      </c>
      <c r="AC25" s="124">
        <f t="shared" si="5"/>
        <v>-4503.7904832703816</v>
      </c>
      <c r="AD25" s="124">
        <f t="shared" si="5"/>
        <v>-277.89821025225342</v>
      </c>
      <c r="AE25" s="170">
        <f t="shared" si="31"/>
        <v>-20438.476247122013</v>
      </c>
      <c r="AG25" s="124">
        <f t="shared" si="6"/>
        <v>144733.30737550627</v>
      </c>
      <c r="AH25" s="124">
        <f t="shared" si="7"/>
        <v>8872.4732179146467</v>
      </c>
      <c r="AI25" s="124">
        <f t="shared" si="8"/>
        <v>44185.836362895905</v>
      </c>
      <c r="AJ25" s="124">
        <f t="shared" si="9"/>
        <v>2726.4067654477831</v>
      </c>
      <c r="AK25" s="170">
        <f t="shared" si="32"/>
        <v>200518.02372176459</v>
      </c>
      <c r="AM25" s="124">
        <f t="shared" si="10"/>
        <v>342509.65866857092</v>
      </c>
      <c r="AN25" s="124">
        <f t="shared" si="11"/>
        <v>38282.816493397491</v>
      </c>
      <c r="AO25" s="124">
        <f t="shared" si="12"/>
        <v>204528.33386707137</v>
      </c>
      <c r="AP25" s="124">
        <f t="shared" si="13"/>
        <v>3004.3049757000367</v>
      </c>
      <c r="AQ25" s="170">
        <f t="shared" si="14"/>
        <v>588325.11400473968</v>
      </c>
      <c r="AS25" s="124">
        <f t="shared" si="15"/>
        <v>-31682.143426842813</v>
      </c>
      <c r="AT25" s="124">
        <f t="shared" si="16"/>
        <v>-6961.8789057838731</v>
      </c>
      <c r="AU25" s="124">
        <f t="shared" si="17"/>
        <v>-37619.51572521271</v>
      </c>
      <c r="AV25" s="124">
        <f t="shared" si="18"/>
        <v>-277.89821025225342</v>
      </c>
      <c r="AW25" s="170">
        <f t="shared" si="19"/>
        <v>-76541.436268091653</v>
      </c>
      <c r="AY25" s="124">
        <f t="shared" si="20"/>
        <v>310827.51524172811</v>
      </c>
      <c r="AZ25" s="124">
        <f t="shared" si="21"/>
        <v>31320.937587613618</v>
      </c>
      <c r="BA25" s="124">
        <f t="shared" si="22"/>
        <v>166908.81814185868</v>
      </c>
      <c r="BB25" s="124">
        <f t="shared" si="23"/>
        <v>2726.4067654477831</v>
      </c>
      <c r="BC25" s="170">
        <f t="shared" si="24"/>
        <v>511783.67773664818</v>
      </c>
    </row>
    <row r="26" spans="1:55">
      <c r="A26" s="123">
        <v>2034</v>
      </c>
      <c r="C26" s="124">
        <v>159438.73077775474</v>
      </c>
      <c r="D26" s="124">
        <v>25075.181647434947</v>
      </c>
      <c r="E26" s="124">
        <v>136914.84970809528</v>
      </c>
      <c r="F26" s="124">
        <v>0</v>
      </c>
      <c r="G26" s="170">
        <f t="shared" si="25"/>
        <v>321428.76213328494</v>
      </c>
      <c r="I26" s="124">
        <f t="shared" si="26"/>
        <v>-14748.082596942313</v>
      </c>
      <c r="J26" s="124">
        <f t="shared" si="26"/>
        <v>-5328.4761000799263</v>
      </c>
      <c r="K26" s="124">
        <f t="shared" si="0"/>
        <v>-29094.405562970245</v>
      </c>
      <c r="L26" s="124">
        <f t="shared" si="0"/>
        <v>0</v>
      </c>
      <c r="M26" s="170">
        <f t="shared" si="27"/>
        <v>-49170.964259992485</v>
      </c>
      <c r="O26" s="124">
        <f t="shared" si="1"/>
        <v>144690.64818081242</v>
      </c>
      <c r="P26" s="124">
        <f t="shared" si="2"/>
        <v>19746.705547355021</v>
      </c>
      <c r="Q26" s="124">
        <f t="shared" si="3"/>
        <v>107820.44414512503</v>
      </c>
      <c r="R26" s="124">
        <f t="shared" si="4"/>
        <v>0</v>
      </c>
      <c r="S26" s="170">
        <f t="shared" si="28"/>
        <v>272257.79787329247</v>
      </c>
      <c r="U26" s="124">
        <v>140090.01004827954</v>
      </c>
      <c r="V26" s="124">
        <v>8649.6925069970584</v>
      </c>
      <c r="W26" s="124">
        <v>43076.365328830827</v>
      </c>
      <c r="X26" s="124">
        <v>2657.9488705843078</v>
      </c>
      <c r="Y26" s="170">
        <f t="shared" si="29"/>
        <v>194474.01675469172</v>
      </c>
      <c r="AA26" s="124">
        <f t="shared" si="30"/>
        <v>-12958.325929465856</v>
      </c>
      <c r="AB26" s="124">
        <f t="shared" si="30"/>
        <v>-800.09655689722786</v>
      </c>
      <c r="AC26" s="124">
        <f t="shared" si="5"/>
        <v>-3984.5637929168515</v>
      </c>
      <c r="AD26" s="124">
        <f t="shared" si="5"/>
        <v>-245.86027052904848</v>
      </c>
      <c r="AE26" s="170">
        <f t="shared" si="31"/>
        <v>-17988.846549808983</v>
      </c>
      <c r="AG26" s="124">
        <f t="shared" si="6"/>
        <v>127131.68411881369</v>
      </c>
      <c r="AH26" s="124">
        <f t="shared" si="7"/>
        <v>7849.5959500998306</v>
      </c>
      <c r="AI26" s="124">
        <f t="shared" si="8"/>
        <v>39091.801535913975</v>
      </c>
      <c r="AJ26" s="124">
        <f t="shared" si="9"/>
        <v>2412.0886000552591</v>
      </c>
      <c r="AK26" s="170">
        <f t="shared" si="32"/>
        <v>176485.17020488277</v>
      </c>
      <c r="AM26" s="124">
        <f t="shared" si="10"/>
        <v>299528.74082603428</v>
      </c>
      <c r="AN26" s="124">
        <f t="shared" si="11"/>
        <v>33724.874154432007</v>
      </c>
      <c r="AO26" s="124">
        <f t="shared" si="12"/>
        <v>179991.21503692609</v>
      </c>
      <c r="AP26" s="124">
        <f t="shared" si="13"/>
        <v>2657.9488705843078</v>
      </c>
      <c r="AQ26" s="170">
        <f t="shared" si="14"/>
        <v>515902.77888797672</v>
      </c>
      <c r="AS26" s="124">
        <f t="shared" si="15"/>
        <v>-27706.40852640817</v>
      </c>
      <c r="AT26" s="124">
        <f t="shared" si="16"/>
        <v>-6128.5726569771541</v>
      </c>
      <c r="AU26" s="124">
        <f t="shared" si="17"/>
        <v>-33078.969355887093</v>
      </c>
      <c r="AV26" s="124">
        <f t="shared" si="18"/>
        <v>-245.86027052904848</v>
      </c>
      <c r="AW26" s="170">
        <f t="shared" si="19"/>
        <v>-67159.810809801478</v>
      </c>
      <c r="AY26" s="124">
        <f t="shared" si="20"/>
        <v>271822.33229962608</v>
      </c>
      <c r="AZ26" s="124">
        <f t="shared" si="21"/>
        <v>27596.30149745485</v>
      </c>
      <c r="BA26" s="124">
        <f t="shared" si="22"/>
        <v>146912.245681039</v>
      </c>
      <c r="BB26" s="124">
        <f t="shared" si="23"/>
        <v>2412.0886000552591</v>
      </c>
      <c r="BC26" s="170">
        <f t="shared" si="24"/>
        <v>448742.96807817521</v>
      </c>
    </row>
    <row r="27" spans="1:55">
      <c r="A27" s="123">
        <v>2035</v>
      </c>
      <c r="C27" s="124">
        <v>139738.52199991478</v>
      </c>
      <c r="D27" s="124">
        <v>22171.538542919581</v>
      </c>
      <c r="E27" s="124">
        <v>121047.16676418361</v>
      </c>
      <c r="F27" s="124">
        <v>0</v>
      </c>
      <c r="G27" s="170">
        <f t="shared" si="25"/>
        <v>282957.22730701801</v>
      </c>
      <c r="I27" s="124">
        <f t="shared" si="26"/>
        <v>-12925.813284992117</v>
      </c>
      <c r="J27" s="124">
        <f t="shared" si="26"/>
        <v>-4711.4519403704107</v>
      </c>
      <c r="K27" s="124">
        <f t="shared" si="0"/>
        <v>-25722.522937389018</v>
      </c>
      <c r="L27" s="124">
        <f t="shared" si="0"/>
        <v>0</v>
      </c>
      <c r="M27" s="170">
        <f t="shared" si="27"/>
        <v>-43359.788162751545</v>
      </c>
      <c r="O27" s="124">
        <f t="shared" si="1"/>
        <v>126812.70871492266</v>
      </c>
      <c r="P27" s="124">
        <f t="shared" si="2"/>
        <v>17460.08660254917</v>
      </c>
      <c r="Q27" s="124">
        <f t="shared" si="3"/>
        <v>95324.643826794592</v>
      </c>
      <c r="R27" s="124">
        <f t="shared" si="4"/>
        <v>0</v>
      </c>
      <c r="S27" s="170">
        <f t="shared" si="28"/>
        <v>239597.43914426642</v>
      </c>
      <c r="U27" s="124">
        <v>122378.90431800345</v>
      </c>
      <c r="V27" s="124">
        <v>7705.0483044089815</v>
      </c>
      <c r="W27" s="124">
        <v>38371.939274885779</v>
      </c>
      <c r="X27" s="124">
        <v>2367.6708067475124</v>
      </c>
      <c r="Y27" s="170">
        <f t="shared" si="29"/>
        <v>170823.56270404573</v>
      </c>
      <c r="AA27" s="124">
        <f t="shared" si="30"/>
        <v>-11320.048649415319</v>
      </c>
      <c r="AB27" s="124">
        <f t="shared" si="30"/>
        <v>-712.71696815783082</v>
      </c>
      <c r="AC27" s="124">
        <f t="shared" si="5"/>
        <v>-3549.4043829269344</v>
      </c>
      <c r="AD27" s="124">
        <f t="shared" si="5"/>
        <v>-219.00954962414491</v>
      </c>
      <c r="AE27" s="170">
        <f t="shared" si="31"/>
        <v>-15801.179550124229</v>
      </c>
      <c r="AG27" s="124">
        <f t="shared" si="6"/>
        <v>111058.85566858813</v>
      </c>
      <c r="AH27" s="124">
        <f t="shared" si="7"/>
        <v>6992.3313362511508</v>
      </c>
      <c r="AI27" s="124">
        <f t="shared" si="8"/>
        <v>34822.534891958843</v>
      </c>
      <c r="AJ27" s="124">
        <f t="shared" si="9"/>
        <v>2148.6612571233677</v>
      </c>
      <c r="AK27" s="170">
        <f t="shared" si="32"/>
        <v>155022.38315392149</v>
      </c>
      <c r="AM27" s="124">
        <f t="shared" si="10"/>
        <v>262117.42631791823</v>
      </c>
      <c r="AN27" s="124">
        <f t="shared" si="11"/>
        <v>29876.586847328563</v>
      </c>
      <c r="AO27" s="124">
        <f t="shared" si="12"/>
        <v>159419.10603906939</v>
      </c>
      <c r="AP27" s="124">
        <f t="shared" si="13"/>
        <v>2367.6708067475124</v>
      </c>
      <c r="AQ27" s="170">
        <f t="shared" si="14"/>
        <v>453780.79001106368</v>
      </c>
      <c r="AS27" s="124">
        <f t="shared" si="15"/>
        <v>-24245.861934407436</v>
      </c>
      <c r="AT27" s="124">
        <f t="shared" si="16"/>
        <v>-5424.1689085282414</v>
      </c>
      <c r="AU27" s="124">
        <f t="shared" si="17"/>
        <v>-29271.927320315954</v>
      </c>
      <c r="AV27" s="124">
        <f t="shared" si="18"/>
        <v>-219.00954962414491</v>
      </c>
      <c r="AW27" s="170">
        <f t="shared" si="19"/>
        <v>-59160.967712875783</v>
      </c>
      <c r="AY27" s="124">
        <f t="shared" si="20"/>
        <v>237871.56438351079</v>
      </c>
      <c r="AZ27" s="124">
        <f t="shared" si="21"/>
        <v>24452.417938800321</v>
      </c>
      <c r="BA27" s="124">
        <f t="shared" si="22"/>
        <v>130147.17871875344</v>
      </c>
      <c r="BB27" s="124">
        <f t="shared" si="23"/>
        <v>2148.6612571233677</v>
      </c>
      <c r="BC27" s="170">
        <f t="shared" si="24"/>
        <v>394619.82229818788</v>
      </c>
    </row>
    <row r="28" spans="1:55">
      <c r="A28" s="123">
        <v>2036</v>
      </c>
      <c r="C28" s="124">
        <v>121862.45490805473</v>
      </c>
      <c r="D28" s="124">
        <v>19680.032608522859</v>
      </c>
      <c r="E28" s="124">
        <v>107244.83736842388</v>
      </c>
      <c r="F28" s="124">
        <v>0</v>
      </c>
      <c r="G28" s="170">
        <f t="shared" si="25"/>
        <v>248787.32488500146</v>
      </c>
      <c r="I28" s="124">
        <f t="shared" si="26"/>
        <v>-11272.277078995063</v>
      </c>
      <c r="J28" s="124">
        <f t="shared" si="26"/>
        <v>-4182.0069293111073</v>
      </c>
      <c r="K28" s="124">
        <f t="shared" si="0"/>
        <v>-22789.527940790074</v>
      </c>
      <c r="L28" s="124">
        <f t="shared" si="0"/>
        <v>0</v>
      </c>
      <c r="M28" s="170">
        <f t="shared" si="27"/>
        <v>-38243.811949096242</v>
      </c>
      <c r="O28" s="124">
        <f t="shared" si="1"/>
        <v>110590.17782905967</v>
      </c>
      <c r="P28" s="124">
        <f t="shared" si="2"/>
        <v>15498.025679211751</v>
      </c>
      <c r="Q28" s="124">
        <f t="shared" si="3"/>
        <v>84455.309427633794</v>
      </c>
      <c r="R28" s="124">
        <f t="shared" si="4"/>
        <v>0</v>
      </c>
      <c r="S28" s="170">
        <f t="shared" si="28"/>
        <v>210543.51293590522</v>
      </c>
      <c r="U28" s="124">
        <v>108142.92935894706</v>
      </c>
      <c r="V28" s="124">
        <v>6893.8411844464008</v>
      </c>
      <c r="W28" s="124">
        <v>34332.043726796815</v>
      </c>
      <c r="X28" s="124">
        <v>2118.396390959766</v>
      </c>
      <c r="Y28" s="170">
        <f t="shared" si="29"/>
        <v>151487.21066115005</v>
      </c>
      <c r="AA28" s="124">
        <f t="shared" si="30"/>
        <v>-10003.220965702603</v>
      </c>
      <c r="AB28" s="124">
        <f t="shared" si="30"/>
        <v>-637.68030956129212</v>
      </c>
      <c r="AC28" s="124">
        <f t="shared" si="5"/>
        <v>-3175.7140447287052</v>
      </c>
      <c r="AD28" s="124">
        <f t="shared" si="5"/>
        <v>-195.95166616377836</v>
      </c>
      <c r="AE28" s="170">
        <f t="shared" si="31"/>
        <v>-14012.56698615638</v>
      </c>
      <c r="AG28" s="124">
        <f t="shared" si="6"/>
        <v>98139.708393244451</v>
      </c>
      <c r="AH28" s="124">
        <f t="shared" si="7"/>
        <v>6256.1608748851086</v>
      </c>
      <c r="AI28" s="124">
        <f t="shared" si="8"/>
        <v>31156.32968206811</v>
      </c>
      <c r="AJ28" s="124">
        <f t="shared" si="9"/>
        <v>1922.4447247959877</v>
      </c>
      <c r="AK28" s="170">
        <f t="shared" si="32"/>
        <v>137474.64367499365</v>
      </c>
      <c r="AM28" s="124">
        <f t="shared" si="10"/>
        <v>230005.38426700179</v>
      </c>
      <c r="AN28" s="124">
        <f t="shared" si="11"/>
        <v>26573.873792969258</v>
      </c>
      <c r="AO28" s="124">
        <f t="shared" si="12"/>
        <v>141576.88109522068</v>
      </c>
      <c r="AP28" s="124">
        <f t="shared" si="13"/>
        <v>2118.396390959766</v>
      </c>
      <c r="AQ28" s="170">
        <f t="shared" si="14"/>
        <v>400274.53554615146</v>
      </c>
      <c r="AS28" s="124">
        <f t="shared" si="15"/>
        <v>-21275.498044697666</v>
      </c>
      <c r="AT28" s="124">
        <f t="shared" si="16"/>
        <v>-4819.6872388723996</v>
      </c>
      <c r="AU28" s="124">
        <f t="shared" si="17"/>
        <v>-25965.24198551878</v>
      </c>
      <c r="AV28" s="124">
        <f t="shared" si="18"/>
        <v>-195.95166616377836</v>
      </c>
      <c r="AW28" s="170">
        <f t="shared" si="19"/>
        <v>-52256.378935252622</v>
      </c>
      <c r="AY28" s="124">
        <f t="shared" si="20"/>
        <v>208729.88622230414</v>
      </c>
      <c r="AZ28" s="124">
        <f t="shared" si="21"/>
        <v>21754.186554096857</v>
      </c>
      <c r="BA28" s="124">
        <f t="shared" si="22"/>
        <v>115611.63910970191</v>
      </c>
      <c r="BB28" s="124">
        <f t="shared" si="23"/>
        <v>1922.4447247959877</v>
      </c>
      <c r="BC28" s="170">
        <f t="shared" si="24"/>
        <v>348018.15661089891</v>
      </c>
    </row>
    <row r="29" spans="1:55">
      <c r="A29" s="123">
        <f>A28+1</f>
        <v>2037</v>
      </c>
      <c r="C29" s="124">
        <v>107074.55715289136</v>
      </c>
      <c r="D29" s="124">
        <v>17472.436316864045</v>
      </c>
      <c r="E29" s="124">
        <v>95088.669158453195</v>
      </c>
      <c r="F29" s="124">
        <v>0</v>
      </c>
      <c r="G29" s="170">
        <f t="shared" si="25"/>
        <v>219635.66262820858</v>
      </c>
      <c r="I29" s="124">
        <f t="shared" si="26"/>
        <v>-9904.3965366424509</v>
      </c>
      <c r="J29" s="124">
        <f t="shared" si="26"/>
        <v>-3712.8927173336092</v>
      </c>
      <c r="K29" s="124">
        <f t="shared" si="0"/>
        <v>-20206.342196171303</v>
      </c>
      <c r="L29" s="124">
        <f t="shared" si="0"/>
        <v>0</v>
      </c>
      <c r="M29" s="170">
        <f t="shared" si="27"/>
        <v>-33823.631450147361</v>
      </c>
      <c r="O29" s="124">
        <f t="shared" si="1"/>
        <v>97170.160616248904</v>
      </c>
      <c r="P29" s="124">
        <f t="shared" si="2"/>
        <v>13759.543599530436</v>
      </c>
      <c r="Q29" s="124">
        <f t="shared" si="3"/>
        <v>74882.326962281892</v>
      </c>
      <c r="R29" s="124">
        <f t="shared" si="4"/>
        <v>0</v>
      </c>
      <c r="S29" s="170">
        <f t="shared" si="28"/>
        <v>185812.03117806124</v>
      </c>
      <c r="U29" s="124">
        <v>96351.933787821807</v>
      </c>
      <c r="V29" s="124">
        <v>6189.047292721586</v>
      </c>
      <c r="W29" s="124">
        <v>30822.097087299881</v>
      </c>
      <c r="X29" s="124">
        <v>1901.8215094207146</v>
      </c>
      <c r="Y29" s="170">
        <f t="shared" si="29"/>
        <v>135264.89967726401</v>
      </c>
      <c r="AA29" s="124">
        <f t="shared" si="30"/>
        <v>-8912.5538753735163</v>
      </c>
      <c r="AB29" s="124">
        <f t="shared" si="30"/>
        <v>-572.48687457674669</v>
      </c>
      <c r="AC29" s="124">
        <f t="shared" si="5"/>
        <v>-2851.0439805752389</v>
      </c>
      <c r="AD29" s="124">
        <f t="shared" si="5"/>
        <v>-175.91848962141611</v>
      </c>
      <c r="AE29" s="170">
        <f t="shared" si="31"/>
        <v>-12512.003220146918</v>
      </c>
      <c r="AG29" s="124">
        <f t="shared" si="6"/>
        <v>87439.37991244829</v>
      </c>
      <c r="AH29" s="124">
        <f t="shared" si="7"/>
        <v>5616.5604181448398</v>
      </c>
      <c r="AI29" s="124">
        <f t="shared" si="8"/>
        <v>27971.053106724641</v>
      </c>
      <c r="AJ29" s="124">
        <f t="shared" si="9"/>
        <v>1725.9030197992986</v>
      </c>
      <c r="AK29" s="170">
        <f t="shared" si="32"/>
        <v>122752.89645711708</v>
      </c>
      <c r="AM29" s="124">
        <f t="shared" si="10"/>
        <v>203426.49094071315</v>
      </c>
      <c r="AN29" s="124">
        <f t="shared" si="11"/>
        <v>23661.48360958563</v>
      </c>
      <c r="AO29" s="124">
        <f t="shared" si="12"/>
        <v>125910.76624575307</v>
      </c>
      <c r="AP29" s="124">
        <f t="shared" si="13"/>
        <v>1901.8215094207146</v>
      </c>
      <c r="AQ29" s="170">
        <f t="shared" si="14"/>
        <v>354900.5623054725</v>
      </c>
      <c r="AS29" s="124">
        <f t="shared" si="15"/>
        <v>-18816.950412015969</v>
      </c>
      <c r="AT29" s="124">
        <f t="shared" si="16"/>
        <v>-4285.3795919103559</v>
      </c>
      <c r="AU29" s="124">
        <f t="shared" si="17"/>
        <v>-23057.386176746542</v>
      </c>
      <c r="AV29" s="124">
        <f t="shared" si="18"/>
        <v>-175.91848962141611</v>
      </c>
      <c r="AW29" s="170">
        <f t="shared" si="19"/>
        <v>-46335.634670294283</v>
      </c>
      <c r="AY29" s="124">
        <f t="shared" si="20"/>
        <v>184609.54052869719</v>
      </c>
      <c r="AZ29" s="124">
        <f t="shared" si="21"/>
        <v>19376.104017675276</v>
      </c>
      <c r="BA29" s="124">
        <f t="shared" si="22"/>
        <v>102853.38006900653</v>
      </c>
      <c r="BB29" s="124">
        <f t="shared" si="23"/>
        <v>1725.9030197992986</v>
      </c>
      <c r="BC29" s="170">
        <f t="shared" si="24"/>
        <v>308564.92763517832</v>
      </c>
    </row>
    <row r="30" spans="1:55">
      <c r="A30" s="123">
        <v>2038</v>
      </c>
      <c r="C30" s="124">
        <v>94114.972126562352</v>
      </c>
      <c r="D30" s="124">
        <v>15548.495849275183</v>
      </c>
      <c r="E30" s="124">
        <v>84516.956576235083</v>
      </c>
      <c r="F30" s="124">
        <v>0</v>
      </c>
      <c r="G30" s="170">
        <f t="shared" si="25"/>
        <v>194180.4245520726</v>
      </c>
      <c r="I30" s="124">
        <f t="shared" si="26"/>
        <v>-8705.6349217070183</v>
      </c>
      <c r="J30" s="124">
        <f t="shared" si="26"/>
        <v>-3304.0553679709765</v>
      </c>
      <c r="K30" s="124">
        <f t="shared" si="0"/>
        <v>-17959.853272449956</v>
      </c>
      <c r="L30" s="124">
        <f t="shared" si="0"/>
        <v>0</v>
      </c>
      <c r="M30" s="170">
        <f t="shared" si="27"/>
        <v>-29969.54356212795</v>
      </c>
      <c r="O30" s="124">
        <f t="shared" si="1"/>
        <v>85409.337204855328</v>
      </c>
      <c r="P30" s="124">
        <f t="shared" si="2"/>
        <v>12244.440481304206</v>
      </c>
      <c r="Q30" s="124">
        <f t="shared" si="3"/>
        <v>66557.10330378513</v>
      </c>
      <c r="R30" s="124">
        <f t="shared" si="4"/>
        <v>0</v>
      </c>
      <c r="S30" s="170">
        <f t="shared" si="28"/>
        <v>164210.88098994468</v>
      </c>
      <c r="U30" s="124">
        <v>85846.458683352917</v>
      </c>
      <c r="V30" s="124">
        <v>5545.6402554230881</v>
      </c>
      <c r="W30" s="124">
        <v>27617.863342351055</v>
      </c>
      <c r="X30" s="124">
        <v>1704.1100871220581</v>
      </c>
      <c r="Y30" s="170">
        <f t="shared" si="29"/>
        <v>120714.07236824911</v>
      </c>
      <c r="AA30" s="124">
        <f t="shared" si="30"/>
        <v>-7940.797428210145</v>
      </c>
      <c r="AB30" s="124">
        <f t="shared" si="30"/>
        <v>-512.97172362663559</v>
      </c>
      <c r="AC30" s="124">
        <f t="shared" si="5"/>
        <v>-2554.6523591674727</v>
      </c>
      <c r="AD30" s="124">
        <f t="shared" si="5"/>
        <v>-157.63018305879038</v>
      </c>
      <c r="AE30" s="170">
        <f t="shared" si="31"/>
        <v>-11166.051694063044</v>
      </c>
      <c r="AG30" s="124">
        <f t="shared" si="6"/>
        <v>77905.661255142768</v>
      </c>
      <c r="AH30" s="124">
        <f t="shared" si="7"/>
        <v>5032.668531796453</v>
      </c>
      <c r="AI30" s="124">
        <f t="shared" si="8"/>
        <v>25063.210983183581</v>
      </c>
      <c r="AJ30" s="124">
        <f t="shared" si="9"/>
        <v>1546.4799040632677</v>
      </c>
      <c r="AK30" s="170">
        <f t="shared" si="32"/>
        <v>109548.02067418607</v>
      </c>
      <c r="AM30" s="124">
        <f t="shared" si="10"/>
        <v>179961.43080991527</v>
      </c>
      <c r="AN30" s="124">
        <f t="shared" si="11"/>
        <v>21094.136104698271</v>
      </c>
      <c r="AO30" s="124">
        <f t="shared" si="12"/>
        <v>112134.81991858614</v>
      </c>
      <c r="AP30" s="124">
        <f t="shared" si="13"/>
        <v>1704.1100871220581</v>
      </c>
      <c r="AQ30" s="170">
        <f t="shared" si="14"/>
        <v>314894.49692032172</v>
      </c>
      <c r="AS30" s="124">
        <f t="shared" si="15"/>
        <v>-16646.432349917162</v>
      </c>
      <c r="AT30" s="124">
        <f t="shared" si="16"/>
        <v>-3817.0270915976121</v>
      </c>
      <c r="AU30" s="124">
        <f t="shared" si="17"/>
        <v>-20514.50563161743</v>
      </c>
      <c r="AV30" s="124">
        <f t="shared" si="18"/>
        <v>-157.63018305879038</v>
      </c>
      <c r="AW30" s="170">
        <f t="shared" si="19"/>
        <v>-41135.595256190994</v>
      </c>
      <c r="AY30" s="124">
        <f t="shared" si="20"/>
        <v>163314.99845999811</v>
      </c>
      <c r="AZ30" s="124">
        <f t="shared" si="21"/>
        <v>17277.109013100657</v>
      </c>
      <c r="BA30" s="124">
        <f t="shared" si="22"/>
        <v>91620.314286968714</v>
      </c>
      <c r="BB30" s="124">
        <f t="shared" si="23"/>
        <v>1546.4799040632677</v>
      </c>
      <c r="BC30" s="170">
        <f t="shared" si="24"/>
        <v>273758.90166413074</v>
      </c>
    </row>
    <row r="31" spans="1:55">
      <c r="A31" s="123">
        <v>2039</v>
      </c>
      <c r="C31" s="124">
        <v>75673.675382698828</v>
      </c>
      <c r="D31" s="124">
        <v>13677.388230457527</v>
      </c>
      <c r="E31" s="124">
        <v>74622.730397658423</v>
      </c>
      <c r="F31" s="124">
        <v>0</v>
      </c>
      <c r="G31" s="170">
        <f t="shared" si="25"/>
        <v>163973.79401081477</v>
      </c>
      <c r="I31" s="124">
        <f t="shared" si="26"/>
        <v>-6999.8149728996414</v>
      </c>
      <c r="J31" s="124">
        <f t="shared" si="26"/>
        <v>-2906.4449989722243</v>
      </c>
      <c r="K31" s="124">
        <f t="shared" si="0"/>
        <v>-15857.330209502414</v>
      </c>
      <c r="L31" s="124">
        <f t="shared" si="0"/>
        <v>0</v>
      </c>
      <c r="M31" s="170">
        <f t="shared" si="27"/>
        <v>-25763.590181374282</v>
      </c>
      <c r="O31" s="124">
        <f t="shared" si="1"/>
        <v>68673.860409799192</v>
      </c>
      <c r="P31" s="124">
        <f t="shared" si="2"/>
        <v>10770.943231485304</v>
      </c>
      <c r="Q31" s="124">
        <f t="shared" si="3"/>
        <v>58765.400188156011</v>
      </c>
      <c r="R31" s="124">
        <f t="shared" si="4"/>
        <v>0</v>
      </c>
      <c r="S31" s="170">
        <f t="shared" si="28"/>
        <v>138210.20382944052</v>
      </c>
      <c r="U31" s="124">
        <v>76818.041639081959</v>
      </c>
      <c r="V31" s="124">
        <v>4995.3134984531671</v>
      </c>
      <c r="W31" s="124">
        <v>24877.179044792269</v>
      </c>
      <c r="X31" s="124">
        <v>1535.0011412569349</v>
      </c>
      <c r="Y31" s="170">
        <f t="shared" si="29"/>
        <v>108225.53532358432</v>
      </c>
      <c r="AA31" s="124">
        <f t="shared" si="30"/>
        <v>-7105.6688516150807</v>
      </c>
      <c r="AB31" s="124">
        <f t="shared" si="30"/>
        <v>-462.06649860691795</v>
      </c>
      <c r="AC31" s="124">
        <f t="shared" si="5"/>
        <v>-2301.139061643285</v>
      </c>
      <c r="AD31" s="124">
        <f t="shared" si="5"/>
        <v>-141.98760556626647</v>
      </c>
      <c r="AE31" s="170">
        <f t="shared" si="31"/>
        <v>-10010.862017431549</v>
      </c>
      <c r="AG31" s="124">
        <f t="shared" si="6"/>
        <v>69712.372787466884</v>
      </c>
      <c r="AH31" s="124">
        <f t="shared" si="7"/>
        <v>4533.2469998462493</v>
      </c>
      <c r="AI31" s="124">
        <f t="shared" si="8"/>
        <v>22576.039983148985</v>
      </c>
      <c r="AJ31" s="124">
        <f t="shared" si="9"/>
        <v>1393.0135356906685</v>
      </c>
      <c r="AK31" s="170">
        <f t="shared" si="32"/>
        <v>98214.673306152778</v>
      </c>
      <c r="AM31" s="124">
        <f t="shared" si="10"/>
        <v>152491.71702178079</v>
      </c>
      <c r="AN31" s="124">
        <f t="shared" si="11"/>
        <v>18672.701728910695</v>
      </c>
      <c r="AO31" s="124">
        <f t="shared" si="12"/>
        <v>99499.909442450691</v>
      </c>
      <c r="AP31" s="124">
        <f t="shared" si="13"/>
        <v>1535.0011412569349</v>
      </c>
      <c r="AQ31" s="170">
        <f t="shared" si="14"/>
        <v>272199.32933439914</v>
      </c>
      <c r="AS31" s="124">
        <f t="shared" si="15"/>
        <v>-14105.483824514722</v>
      </c>
      <c r="AT31" s="124">
        <f t="shared" si="16"/>
        <v>-3368.5114975791421</v>
      </c>
      <c r="AU31" s="124">
        <f t="shared" si="17"/>
        <v>-18158.469271145699</v>
      </c>
      <c r="AV31" s="124">
        <f t="shared" si="18"/>
        <v>-141.98760556626647</v>
      </c>
      <c r="AW31" s="170">
        <f t="shared" si="19"/>
        <v>-35774.452198805833</v>
      </c>
      <c r="AY31" s="124">
        <f t="shared" si="20"/>
        <v>138386.23319726606</v>
      </c>
      <c r="AZ31" s="124">
        <f t="shared" si="21"/>
        <v>15304.190231331553</v>
      </c>
      <c r="BA31" s="124">
        <f t="shared" si="22"/>
        <v>81341.440171305003</v>
      </c>
      <c r="BB31" s="124">
        <f t="shared" si="23"/>
        <v>1393.0135356906685</v>
      </c>
      <c r="BC31" s="170">
        <f t="shared" si="24"/>
        <v>236424.8771355933</v>
      </c>
    </row>
    <row r="32" spans="1:55">
      <c r="A32" s="123">
        <v>2040</v>
      </c>
      <c r="C32" s="124">
        <v>66742.412011179709</v>
      </c>
      <c r="D32" s="124">
        <v>12269.544492617904</v>
      </c>
      <c r="E32" s="124">
        <v>66653.864310332501</v>
      </c>
      <c r="F32" s="124">
        <v>0</v>
      </c>
      <c r="G32" s="170">
        <f t="shared" si="25"/>
        <v>145665.82081413013</v>
      </c>
      <c r="I32" s="124">
        <f t="shared" si="26"/>
        <v>-6173.6731110341234</v>
      </c>
      <c r="J32" s="124">
        <f t="shared" si="26"/>
        <v>-2607.2782046813045</v>
      </c>
      <c r="K32" s="124">
        <f t="shared" si="26"/>
        <v>-14163.946165945656</v>
      </c>
      <c r="L32" s="124">
        <f t="shared" si="26"/>
        <v>0</v>
      </c>
      <c r="M32" s="170">
        <f t="shared" si="27"/>
        <v>-22944.897481661086</v>
      </c>
      <c r="O32" s="124">
        <f t="shared" si="1"/>
        <v>60568.738900145589</v>
      </c>
      <c r="P32" s="124">
        <f t="shared" si="2"/>
        <v>9662.2662879365998</v>
      </c>
      <c r="Q32" s="124">
        <f t="shared" si="3"/>
        <v>52489.918144386844</v>
      </c>
      <c r="R32" s="124">
        <f t="shared" si="4"/>
        <v>0</v>
      </c>
      <c r="S32" s="170">
        <f t="shared" si="28"/>
        <v>122720.92333246903</v>
      </c>
      <c r="U32" s="124">
        <v>68941.60571378356</v>
      </c>
      <c r="V32" s="124">
        <v>4500.498963178582</v>
      </c>
      <c r="W32" s="124">
        <v>22412.951366893769</v>
      </c>
      <c r="X32" s="124">
        <v>1382.9504487852482</v>
      </c>
      <c r="Y32" s="170">
        <f t="shared" si="29"/>
        <v>97238.006492641172</v>
      </c>
      <c r="AA32" s="124">
        <f t="shared" si="30"/>
        <v>-6377.098528524979</v>
      </c>
      <c r="AB32" s="124">
        <f t="shared" si="30"/>
        <v>-416.29615409401885</v>
      </c>
      <c r="AC32" s="124">
        <f t="shared" si="5"/>
        <v>-2073.1980014376736</v>
      </c>
      <c r="AD32" s="124">
        <f t="shared" si="5"/>
        <v>-127.92291651263545</v>
      </c>
      <c r="AE32" s="170">
        <f t="shared" si="31"/>
        <v>-8994.5156005693079</v>
      </c>
      <c r="AG32" s="124">
        <f t="shared" si="6"/>
        <v>62564.507185258582</v>
      </c>
      <c r="AH32" s="124">
        <f t="shared" si="7"/>
        <v>4084.2028090845633</v>
      </c>
      <c r="AI32" s="124">
        <f t="shared" si="8"/>
        <v>20339.753365456094</v>
      </c>
      <c r="AJ32" s="124">
        <f t="shared" si="9"/>
        <v>1255.0275322726127</v>
      </c>
      <c r="AK32" s="170">
        <f t="shared" si="32"/>
        <v>88243.490892071844</v>
      </c>
      <c r="AM32" s="124">
        <f t="shared" si="10"/>
        <v>135684.01772496325</v>
      </c>
      <c r="AN32" s="124">
        <f t="shared" si="11"/>
        <v>16770.043455796487</v>
      </c>
      <c r="AO32" s="124">
        <f t="shared" si="12"/>
        <v>89066.815677226274</v>
      </c>
      <c r="AP32" s="124">
        <f t="shared" si="13"/>
        <v>1382.9504487852482</v>
      </c>
      <c r="AQ32" s="170">
        <f t="shared" si="14"/>
        <v>242903.82730677127</v>
      </c>
      <c r="AS32" s="124">
        <f t="shared" si="15"/>
        <v>-12550.771639559101</v>
      </c>
      <c r="AT32" s="124">
        <f t="shared" si="16"/>
        <v>-3023.5743587753232</v>
      </c>
      <c r="AU32" s="124">
        <f t="shared" si="17"/>
        <v>-16237.144167383329</v>
      </c>
      <c r="AV32" s="124">
        <f t="shared" si="18"/>
        <v>-127.92291651263545</v>
      </c>
      <c r="AW32" s="170">
        <f t="shared" si="19"/>
        <v>-31939.413082230389</v>
      </c>
      <c r="AY32" s="124">
        <f t="shared" si="20"/>
        <v>123133.24608540417</v>
      </c>
      <c r="AZ32" s="124">
        <f t="shared" si="21"/>
        <v>13746.469097021163</v>
      </c>
      <c r="BA32" s="124">
        <f t="shared" si="22"/>
        <v>72829.671509842941</v>
      </c>
      <c r="BB32" s="124">
        <f t="shared" si="23"/>
        <v>1255.0275322726127</v>
      </c>
      <c r="BC32" s="170">
        <f t="shared" si="24"/>
        <v>210964.4142245409</v>
      </c>
    </row>
    <row r="33" spans="1:55">
      <c r="A33" s="123">
        <v>2041</v>
      </c>
      <c r="C33" s="124">
        <v>59045.051183418618</v>
      </c>
      <c r="D33" s="124">
        <v>11098.254180575703</v>
      </c>
      <c r="E33" s="124">
        <v>59751.27866862277</v>
      </c>
      <c r="F33" s="124">
        <v>0</v>
      </c>
      <c r="G33" s="170">
        <f t="shared" si="25"/>
        <v>129894.5840326171</v>
      </c>
      <c r="I33" s="124">
        <f t="shared" si="26"/>
        <v>-5461.667234466222</v>
      </c>
      <c r="J33" s="124">
        <f t="shared" si="26"/>
        <v>-2358.3790133723369</v>
      </c>
      <c r="K33" s="124">
        <f t="shared" si="26"/>
        <v>-12697.146717082338</v>
      </c>
      <c r="L33" s="124">
        <f t="shared" si="26"/>
        <v>0</v>
      </c>
      <c r="M33" s="170">
        <f t="shared" si="27"/>
        <v>-20517.192964920898</v>
      </c>
      <c r="O33" s="124">
        <f t="shared" si="1"/>
        <v>53583.383948952396</v>
      </c>
      <c r="P33" s="124">
        <f t="shared" si="2"/>
        <v>8739.875167203365</v>
      </c>
      <c r="Q33" s="124">
        <f t="shared" si="3"/>
        <v>47054.131951540432</v>
      </c>
      <c r="R33" s="124">
        <f t="shared" si="4"/>
        <v>0</v>
      </c>
      <c r="S33" s="170">
        <f t="shared" si="28"/>
        <v>109377.3910676962</v>
      </c>
      <c r="U33" s="124">
        <v>61764.714368480185</v>
      </c>
      <c r="V33" s="124">
        <v>4011.0840288759196</v>
      </c>
      <c r="W33" s="124">
        <v>19975.614259864968</v>
      </c>
      <c r="X33" s="124">
        <v>1232.558990247353</v>
      </c>
      <c r="Y33" s="170">
        <f t="shared" si="29"/>
        <v>86983.971647468439</v>
      </c>
      <c r="AA33" s="124">
        <f t="shared" si="30"/>
        <v>-5713.2360790844168</v>
      </c>
      <c r="AB33" s="124">
        <f t="shared" si="30"/>
        <v>-371.02527267102255</v>
      </c>
      <c r="AC33" s="124">
        <f t="shared" si="5"/>
        <v>-1847.7443190375095</v>
      </c>
      <c r="AD33" s="124">
        <f t="shared" si="5"/>
        <v>-114.01170659788015</v>
      </c>
      <c r="AE33" s="170">
        <f t="shared" si="31"/>
        <v>-8046.0173773908291</v>
      </c>
      <c r="AG33" s="124">
        <f t="shared" si="6"/>
        <v>56051.478289395767</v>
      </c>
      <c r="AH33" s="124">
        <f t="shared" si="7"/>
        <v>3640.0587562048968</v>
      </c>
      <c r="AI33" s="124">
        <f t="shared" si="8"/>
        <v>18127.869940827459</v>
      </c>
      <c r="AJ33" s="124">
        <f t="shared" si="9"/>
        <v>1118.5472836494728</v>
      </c>
      <c r="AK33" s="170">
        <f t="shared" si="32"/>
        <v>78937.954270077593</v>
      </c>
      <c r="AM33" s="124">
        <f t="shared" si="10"/>
        <v>120809.7655518988</v>
      </c>
      <c r="AN33" s="124">
        <f t="shared" si="11"/>
        <v>15109.338209451622</v>
      </c>
      <c r="AO33" s="124">
        <f t="shared" si="12"/>
        <v>79726.892928487738</v>
      </c>
      <c r="AP33" s="124">
        <f t="shared" si="13"/>
        <v>1232.558990247353</v>
      </c>
      <c r="AQ33" s="170">
        <f t="shared" si="14"/>
        <v>216878.5556800855</v>
      </c>
      <c r="AS33" s="124">
        <f t="shared" si="15"/>
        <v>-11174.90331355064</v>
      </c>
      <c r="AT33" s="124">
        <f t="shared" si="16"/>
        <v>-2729.4042860433592</v>
      </c>
      <c r="AU33" s="124">
        <f t="shared" si="17"/>
        <v>-14544.891036119847</v>
      </c>
      <c r="AV33" s="124">
        <f t="shared" si="18"/>
        <v>-114.01170659788015</v>
      </c>
      <c r="AW33" s="170">
        <f t="shared" si="19"/>
        <v>-28563.210342311726</v>
      </c>
      <c r="AY33" s="124">
        <f t="shared" si="20"/>
        <v>109634.86223834817</v>
      </c>
      <c r="AZ33" s="124">
        <f t="shared" si="21"/>
        <v>12379.933923408262</v>
      </c>
      <c r="BA33" s="124">
        <f t="shared" si="22"/>
        <v>65182.001892367887</v>
      </c>
      <c r="BB33" s="124">
        <f t="shared" si="23"/>
        <v>1118.5472836494728</v>
      </c>
      <c r="BC33" s="170">
        <f t="shared" si="24"/>
        <v>188315.34533777379</v>
      </c>
    </row>
    <row r="34" spans="1:55">
      <c r="A34" s="123">
        <v>2042</v>
      </c>
      <c r="C34" s="124">
        <v>38861.912576050854</v>
      </c>
      <c r="D34" s="124">
        <v>9785.0357028923136</v>
      </c>
      <c r="E34" s="124">
        <v>52259.820173064094</v>
      </c>
      <c r="F34" s="124">
        <v>0</v>
      </c>
      <c r="G34" s="170">
        <f t="shared" si="25"/>
        <v>100906.76845200727</v>
      </c>
      <c r="I34" s="124">
        <f t="shared" si="26"/>
        <v>-3594.7269132847041</v>
      </c>
      <c r="J34" s="124">
        <f t="shared" si="26"/>
        <v>-2079.3200868646168</v>
      </c>
      <c r="K34" s="124">
        <f t="shared" si="26"/>
        <v>-11105.211786776119</v>
      </c>
      <c r="L34" s="124">
        <f t="shared" si="26"/>
        <v>0</v>
      </c>
      <c r="M34" s="170">
        <f t="shared" si="27"/>
        <v>-16779.258786925442</v>
      </c>
      <c r="O34" s="124">
        <f t="shared" si="1"/>
        <v>35267.185662766147</v>
      </c>
      <c r="P34" s="124">
        <f t="shared" si="2"/>
        <v>7705.7156160276973</v>
      </c>
      <c r="Q34" s="124">
        <f t="shared" si="3"/>
        <v>41154.608386287975</v>
      </c>
      <c r="R34" s="124">
        <f t="shared" si="4"/>
        <v>0</v>
      </c>
      <c r="S34" s="170">
        <f t="shared" si="28"/>
        <v>84127.509665081816</v>
      </c>
      <c r="U34" s="124">
        <v>54550.820399311102</v>
      </c>
      <c r="V34" s="124">
        <v>3640.2560547199873</v>
      </c>
      <c r="W34" s="124">
        <v>18128.852506933465</v>
      </c>
      <c r="X34" s="124">
        <v>1118.6079114875993</v>
      </c>
      <c r="Y34" s="170">
        <f t="shared" si="29"/>
        <v>77438.536872452154</v>
      </c>
      <c r="AA34" s="124">
        <f t="shared" si="30"/>
        <v>-5045.9508869362771</v>
      </c>
      <c r="AB34" s="124">
        <f t="shared" si="30"/>
        <v>-336.72368506159881</v>
      </c>
      <c r="AC34" s="124">
        <f t="shared" si="5"/>
        <v>-1676.9188568913455</v>
      </c>
      <c r="AD34" s="124">
        <f t="shared" si="5"/>
        <v>-103.47123181260294</v>
      </c>
      <c r="AE34" s="170">
        <f t="shared" si="31"/>
        <v>-7163.0646607018252</v>
      </c>
      <c r="AG34" s="124">
        <f t="shared" si="6"/>
        <v>49504.869512374826</v>
      </c>
      <c r="AH34" s="124">
        <f t="shared" si="7"/>
        <v>3303.5323696583887</v>
      </c>
      <c r="AI34" s="124">
        <f t="shared" si="8"/>
        <v>16451.93365004212</v>
      </c>
      <c r="AJ34" s="124">
        <f t="shared" si="9"/>
        <v>1015.1366796749963</v>
      </c>
      <c r="AK34" s="170">
        <f t="shared" si="32"/>
        <v>70275.472211750326</v>
      </c>
      <c r="AM34" s="124">
        <f t="shared" si="10"/>
        <v>93412.732975361956</v>
      </c>
      <c r="AN34" s="124">
        <f t="shared" si="11"/>
        <v>13425.2917576123</v>
      </c>
      <c r="AO34" s="124">
        <f t="shared" si="12"/>
        <v>70388.672679997559</v>
      </c>
      <c r="AP34" s="124">
        <f t="shared" si="13"/>
        <v>1118.6079114875993</v>
      </c>
      <c r="AQ34" s="170">
        <f t="shared" si="14"/>
        <v>178345.30532445942</v>
      </c>
      <c r="AS34" s="124">
        <f t="shared" si="15"/>
        <v>-8640.6778002209812</v>
      </c>
      <c r="AT34" s="124">
        <f t="shared" si="16"/>
        <v>-2416.0437719262154</v>
      </c>
      <c r="AU34" s="124">
        <f t="shared" si="17"/>
        <v>-12782.130643667464</v>
      </c>
      <c r="AV34" s="124">
        <f t="shared" si="18"/>
        <v>-103.47123181260294</v>
      </c>
      <c r="AW34" s="170">
        <f t="shared" si="19"/>
        <v>-23942.323447627263</v>
      </c>
      <c r="AY34" s="124">
        <f t="shared" si="20"/>
        <v>84772.055175140966</v>
      </c>
      <c r="AZ34" s="124">
        <f t="shared" si="21"/>
        <v>11009.247985686086</v>
      </c>
      <c r="BA34" s="124">
        <f t="shared" si="22"/>
        <v>57606.542036330095</v>
      </c>
      <c r="BB34" s="124">
        <f t="shared" si="23"/>
        <v>1015.1366796749963</v>
      </c>
      <c r="BC34" s="170">
        <f t="shared" si="24"/>
        <v>154402.98187683214</v>
      </c>
    </row>
    <row r="35" spans="1:55">
      <c r="A35" s="123">
        <v>2043</v>
      </c>
      <c r="C35" s="124">
        <v>22974.473799737043</v>
      </c>
      <c r="D35" s="124">
        <v>8695.5503342315496</v>
      </c>
      <c r="E35" s="124">
        <v>45944.336099725886</v>
      </c>
      <c r="F35" s="124">
        <v>0</v>
      </c>
      <c r="G35" s="170">
        <f t="shared" si="25"/>
        <v>77614.360233694475</v>
      </c>
      <c r="I35" s="124">
        <f t="shared" si="26"/>
        <v>-2125.1388264756765</v>
      </c>
      <c r="J35" s="124">
        <f t="shared" si="26"/>
        <v>-1847.8044460242043</v>
      </c>
      <c r="K35" s="124">
        <f t="shared" si="26"/>
        <v>-9763.1714211917497</v>
      </c>
      <c r="L35" s="124">
        <f t="shared" si="26"/>
        <v>0</v>
      </c>
      <c r="M35" s="170">
        <f t="shared" si="27"/>
        <v>-13736.11469369163</v>
      </c>
      <c r="O35" s="124">
        <f t="shared" si="1"/>
        <v>20849.334973261368</v>
      </c>
      <c r="P35" s="124">
        <f t="shared" si="2"/>
        <v>6847.7458882073452</v>
      </c>
      <c r="Q35" s="124">
        <f t="shared" si="3"/>
        <v>36181.164678534136</v>
      </c>
      <c r="R35" s="124">
        <f t="shared" si="4"/>
        <v>0</v>
      </c>
      <c r="S35" s="170">
        <f t="shared" si="28"/>
        <v>63878.245540002848</v>
      </c>
      <c r="U35" s="124">
        <v>48028.477866376044</v>
      </c>
      <c r="V35" s="124">
        <v>3290.4302141559183</v>
      </c>
      <c r="W35" s="124">
        <v>16386.683557981687</v>
      </c>
      <c r="X35" s="124">
        <v>1011.1105409145823</v>
      </c>
      <c r="Y35" s="170">
        <f t="shared" si="29"/>
        <v>68716.702179428234</v>
      </c>
      <c r="AA35" s="124">
        <f t="shared" si="30"/>
        <v>-4442.6342026397842</v>
      </c>
      <c r="AB35" s="124">
        <f t="shared" si="30"/>
        <v>-304.36479480942245</v>
      </c>
      <c r="AC35" s="124">
        <f t="shared" si="5"/>
        <v>-1515.768229113306</v>
      </c>
      <c r="AD35" s="124">
        <f t="shared" si="5"/>
        <v>-93.527725034598859</v>
      </c>
      <c r="AE35" s="170">
        <f t="shared" si="31"/>
        <v>-6356.2949515971113</v>
      </c>
      <c r="AG35" s="124">
        <f t="shared" si="6"/>
        <v>43585.843663736261</v>
      </c>
      <c r="AH35" s="124">
        <f t="shared" si="7"/>
        <v>2986.0654193464957</v>
      </c>
      <c r="AI35" s="124">
        <f t="shared" si="8"/>
        <v>14870.915328868381</v>
      </c>
      <c r="AJ35" s="124">
        <f t="shared" si="9"/>
        <v>917.5828158799834</v>
      </c>
      <c r="AK35" s="170">
        <f t="shared" si="32"/>
        <v>62360.407227831121</v>
      </c>
      <c r="AM35" s="124">
        <f t="shared" si="10"/>
        <v>71002.951666113091</v>
      </c>
      <c r="AN35" s="124">
        <f t="shared" si="11"/>
        <v>11985.980548387468</v>
      </c>
      <c r="AO35" s="124">
        <f t="shared" si="12"/>
        <v>62331.019657707569</v>
      </c>
      <c r="AP35" s="124">
        <f t="shared" si="13"/>
        <v>1011.1105409145823</v>
      </c>
      <c r="AQ35" s="170">
        <f t="shared" si="14"/>
        <v>146331.06241312271</v>
      </c>
      <c r="AS35" s="124">
        <f t="shared" si="15"/>
        <v>-6567.7730291154603</v>
      </c>
      <c r="AT35" s="124">
        <f t="shared" si="16"/>
        <v>-2152.1692408336266</v>
      </c>
      <c r="AU35" s="124">
        <f t="shared" si="17"/>
        <v>-11278.939650305056</v>
      </c>
      <c r="AV35" s="124">
        <f t="shared" si="18"/>
        <v>-93.527725034598859</v>
      </c>
      <c r="AW35" s="170">
        <f t="shared" si="19"/>
        <v>-20092.409645288739</v>
      </c>
      <c r="AY35" s="124">
        <f t="shared" si="20"/>
        <v>64435.178636997633</v>
      </c>
      <c r="AZ35" s="124">
        <f t="shared" si="21"/>
        <v>9833.8113075538404</v>
      </c>
      <c r="BA35" s="124">
        <f t="shared" si="22"/>
        <v>51052.080007402517</v>
      </c>
      <c r="BB35" s="124">
        <f t="shared" si="23"/>
        <v>917.5828158799834</v>
      </c>
      <c r="BC35" s="170">
        <f t="shared" si="24"/>
        <v>126238.65276783398</v>
      </c>
    </row>
    <row r="36" spans="1:55">
      <c r="A36" s="123">
        <v>2044</v>
      </c>
      <c r="C36" s="124">
        <v>20897.330601350895</v>
      </c>
      <c r="D36" s="124">
        <v>7851.5122082130001</v>
      </c>
      <c r="E36" s="124">
        <v>40998.142517542372</v>
      </c>
      <c r="F36" s="124">
        <v>0</v>
      </c>
      <c r="G36" s="170">
        <f t="shared" si="25"/>
        <v>69746.98532710626</v>
      </c>
      <c r="I36" s="124">
        <f t="shared" si="26"/>
        <v>-1933.0030806249579</v>
      </c>
      <c r="J36" s="124">
        <f t="shared" si="26"/>
        <v>-1668.4463442452625</v>
      </c>
      <c r="K36" s="124">
        <f t="shared" si="26"/>
        <v>-8712.1052849777534</v>
      </c>
      <c r="L36" s="124">
        <f t="shared" si="26"/>
        <v>0</v>
      </c>
      <c r="M36" s="170">
        <f t="shared" si="27"/>
        <v>-12313.554709847973</v>
      </c>
      <c r="O36" s="124">
        <f t="shared" si="1"/>
        <v>18964.327520725936</v>
      </c>
      <c r="P36" s="124">
        <f t="shared" si="2"/>
        <v>6183.0658639677376</v>
      </c>
      <c r="Q36" s="124">
        <f t="shared" si="3"/>
        <v>32286.037232564617</v>
      </c>
      <c r="R36" s="124">
        <f t="shared" si="4"/>
        <v>0</v>
      </c>
      <c r="S36" s="170">
        <f t="shared" si="28"/>
        <v>57433.430617258287</v>
      </c>
      <c r="U36" s="124">
        <v>42425.683981676717</v>
      </c>
      <c r="V36" s="124">
        <v>2963.5751837859189</v>
      </c>
      <c r="W36" s="124">
        <v>14758.911625550707</v>
      </c>
      <c r="X36" s="124">
        <v>910.67183086397199</v>
      </c>
      <c r="Y36" s="170">
        <f t="shared" si="29"/>
        <v>61058.842621877309</v>
      </c>
      <c r="AA36" s="124">
        <f t="shared" si="30"/>
        <v>-3924.3757683050962</v>
      </c>
      <c r="AB36" s="124">
        <f t="shared" si="30"/>
        <v>-274.13070450019751</v>
      </c>
      <c r="AC36" s="124">
        <f t="shared" si="5"/>
        <v>-1365.1993253634403</v>
      </c>
      <c r="AD36" s="124">
        <f t="shared" si="5"/>
        <v>-84.237144354917405</v>
      </c>
      <c r="AE36" s="170">
        <f t="shared" si="31"/>
        <v>-5647.9429425236513</v>
      </c>
      <c r="AG36" s="124">
        <f t="shared" si="6"/>
        <v>38501.308213371623</v>
      </c>
      <c r="AH36" s="124">
        <f t="shared" si="7"/>
        <v>2689.4444792857212</v>
      </c>
      <c r="AI36" s="124">
        <f t="shared" si="8"/>
        <v>13393.712300187266</v>
      </c>
      <c r="AJ36" s="124">
        <f t="shared" si="9"/>
        <v>826.43468650905459</v>
      </c>
      <c r="AK36" s="170">
        <f t="shared" si="32"/>
        <v>55410.899679353672</v>
      </c>
      <c r="AM36" s="124">
        <f t="shared" si="10"/>
        <v>63323.014583027616</v>
      </c>
      <c r="AN36" s="124">
        <f t="shared" si="11"/>
        <v>10815.087391998919</v>
      </c>
      <c r="AO36" s="124">
        <f t="shared" si="12"/>
        <v>55757.054143093075</v>
      </c>
      <c r="AP36" s="124">
        <f t="shared" si="13"/>
        <v>910.67183086397199</v>
      </c>
      <c r="AQ36" s="170">
        <f t="shared" si="14"/>
        <v>130805.82794898358</v>
      </c>
      <c r="AS36" s="124">
        <f t="shared" si="15"/>
        <v>-5857.3788489300541</v>
      </c>
      <c r="AT36" s="124">
        <f t="shared" si="16"/>
        <v>-1942.5770487454599</v>
      </c>
      <c r="AU36" s="124">
        <f t="shared" si="17"/>
        <v>-10077.304610341194</v>
      </c>
      <c r="AV36" s="124">
        <f t="shared" si="18"/>
        <v>-84.237144354917405</v>
      </c>
      <c r="AW36" s="170">
        <f t="shared" si="19"/>
        <v>-17961.497652371625</v>
      </c>
      <c r="AY36" s="124">
        <f t="shared" si="20"/>
        <v>57465.635734097559</v>
      </c>
      <c r="AZ36" s="124">
        <f t="shared" si="21"/>
        <v>8872.5103432534597</v>
      </c>
      <c r="BA36" s="124">
        <f t="shared" si="22"/>
        <v>45679.749532751885</v>
      </c>
      <c r="BB36" s="124">
        <f t="shared" si="23"/>
        <v>826.43468650905459</v>
      </c>
      <c r="BC36" s="170">
        <f t="shared" si="24"/>
        <v>112844.33029661195</v>
      </c>
    </row>
    <row r="37" spans="1:55">
      <c r="A37" s="123">
        <v>2045</v>
      </c>
      <c r="C37" s="124">
        <v>19253.934766109556</v>
      </c>
      <c r="D37" s="124">
        <v>7008.7127480579256</v>
      </c>
      <c r="E37" s="124">
        <v>36303.70337672699</v>
      </c>
      <c r="F37" s="124">
        <v>0</v>
      </c>
      <c r="G37" s="170">
        <f t="shared" si="25"/>
        <v>62566.350890894471</v>
      </c>
      <c r="I37" s="124">
        <f t="shared" si="26"/>
        <v>-1780.9889658651339</v>
      </c>
      <c r="J37" s="124">
        <f t="shared" si="26"/>
        <v>-1489.3514589623092</v>
      </c>
      <c r="K37" s="124">
        <f t="shared" si="26"/>
        <v>-7714.5369675544853</v>
      </c>
      <c r="L37" s="124">
        <f t="shared" si="26"/>
        <v>0</v>
      </c>
      <c r="M37" s="170">
        <f t="shared" si="27"/>
        <v>-10984.877392381928</v>
      </c>
      <c r="O37" s="124">
        <f t="shared" si="1"/>
        <v>17472.945800244423</v>
      </c>
      <c r="P37" s="124">
        <f t="shared" si="2"/>
        <v>5519.3612890956165</v>
      </c>
      <c r="Q37" s="124">
        <f t="shared" si="3"/>
        <v>28589.166409172503</v>
      </c>
      <c r="R37" s="124">
        <f t="shared" si="4"/>
        <v>0</v>
      </c>
      <c r="S37" s="170">
        <f t="shared" si="28"/>
        <v>51581.47349851254</v>
      </c>
      <c r="U37" s="124">
        <v>26844.516773244435</v>
      </c>
      <c r="V37" s="124">
        <v>1836.9427177269147</v>
      </c>
      <c r="W37" s="124">
        <v>9148.1651546159137</v>
      </c>
      <c r="X37" s="124">
        <v>564.47091236061044</v>
      </c>
      <c r="Y37" s="170">
        <f t="shared" si="29"/>
        <v>38394.095557947869</v>
      </c>
      <c r="AA37" s="124">
        <f t="shared" si="30"/>
        <v>-2483.1178015251103</v>
      </c>
      <c r="AB37" s="124">
        <f t="shared" si="30"/>
        <v>-169.9172013897396</v>
      </c>
      <c r="AC37" s="124">
        <f t="shared" si="5"/>
        <v>-846.20527680197199</v>
      </c>
      <c r="AD37" s="124">
        <f t="shared" si="5"/>
        <v>-52.213559393356462</v>
      </c>
      <c r="AE37" s="170">
        <f t="shared" si="31"/>
        <v>-3551.4538391101783</v>
      </c>
      <c r="AG37" s="124">
        <f t="shared" si="6"/>
        <v>24361.398971719325</v>
      </c>
      <c r="AH37" s="124">
        <f t="shared" si="7"/>
        <v>1667.0255163371751</v>
      </c>
      <c r="AI37" s="124">
        <f t="shared" si="8"/>
        <v>8301.9598778139425</v>
      </c>
      <c r="AJ37" s="124">
        <f t="shared" si="9"/>
        <v>512.25735296725395</v>
      </c>
      <c r="AK37" s="170">
        <f t="shared" si="32"/>
        <v>34842.641718837694</v>
      </c>
      <c r="AM37" s="124">
        <f t="shared" si="10"/>
        <v>46098.451539353991</v>
      </c>
      <c r="AN37" s="124">
        <f t="shared" si="11"/>
        <v>8845.655465784841</v>
      </c>
      <c r="AO37" s="124">
        <f t="shared" si="12"/>
        <v>45451.868531342901</v>
      </c>
      <c r="AP37" s="124">
        <f t="shared" si="13"/>
        <v>564.47091236061044</v>
      </c>
      <c r="AQ37" s="170">
        <f t="shared" si="14"/>
        <v>100960.44644884235</v>
      </c>
      <c r="AS37" s="124">
        <f t="shared" si="15"/>
        <v>-4264.1067673902444</v>
      </c>
      <c r="AT37" s="124">
        <f t="shared" si="16"/>
        <v>-1659.2686603520488</v>
      </c>
      <c r="AU37" s="124">
        <f t="shared" si="17"/>
        <v>-8560.7422443564574</v>
      </c>
      <c r="AV37" s="124">
        <f t="shared" si="18"/>
        <v>-52.213559393356462</v>
      </c>
      <c r="AW37" s="170">
        <f t="shared" si="19"/>
        <v>-14536.331231492106</v>
      </c>
      <c r="AY37" s="124">
        <f t="shared" si="20"/>
        <v>41834.344771963748</v>
      </c>
      <c r="AZ37" s="124">
        <f t="shared" si="21"/>
        <v>7186.3868054327913</v>
      </c>
      <c r="BA37" s="124">
        <f t="shared" si="22"/>
        <v>36891.126286986444</v>
      </c>
      <c r="BB37" s="124">
        <f t="shared" si="23"/>
        <v>512.25735296725395</v>
      </c>
      <c r="BC37" s="170">
        <f t="shared" si="24"/>
        <v>86424.115217350234</v>
      </c>
    </row>
    <row r="38" spans="1:55">
      <c r="A38" s="123">
        <v>2046</v>
      </c>
      <c r="C38" s="124">
        <v>17436.131777596751</v>
      </c>
      <c r="D38" s="124">
        <v>6176.8791466725725</v>
      </c>
      <c r="E38" s="124">
        <v>32021.36838954471</v>
      </c>
      <c r="F38" s="124">
        <v>0</v>
      </c>
      <c r="G38" s="170">
        <f t="shared" si="25"/>
        <v>55634.379313814032</v>
      </c>
      <c r="I38" s="124">
        <f t="shared" si="26"/>
        <v>-1612.8421894276994</v>
      </c>
      <c r="J38" s="124">
        <f t="shared" si="26"/>
        <v>-1312.5868186679215</v>
      </c>
      <c r="K38" s="124">
        <f t="shared" si="26"/>
        <v>-6804.540782778251</v>
      </c>
      <c r="L38" s="124">
        <f t="shared" si="26"/>
        <v>0</v>
      </c>
      <c r="M38" s="170">
        <f t="shared" si="27"/>
        <v>-9729.9697908738708</v>
      </c>
      <c r="O38" s="124">
        <f t="shared" si="1"/>
        <v>15823.289588169051</v>
      </c>
      <c r="P38" s="124">
        <f t="shared" si="2"/>
        <v>4864.2923280046507</v>
      </c>
      <c r="Q38" s="124">
        <f t="shared" si="3"/>
        <v>25216.827606766459</v>
      </c>
      <c r="R38" s="124">
        <f t="shared" si="4"/>
        <v>0</v>
      </c>
      <c r="S38" s="170">
        <f t="shared" si="28"/>
        <v>45904.409522940157</v>
      </c>
      <c r="U38" s="124">
        <v>2968.7369540411601</v>
      </c>
      <c r="V38" s="124">
        <v>83.636692322747706</v>
      </c>
      <c r="W38" s="124">
        <v>416.51939758190645</v>
      </c>
      <c r="X38" s="124">
        <v>25.700572761418627</v>
      </c>
      <c r="Y38" s="170">
        <f t="shared" si="29"/>
        <v>3494.5936167072332</v>
      </c>
      <c r="AA38" s="124">
        <f t="shared" si="30"/>
        <v>-274.60816824880732</v>
      </c>
      <c r="AB38" s="124">
        <f t="shared" si="30"/>
        <v>-7.7363940398541624</v>
      </c>
      <c r="AC38" s="124">
        <f t="shared" si="5"/>
        <v>-38.528044276326348</v>
      </c>
      <c r="AD38" s="124">
        <f t="shared" si="5"/>
        <v>-2.3773029804312231</v>
      </c>
      <c r="AE38" s="170">
        <f t="shared" si="31"/>
        <v>-323.24990954541909</v>
      </c>
      <c r="AG38" s="124">
        <f t="shared" si="6"/>
        <v>2694.1287857923526</v>
      </c>
      <c r="AH38" s="124">
        <f t="shared" si="7"/>
        <v>75.900298282893544</v>
      </c>
      <c r="AI38" s="124">
        <f t="shared" si="8"/>
        <v>377.99135330558011</v>
      </c>
      <c r="AJ38" s="124">
        <f t="shared" si="9"/>
        <v>23.323269780987403</v>
      </c>
      <c r="AK38" s="170">
        <f t="shared" si="32"/>
        <v>3171.3437071618137</v>
      </c>
      <c r="AM38" s="124">
        <f t="shared" si="10"/>
        <v>20404.868731637911</v>
      </c>
      <c r="AN38" s="124">
        <f t="shared" si="11"/>
        <v>6260.5158389953203</v>
      </c>
      <c r="AO38" s="124">
        <f t="shared" si="12"/>
        <v>32437.887787126616</v>
      </c>
      <c r="AP38" s="124">
        <f t="shared" si="13"/>
        <v>25.700572761418627</v>
      </c>
      <c r="AQ38" s="170">
        <f t="shared" si="14"/>
        <v>59128.972930521268</v>
      </c>
      <c r="AS38" s="124">
        <f t="shared" si="15"/>
        <v>-1887.4503576765067</v>
      </c>
      <c r="AT38" s="124">
        <f t="shared" si="16"/>
        <v>-1320.3232127077756</v>
      </c>
      <c r="AU38" s="124">
        <f t="shared" si="17"/>
        <v>-6843.068827054577</v>
      </c>
      <c r="AV38" s="124">
        <f t="shared" si="18"/>
        <v>-2.3773029804312231</v>
      </c>
      <c r="AW38" s="170">
        <f t="shared" si="19"/>
        <v>-10053.219700419289</v>
      </c>
      <c r="AY38" s="124">
        <f t="shared" si="20"/>
        <v>18517.418373961402</v>
      </c>
      <c r="AZ38" s="124">
        <f t="shared" si="21"/>
        <v>4940.192626287544</v>
      </c>
      <c r="BA38" s="124">
        <f t="shared" si="22"/>
        <v>25594.81896007204</v>
      </c>
      <c r="BB38" s="124">
        <f t="shared" si="23"/>
        <v>23.323269780987403</v>
      </c>
      <c r="BC38" s="170">
        <f t="shared" si="24"/>
        <v>49075.753230101967</v>
      </c>
    </row>
    <row r="39" spans="1:55">
      <c r="A39" s="123">
        <v>2047</v>
      </c>
      <c r="C39" s="124">
        <v>15811.594023175987</v>
      </c>
      <c r="D39" s="124">
        <v>5588.5719656675647</v>
      </c>
      <c r="E39" s="124">
        <v>28866.573577862218</v>
      </c>
      <c r="F39" s="124">
        <v>0</v>
      </c>
      <c r="G39" s="170">
        <f t="shared" si="25"/>
        <v>50266.739566705772</v>
      </c>
      <c r="I39" s="124">
        <f t="shared" si="26"/>
        <v>-1462.5724471437788</v>
      </c>
      <c r="J39" s="124">
        <f t="shared" si="26"/>
        <v>-1187.5715427043574</v>
      </c>
      <c r="K39" s="124">
        <f t="shared" si="26"/>
        <v>-6134.1468852957214</v>
      </c>
      <c r="L39" s="124">
        <f t="shared" si="26"/>
        <v>0</v>
      </c>
      <c r="M39" s="170">
        <f t="shared" si="27"/>
        <v>-8784.2908751438572</v>
      </c>
      <c r="O39" s="124">
        <f t="shared" si="1"/>
        <v>14349.021576032208</v>
      </c>
      <c r="P39" s="124">
        <f t="shared" si="2"/>
        <v>4401.0004229632068</v>
      </c>
      <c r="Q39" s="124">
        <f t="shared" si="3"/>
        <v>22732.426692566496</v>
      </c>
      <c r="R39" s="124">
        <f t="shared" si="4"/>
        <v>0</v>
      </c>
      <c r="S39" s="170">
        <f t="shared" si="28"/>
        <v>41482.448691561905</v>
      </c>
      <c r="U39" s="124">
        <v>2314.2767501576727</v>
      </c>
      <c r="V39" s="124">
        <v>67.578730454069785</v>
      </c>
      <c r="W39" s="124">
        <v>336.54908329806068</v>
      </c>
      <c r="X39" s="124">
        <v>20.766149858707077</v>
      </c>
      <c r="Y39" s="170">
        <f t="shared" si="29"/>
        <v>2739.1707137685107</v>
      </c>
      <c r="AA39" s="124">
        <f t="shared" si="30"/>
        <v>-214.07059938958471</v>
      </c>
      <c r="AB39" s="124">
        <f>V39*-(AB$13+AB$14)</f>
        <v>-6.251032567001455</v>
      </c>
      <c r="AC39" s="124">
        <f t="shared" si="5"/>
        <v>-31.130790205070614</v>
      </c>
      <c r="AD39" s="124">
        <f t="shared" si="5"/>
        <v>-1.9208688619304046</v>
      </c>
      <c r="AE39" s="170">
        <f t="shared" si="31"/>
        <v>-253.3732910235872</v>
      </c>
      <c r="AG39" s="124">
        <f t="shared" si="6"/>
        <v>2100.2061507680878</v>
      </c>
      <c r="AH39" s="124">
        <f t="shared" si="7"/>
        <v>61.327697887068332</v>
      </c>
      <c r="AI39" s="124">
        <f t="shared" si="8"/>
        <v>305.41829309299004</v>
      </c>
      <c r="AJ39" s="124">
        <f t="shared" si="9"/>
        <v>18.845280996776673</v>
      </c>
      <c r="AK39" s="170">
        <f t="shared" si="32"/>
        <v>2485.7974227449231</v>
      </c>
      <c r="AM39" s="124">
        <f t="shared" si="10"/>
        <v>18125.87077333366</v>
      </c>
      <c r="AN39" s="124">
        <f t="shared" si="11"/>
        <v>5656.1506961216346</v>
      </c>
      <c r="AO39" s="124">
        <f t="shared" si="12"/>
        <v>29203.12266116028</v>
      </c>
      <c r="AP39" s="124">
        <f t="shared" si="13"/>
        <v>20.766149858707077</v>
      </c>
      <c r="AQ39" s="170">
        <f t="shared" si="14"/>
        <v>53005.91028047428</v>
      </c>
      <c r="AS39" s="124">
        <f t="shared" si="15"/>
        <v>-1676.6430465333635</v>
      </c>
      <c r="AT39" s="124">
        <f t="shared" si="16"/>
        <v>-1193.8225752713588</v>
      </c>
      <c r="AU39" s="124">
        <f t="shared" si="17"/>
        <v>-6165.2776755007917</v>
      </c>
      <c r="AV39" s="124">
        <f t="shared" si="18"/>
        <v>-1.9208688619304046</v>
      </c>
      <c r="AW39" s="170">
        <f t="shared" si="19"/>
        <v>-9037.6641661674457</v>
      </c>
      <c r="AY39" s="124">
        <f t="shared" si="20"/>
        <v>16449.227726800294</v>
      </c>
      <c r="AZ39" s="124">
        <f t="shared" si="21"/>
        <v>4462.3281208502749</v>
      </c>
      <c r="BA39" s="124">
        <f t="shared" si="22"/>
        <v>23037.844985659485</v>
      </c>
      <c r="BB39" s="124">
        <f t="shared" si="23"/>
        <v>18.845280996776673</v>
      </c>
      <c r="BC39" s="170">
        <f t="shared" si="24"/>
        <v>43968.246114306829</v>
      </c>
    </row>
    <row r="40" spans="1:55">
      <c r="A40" s="123">
        <v>2048</v>
      </c>
      <c r="C40" s="124">
        <v>14346.323316361602</v>
      </c>
      <c r="D40" s="124">
        <v>5066.1748858577666</v>
      </c>
      <c r="E40" s="124">
        <v>26083.386826678878</v>
      </c>
      <c r="F40" s="124">
        <v>0</v>
      </c>
      <c r="G40" s="170">
        <f t="shared" si="25"/>
        <v>45495.88502889825</v>
      </c>
      <c r="I40" s="124">
        <f t="shared" si="26"/>
        <v>-1327.0349067634481</v>
      </c>
      <c r="J40" s="124">
        <f t="shared" si="26"/>
        <v>-1076.5621632447753</v>
      </c>
      <c r="K40" s="124">
        <f t="shared" si="26"/>
        <v>-5542.7197006692613</v>
      </c>
      <c r="L40" s="124">
        <f t="shared" si="26"/>
        <v>0</v>
      </c>
      <c r="M40" s="170">
        <f t="shared" si="27"/>
        <v>-7946.3167706774848</v>
      </c>
      <c r="O40" s="124">
        <f t="shared" si="1"/>
        <v>13019.288409598154</v>
      </c>
      <c r="P40" s="124">
        <f t="shared" si="2"/>
        <v>3989.6127226129911</v>
      </c>
      <c r="Q40" s="124">
        <f t="shared" si="3"/>
        <v>20540.667126009615</v>
      </c>
      <c r="R40" s="124">
        <f t="shared" si="4"/>
        <v>0</v>
      </c>
      <c r="S40" s="170">
        <f t="shared" si="28"/>
        <v>37549.568258220759</v>
      </c>
      <c r="U40" s="124">
        <v>0</v>
      </c>
      <c r="V40" s="124">
        <v>0</v>
      </c>
      <c r="W40" s="124">
        <v>0</v>
      </c>
      <c r="X40" s="124">
        <v>0</v>
      </c>
      <c r="Y40" s="170">
        <f t="shared" si="29"/>
        <v>0</v>
      </c>
      <c r="AA40" s="124">
        <f t="shared" si="30"/>
        <v>0</v>
      </c>
      <c r="AB40" s="124">
        <f t="shared" si="30"/>
        <v>0</v>
      </c>
      <c r="AC40" s="124">
        <f t="shared" si="5"/>
        <v>0</v>
      </c>
      <c r="AD40" s="124">
        <f t="shared" si="5"/>
        <v>0</v>
      </c>
      <c r="AE40" s="170">
        <f t="shared" si="31"/>
        <v>0</v>
      </c>
      <c r="AG40" s="124">
        <f t="shared" si="6"/>
        <v>0</v>
      </c>
      <c r="AH40" s="124">
        <f t="shared" si="7"/>
        <v>0</v>
      </c>
      <c r="AI40" s="124">
        <f t="shared" si="8"/>
        <v>0</v>
      </c>
      <c r="AJ40" s="124">
        <f t="shared" si="9"/>
        <v>0</v>
      </c>
      <c r="AK40" s="170">
        <f t="shared" si="32"/>
        <v>0</v>
      </c>
      <c r="AM40" s="124">
        <f t="shared" si="10"/>
        <v>14346.323316361602</v>
      </c>
      <c r="AN40" s="124">
        <f t="shared" si="11"/>
        <v>5066.1748858577666</v>
      </c>
      <c r="AO40" s="124">
        <f t="shared" si="12"/>
        <v>26083.386826678878</v>
      </c>
      <c r="AP40" s="124">
        <f t="shared" si="13"/>
        <v>0</v>
      </c>
      <c r="AQ40" s="170">
        <f t="shared" si="14"/>
        <v>45495.88502889825</v>
      </c>
      <c r="AS40" s="124">
        <f t="shared" si="15"/>
        <v>-1327.0349067634481</v>
      </c>
      <c r="AT40" s="124">
        <f t="shared" si="16"/>
        <v>-1076.5621632447753</v>
      </c>
      <c r="AU40" s="124">
        <f t="shared" si="17"/>
        <v>-5542.7197006692613</v>
      </c>
      <c r="AV40" s="124">
        <f t="shared" si="18"/>
        <v>0</v>
      </c>
      <c r="AW40" s="170">
        <f t="shared" si="19"/>
        <v>-7946.3167706774848</v>
      </c>
      <c r="AY40" s="124">
        <f t="shared" si="20"/>
        <v>13019.288409598154</v>
      </c>
      <c r="AZ40" s="124">
        <f t="shared" si="21"/>
        <v>3989.6127226129911</v>
      </c>
      <c r="BA40" s="124">
        <f t="shared" si="22"/>
        <v>20540.667126009615</v>
      </c>
      <c r="BB40" s="124">
        <f t="shared" si="23"/>
        <v>0</v>
      </c>
      <c r="BC40" s="170">
        <f t="shared" si="24"/>
        <v>37549.568258220759</v>
      </c>
    </row>
    <row r="41" spans="1:55">
      <c r="A41" s="123">
        <v>2049</v>
      </c>
      <c r="C41" s="124">
        <v>13072.863678727543</v>
      </c>
      <c r="D41" s="124">
        <v>4609.5079378368691</v>
      </c>
      <c r="E41" s="124">
        <v>23655.514751044866</v>
      </c>
      <c r="F41" s="124">
        <v>0</v>
      </c>
      <c r="G41" s="170">
        <f t="shared" si="25"/>
        <v>41337.886367609273</v>
      </c>
      <c r="I41" s="124">
        <f t="shared" si="26"/>
        <v>-1209.2398902822977</v>
      </c>
      <c r="J41" s="124">
        <f t="shared" si="26"/>
        <v>-979.52043679033466</v>
      </c>
      <c r="K41" s="124">
        <f t="shared" si="26"/>
        <v>-5026.7968845970336</v>
      </c>
      <c r="L41" s="124">
        <f t="shared" si="26"/>
        <v>0</v>
      </c>
      <c r="M41" s="170">
        <f t="shared" si="27"/>
        <v>-7215.5572116696658</v>
      </c>
      <c r="O41" s="124">
        <f t="shared" si="1"/>
        <v>11863.623788445246</v>
      </c>
      <c r="P41" s="124">
        <f t="shared" si="2"/>
        <v>3629.9875010465344</v>
      </c>
      <c r="Q41" s="124">
        <f t="shared" si="3"/>
        <v>18628.717866447834</v>
      </c>
      <c r="R41" s="124">
        <f t="shared" si="4"/>
        <v>0</v>
      </c>
      <c r="S41" s="170">
        <f t="shared" si="28"/>
        <v>34122.329155939617</v>
      </c>
      <c r="U41" s="124">
        <v>0</v>
      </c>
      <c r="V41" s="124">
        <v>0</v>
      </c>
      <c r="W41" s="124">
        <v>0</v>
      </c>
      <c r="X41" s="124">
        <v>0</v>
      </c>
      <c r="Y41" s="170">
        <f t="shared" si="29"/>
        <v>0</v>
      </c>
      <c r="AA41" s="124">
        <f t="shared" si="30"/>
        <v>0</v>
      </c>
      <c r="AB41" s="124">
        <f t="shared" si="30"/>
        <v>0</v>
      </c>
      <c r="AC41" s="124">
        <f t="shared" si="5"/>
        <v>0</v>
      </c>
      <c r="AD41" s="124">
        <f t="shared" si="5"/>
        <v>0</v>
      </c>
      <c r="AE41" s="170">
        <f t="shared" si="31"/>
        <v>0</v>
      </c>
      <c r="AG41" s="124">
        <f t="shared" si="6"/>
        <v>0</v>
      </c>
      <c r="AH41" s="124">
        <f t="shared" si="7"/>
        <v>0</v>
      </c>
      <c r="AI41" s="124">
        <f t="shared" si="8"/>
        <v>0</v>
      </c>
      <c r="AJ41" s="124">
        <f t="shared" si="9"/>
        <v>0</v>
      </c>
      <c r="AK41" s="170">
        <f t="shared" si="32"/>
        <v>0</v>
      </c>
      <c r="AM41" s="124">
        <f t="shared" si="10"/>
        <v>13072.863678727543</v>
      </c>
      <c r="AN41" s="124">
        <f t="shared" si="11"/>
        <v>4609.5079378368691</v>
      </c>
      <c r="AO41" s="124">
        <f t="shared" si="12"/>
        <v>23655.514751044866</v>
      </c>
      <c r="AP41" s="124">
        <f t="shared" si="13"/>
        <v>0</v>
      </c>
      <c r="AQ41" s="170">
        <f t="shared" si="14"/>
        <v>41337.886367609273</v>
      </c>
      <c r="AS41" s="124">
        <f t="shared" si="15"/>
        <v>-1209.2398902822977</v>
      </c>
      <c r="AT41" s="124">
        <f t="shared" si="16"/>
        <v>-979.52043679033466</v>
      </c>
      <c r="AU41" s="124">
        <f t="shared" si="17"/>
        <v>-5026.7968845970336</v>
      </c>
      <c r="AV41" s="124">
        <f t="shared" si="18"/>
        <v>0</v>
      </c>
      <c r="AW41" s="170">
        <f t="shared" si="19"/>
        <v>-7215.5572116696658</v>
      </c>
      <c r="AY41" s="124">
        <f t="shared" si="20"/>
        <v>11863.623788445246</v>
      </c>
      <c r="AZ41" s="124">
        <f t="shared" si="21"/>
        <v>3629.9875010465344</v>
      </c>
      <c r="BA41" s="124">
        <f t="shared" si="22"/>
        <v>18628.717866447834</v>
      </c>
      <c r="BB41" s="124">
        <f t="shared" si="23"/>
        <v>0</v>
      </c>
      <c r="BC41" s="170">
        <f t="shared" si="24"/>
        <v>34122.329155939617</v>
      </c>
    </row>
    <row r="42" spans="1:55">
      <c r="A42" s="123">
        <v>2050</v>
      </c>
      <c r="C42" s="124">
        <v>11930.88330433808</v>
      </c>
      <c r="D42" s="124">
        <v>4149.3933655551364</v>
      </c>
      <c r="E42" s="124">
        <v>21271.340383229264</v>
      </c>
      <c r="F42" s="124">
        <v>0</v>
      </c>
      <c r="G42" s="170">
        <f t="shared" si="25"/>
        <v>37351.617053122478</v>
      </c>
      <c r="I42" s="124">
        <f t="shared" si="26"/>
        <v>-1103.6067056512725</v>
      </c>
      <c r="J42" s="124">
        <f t="shared" si="26"/>
        <v>-881.74609018046647</v>
      </c>
      <c r="K42" s="124">
        <f t="shared" si="26"/>
        <v>-4520.1598314362182</v>
      </c>
      <c r="L42" s="124">
        <f t="shared" si="26"/>
        <v>0</v>
      </c>
      <c r="M42" s="170">
        <f t="shared" si="27"/>
        <v>-6505.5126272679572</v>
      </c>
      <c r="O42" s="124">
        <f t="shared" si="1"/>
        <v>10827.276598686807</v>
      </c>
      <c r="P42" s="124">
        <f t="shared" si="2"/>
        <v>3267.6472753746698</v>
      </c>
      <c r="Q42" s="124">
        <f t="shared" si="3"/>
        <v>16751.180551793048</v>
      </c>
      <c r="R42" s="124">
        <f t="shared" si="4"/>
        <v>0</v>
      </c>
      <c r="S42" s="170">
        <f t="shared" si="28"/>
        <v>30846.104425854523</v>
      </c>
      <c r="U42" s="124">
        <v>0</v>
      </c>
      <c r="V42" s="124">
        <v>0</v>
      </c>
      <c r="W42" s="124">
        <v>0</v>
      </c>
      <c r="X42" s="124">
        <v>0</v>
      </c>
      <c r="Y42" s="170">
        <f t="shared" si="29"/>
        <v>0</v>
      </c>
      <c r="AA42" s="124">
        <f t="shared" si="30"/>
        <v>0</v>
      </c>
      <c r="AB42" s="124">
        <f t="shared" si="30"/>
        <v>0</v>
      </c>
      <c r="AC42" s="124">
        <f t="shared" si="30"/>
        <v>0</v>
      </c>
      <c r="AD42" s="124">
        <f t="shared" si="30"/>
        <v>0</v>
      </c>
      <c r="AE42" s="170">
        <f t="shared" si="31"/>
        <v>0</v>
      </c>
      <c r="AG42" s="124">
        <f t="shared" si="6"/>
        <v>0</v>
      </c>
      <c r="AH42" s="124">
        <f t="shared" si="7"/>
        <v>0</v>
      </c>
      <c r="AI42" s="124">
        <f t="shared" si="8"/>
        <v>0</v>
      </c>
      <c r="AJ42" s="124">
        <f t="shared" si="9"/>
        <v>0</v>
      </c>
      <c r="AK42" s="170">
        <f t="shared" si="32"/>
        <v>0</v>
      </c>
      <c r="AM42" s="124">
        <f t="shared" si="10"/>
        <v>11930.88330433808</v>
      </c>
      <c r="AN42" s="124">
        <f t="shared" si="11"/>
        <v>4149.3933655551364</v>
      </c>
      <c r="AO42" s="124">
        <f t="shared" si="12"/>
        <v>21271.340383229264</v>
      </c>
      <c r="AP42" s="124">
        <f t="shared" si="13"/>
        <v>0</v>
      </c>
      <c r="AQ42" s="170">
        <f t="shared" si="14"/>
        <v>37351.617053122478</v>
      </c>
      <c r="AS42" s="124">
        <f t="shared" si="15"/>
        <v>-1103.6067056512725</v>
      </c>
      <c r="AT42" s="124">
        <f t="shared" si="16"/>
        <v>-881.74609018046647</v>
      </c>
      <c r="AU42" s="124">
        <f t="shared" si="17"/>
        <v>-4520.1598314362182</v>
      </c>
      <c r="AV42" s="124">
        <f t="shared" si="18"/>
        <v>0</v>
      </c>
      <c r="AW42" s="170">
        <f t="shared" si="19"/>
        <v>-6505.5126272679572</v>
      </c>
      <c r="AY42" s="124">
        <f t="shared" si="20"/>
        <v>10827.276598686807</v>
      </c>
      <c r="AZ42" s="124">
        <f t="shared" si="21"/>
        <v>3267.6472753746698</v>
      </c>
      <c r="BA42" s="124">
        <f t="shared" si="22"/>
        <v>16751.180551793048</v>
      </c>
      <c r="BB42" s="124">
        <f t="shared" si="23"/>
        <v>0</v>
      </c>
      <c r="BC42" s="170">
        <f t="shared" si="24"/>
        <v>30846.104425854523</v>
      </c>
    </row>
    <row r="43" spans="1:55">
      <c r="A43" s="123">
        <v>2051</v>
      </c>
      <c r="C43" s="124">
        <v>10748.43212404624</v>
      </c>
      <c r="D43" s="124">
        <v>3801.2395658152464</v>
      </c>
      <c r="E43" s="124">
        <v>19325.726919873603</v>
      </c>
      <c r="F43" s="124">
        <v>0</v>
      </c>
      <c r="G43" s="170">
        <f t="shared" si="25"/>
        <v>33875.398609735086</v>
      </c>
      <c r="I43" s="124">
        <f t="shared" si="26"/>
        <v>-994.22997147427714</v>
      </c>
      <c r="J43" s="124">
        <f t="shared" si="26"/>
        <v>-807.76340773573986</v>
      </c>
      <c r="K43" s="124">
        <f t="shared" si="26"/>
        <v>-4106.7169704731405</v>
      </c>
      <c r="L43" s="124">
        <f t="shared" si="26"/>
        <v>0</v>
      </c>
      <c r="M43" s="170">
        <f t="shared" si="27"/>
        <v>-5908.7103496831569</v>
      </c>
      <c r="O43" s="124">
        <f t="shared" si="1"/>
        <v>9754.2021525719629</v>
      </c>
      <c r="P43" s="124">
        <f t="shared" si="2"/>
        <v>2993.4761580795066</v>
      </c>
      <c r="Q43" s="124">
        <f t="shared" si="3"/>
        <v>15219.009949400463</v>
      </c>
      <c r="R43" s="124">
        <f t="shared" si="4"/>
        <v>0</v>
      </c>
      <c r="S43" s="170">
        <f t="shared" si="28"/>
        <v>27966.688260051931</v>
      </c>
      <c r="U43" s="124">
        <v>0</v>
      </c>
      <c r="V43" s="124">
        <v>0</v>
      </c>
      <c r="W43" s="124">
        <v>0</v>
      </c>
      <c r="X43" s="124">
        <v>0</v>
      </c>
      <c r="Y43" s="170">
        <f t="shared" si="29"/>
        <v>0</v>
      </c>
      <c r="AA43" s="124">
        <f t="shared" si="30"/>
        <v>0</v>
      </c>
      <c r="AB43" s="124">
        <f t="shared" si="30"/>
        <v>0</v>
      </c>
      <c r="AC43" s="124">
        <f t="shared" si="30"/>
        <v>0</v>
      </c>
      <c r="AD43" s="124">
        <f t="shared" si="30"/>
        <v>0</v>
      </c>
      <c r="AE43" s="170">
        <f t="shared" si="31"/>
        <v>0</v>
      </c>
      <c r="AG43" s="124">
        <f t="shared" si="6"/>
        <v>0</v>
      </c>
      <c r="AH43" s="124">
        <f t="shared" si="7"/>
        <v>0</v>
      </c>
      <c r="AI43" s="124">
        <f t="shared" si="8"/>
        <v>0</v>
      </c>
      <c r="AJ43" s="124">
        <f t="shared" si="9"/>
        <v>0</v>
      </c>
      <c r="AK43" s="170">
        <f t="shared" si="32"/>
        <v>0</v>
      </c>
      <c r="AM43" s="124">
        <f t="shared" si="10"/>
        <v>10748.43212404624</v>
      </c>
      <c r="AN43" s="124">
        <f t="shared" si="11"/>
        <v>3801.2395658152464</v>
      </c>
      <c r="AO43" s="124">
        <f t="shared" si="12"/>
        <v>19325.726919873603</v>
      </c>
      <c r="AP43" s="124">
        <f t="shared" si="13"/>
        <v>0</v>
      </c>
      <c r="AQ43" s="170">
        <f t="shared" si="14"/>
        <v>33875.398609735086</v>
      </c>
      <c r="AS43" s="124">
        <f t="shared" si="15"/>
        <v>-994.22997147427714</v>
      </c>
      <c r="AT43" s="124">
        <f t="shared" si="16"/>
        <v>-807.76340773573986</v>
      </c>
      <c r="AU43" s="124">
        <f t="shared" si="17"/>
        <v>-4106.7169704731405</v>
      </c>
      <c r="AV43" s="124">
        <f t="shared" si="18"/>
        <v>0</v>
      </c>
      <c r="AW43" s="170">
        <f t="shared" si="19"/>
        <v>-5908.7103496831569</v>
      </c>
      <c r="AY43" s="124">
        <f t="shared" si="20"/>
        <v>9754.2021525719629</v>
      </c>
      <c r="AZ43" s="124">
        <f t="shared" si="21"/>
        <v>2993.4761580795066</v>
      </c>
      <c r="BA43" s="124">
        <f t="shared" si="22"/>
        <v>15219.009949400463</v>
      </c>
      <c r="BB43" s="124">
        <f t="shared" si="23"/>
        <v>0</v>
      </c>
      <c r="BC43" s="170">
        <f t="shared" si="24"/>
        <v>27966.688260051931</v>
      </c>
    </row>
    <row r="44" spans="1:55">
      <c r="A44" s="123">
        <v>2052</v>
      </c>
      <c r="C44" s="124">
        <v>6596.2961941250041</v>
      </c>
      <c r="D44" s="124">
        <v>2322.7866475871897</v>
      </c>
      <c r="E44" s="124">
        <v>11738.592367146899</v>
      </c>
      <c r="F44" s="124">
        <v>0</v>
      </c>
      <c r="G44" s="170">
        <f t="shared" si="25"/>
        <v>20657.675208859095</v>
      </c>
      <c r="I44" s="124">
        <f t="shared" si="26"/>
        <v>-610.15739795656293</v>
      </c>
      <c r="J44" s="124">
        <f t="shared" si="26"/>
        <v>-493.59216261227778</v>
      </c>
      <c r="K44" s="124">
        <f t="shared" si="26"/>
        <v>-2494.4508780187161</v>
      </c>
      <c r="L44" s="124">
        <f t="shared" si="26"/>
        <v>0</v>
      </c>
      <c r="M44" s="170">
        <f t="shared" si="27"/>
        <v>-3598.2004385875571</v>
      </c>
      <c r="O44" s="124">
        <f t="shared" si="1"/>
        <v>5986.1387961684413</v>
      </c>
      <c r="P44" s="124">
        <f t="shared" si="2"/>
        <v>1829.194484974912</v>
      </c>
      <c r="Q44" s="124">
        <f t="shared" si="3"/>
        <v>9244.141489128182</v>
      </c>
      <c r="R44" s="124">
        <f t="shared" si="4"/>
        <v>0</v>
      </c>
      <c r="S44" s="170">
        <f t="shared" si="28"/>
        <v>17059.474770271536</v>
      </c>
      <c r="U44" s="124">
        <v>0</v>
      </c>
      <c r="V44" s="124">
        <v>0</v>
      </c>
      <c r="W44" s="124">
        <v>0</v>
      </c>
      <c r="X44" s="124">
        <v>0</v>
      </c>
      <c r="Y44" s="170">
        <f t="shared" si="29"/>
        <v>0</v>
      </c>
      <c r="AA44" s="124">
        <f t="shared" si="30"/>
        <v>0</v>
      </c>
      <c r="AB44" s="124">
        <f t="shared" si="30"/>
        <v>0</v>
      </c>
      <c r="AC44" s="124">
        <f t="shared" si="30"/>
        <v>0</v>
      </c>
      <c r="AD44" s="124">
        <f t="shared" si="30"/>
        <v>0</v>
      </c>
      <c r="AE44" s="170">
        <f t="shared" si="31"/>
        <v>0</v>
      </c>
      <c r="AG44" s="124">
        <f t="shared" si="6"/>
        <v>0</v>
      </c>
      <c r="AH44" s="124">
        <f t="shared" si="7"/>
        <v>0</v>
      </c>
      <c r="AI44" s="124">
        <f t="shared" si="8"/>
        <v>0</v>
      </c>
      <c r="AJ44" s="124">
        <f t="shared" si="9"/>
        <v>0</v>
      </c>
      <c r="AK44" s="170">
        <f t="shared" si="32"/>
        <v>0</v>
      </c>
      <c r="AM44" s="124">
        <f t="shared" si="10"/>
        <v>6596.2961941250041</v>
      </c>
      <c r="AN44" s="124">
        <f t="shared" si="11"/>
        <v>2322.7866475871897</v>
      </c>
      <c r="AO44" s="124">
        <f t="shared" si="12"/>
        <v>11738.592367146899</v>
      </c>
      <c r="AP44" s="124">
        <f t="shared" si="13"/>
        <v>0</v>
      </c>
      <c r="AQ44" s="170">
        <f t="shared" si="14"/>
        <v>20657.675208859095</v>
      </c>
      <c r="AS44" s="124">
        <f t="shared" si="15"/>
        <v>-610.15739795656293</v>
      </c>
      <c r="AT44" s="124">
        <f t="shared" si="16"/>
        <v>-493.59216261227778</v>
      </c>
      <c r="AU44" s="124">
        <f t="shared" si="17"/>
        <v>-2494.4508780187161</v>
      </c>
      <c r="AV44" s="124">
        <f t="shared" si="18"/>
        <v>0</v>
      </c>
      <c r="AW44" s="170">
        <f t="shared" si="19"/>
        <v>-3598.2004385875571</v>
      </c>
      <c r="AY44" s="124">
        <f t="shared" si="20"/>
        <v>5986.1387961684413</v>
      </c>
      <c r="AZ44" s="124">
        <f t="shared" si="21"/>
        <v>1829.194484974912</v>
      </c>
      <c r="BA44" s="124">
        <f t="shared" si="22"/>
        <v>9244.141489128182</v>
      </c>
      <c r="BB44" s="124">
        <f t="shared" si="23"/>
        <v>0</v>
      </c>
      <c r="BC44" s="170">
        <f t="shared" si="24"/>
        <v>17059.474770271536</v>
      </c>
    </row>
    <row r="45" spans="1:55">
      <c r="A45" s="123">
        <v>2053</v>
      </c>
      <c r="C45" s="124">
        <v>0</v>
      </c>
      <c r="D45" s="124">
        <v>0</v>
      </c>
      <c r="E45" s="124">
        <v>0</v>
      </c>
      <c r="F45" s="124">
        <v>0</v>
      </c>
      <c r="G45" s="170">
        <f t="shared" si="25"/>
        <v>0</v>
      </c>
      <c r="I45" s="124">
        <f t="shared" si="26"/>
        <v>0</v>
      </c>
      <c r="J45" s="124">
        <f t="shared" si="26"/>
        <v>0</v>
      </c>
      <c r="K45" s="124">
        <f t="shared" si="26"/>
        <v>0</v>
      </c>
      <c r="L45" s="124">
        <f t="shared" si="26"/>
        <v>0</v>
      </c>
      <c r="M45" s="170">
        <f t="shared" si="27"/>
        <v>0</v>
      </c>
      <c r="O45" s="124">
        <f t="shared" si="1"/>
        <v>0</v>
      </c>
      <c r="P45" s="124">
        <f t="shared" si="2"/>
        <v>0</v>
      </c>
      <c r="Q45" s="124">
        <f t="shared" si="3"/>
        <v>0</v>
      </c>
      <c r="R45" s="124">
        <f t="shared" si="4"/>
        <v>0</v>
      </c>
      <c r="S45" s="170">
        <f t="shared" si="28"/>
        <v>0</v>
      </c>
      <c r="U45" s="124">
        <v>0</v>
      </c>
      <c r="V45" s="124">
        <v>0</v>
      </c>
      <c r="W45" s="124">
        <v>0</v>
      </c>
      <c r="X45" s="124">
        <v>0</v>
      </c>
      <c r="Y45" s="170">
        <f t="shared" si="29"/>
        <v>0</v>
      </c>
      <c r="AA45" s="124">
        <f t="shared" si="30"/>
        <v>0</v>
      </c>
      <c r="AB45" s="124">
        <f t="shared" si="30"/>
        <v>0</v>
      </c>
      <c r="AC45" s="124">
        <f t="shared" si="30"/>
        <v>0</v>
      </c>
      <c r="AD45" s="124">
        <f t="shared" si="30"/>
        <v>0</v>
      </c>
      <c r="AE45" s="170">
        <f t="shared" si="31"/>
        <v>0</v>
      </c>
      <c r="AG45" s="124">
        <f t="shared" si="6"/>
        <v>0</v>
      </c>
      <c r="AH45" s="124">
        <f t="shared" si="7"/>
        <v>0</v>
      </c>
      <c r="AI45" s="124">
        <f t="shared" si="8"/>
        <v>0</v>
      </c>
      <c r="AJ45" s="124">
        <f t="shared" si="9"/>
        <v>0</v>
      </c>
      <c r="AK45" s="170">
        <f t="shared" si="32"/>
        <v>0</v>
      </c>
      <c r="AM45" s="124">
        <f t="shared" si="10"/>
        <v>0</v>
      </c>
      <c r="AN45" s="124">
        <f t="shared" si="11"/>
        <v>0</v>
      </c>
      <c r="AO45" s="124">
        <f t="shared" si="12"/>
        <v>0</v>
      </c>
      <c r="AP45" s="124">
        <f t="shared" si="13"/>
        <v>0</v>
      </c>
      <c r="AQ45" s="170">
        <f t="shared" si="14"/>
        <v>0</v>
      </c>
      <c r="AS45" s="124">
        <f t="shared" si="15"/>
        <v>0</v>
      </c>
      <c r="AT45" s="124">
        <f t="shared" si="16"/>
        <v>0</v>
      </c>
      <c r="AU45" s="124">
        <f t="shared" si="17"/>
        <v>0</v>
      </c>
      <c r="AV45" s="124">
        <f t="shared" si="18"/>
        <v>0</v>
      </c>
      <c r="AW45" s="170">
        <f t="shared" si="19"/>
        <v>0</v>
      </c>
      <c r="AY45" s="124">
        <f t="shared" si="20"/>
        <v>0</v>
      </c>
      <c r="AZ45" s="124">
        <f t="shared" si="21"/>
        <v>0</v>
      </c>
      <c r="BA45" s="124">
        <f t="shared" si="22"/>
        <v>0</v>
      </c>
      <c r="BB45" s="124">
        <f t="shared" si="23"/>
        <v>0</v>
      </c>
      <c r="BC45" s="170">
        <f t="shared" si="24"/>
        <v>0</v>
      </c>
    </row>
    <row r="46" spans="1:55">
      <c r="A46" s="123">
        <v>2054</v>
      </c>
      <c r="C46" s="124">
        <v>0</v>
      </c>
      <c r="D46" s="124">
        <v>0</v>
      </c>
      <c r="E46" s="124">
        <v>0</v>
      </c>
      <c r="F46" s="124">
        <v>0</v>
      </c>
      <c r="G46" s="170">
        <f t="shared" si="25"/>
        <v>0</v>
      </c>
      <c r="I46" s="124">
        <f t="shared" si="26"/>
        <v>0</v>
      </c>
      <c r="J46" s="124">
        <f t="shared" si="26"/>
        <v>0</v>
      </c>
      <c r="K46" s="124">
        <f t="shared" si="26"/>
        <v>0</v>
      </c>
      <c r="L46" s="124">
        <f t="shared" si="26"/>
        <v>0</v>
      </c>
      <c r="M46" s="170">
        <f t="shared" si="27"/>
        <v>0</v>
      </c>
      <c r="O46" s="124">
        <f t="shared" si="1"/>
        <v>0</v>
      </c>
      <c r="P46" s="124">
        <f t="shared" si="2"/>
        <v>0</v>
      </c>
      <c r="Q46" s="124">
        <f t="shared" si="3"/>
        <v>0</v>
      </c>
      <c r="R46" s="124">
        <f t="shared" si="4"/>
        <v>0</v>
      </c>
      <c r="S46" s="170">
        <f t="shared" si="28"/>
        <v>0</v>
      </c>
      <c r="U46" s="124">
        <v>0</v>
      </c>
      <c r="V46" s="124">
        <v>0</v>
      </c>
      <c r="W46" s="124">
        <v>0</v>
      </c>
      <c r="X46" s="124">
        <v>0</v>
      </c>
      <c r="Y46" s="170">
        <f t="shared" si="29"/>
        <v>0</v>
      </c>
      <c r="AA46" s="124">
        <f t="shared" si="30"/>
        <v>0</v>
      </c>
      <c r="AB46" s="124">
        <f t="shared" si="30"/>
        <v>0</v>
      </c>
      <c r="AC46" s="124">
        <f t="shared" si="30"/>
        <v>0</v>
      </c>
      <c r="AD46" s="124">
        <f t="shared" si="30"/>
        <v>0</v>
      </c>
      <c r="AE46" s="170">
        <f t="shared" si="31"/>
        <v>0</v>
      </c>
      <c r="AG46" s="124">
        <f t="shared" si="6"/>
        <v>0</v>
      </c>
      <c r="AH46" s="124">
        <f t="shared" si="7"/>
        <v>0</v>
      </c>
      <c r="AI46" s="124">
        <f t="shared" si="8"/>
        <v>0</v>
      </c>
      <c r="AJ46" s="124">
        <f t="shared" si="9"/>
        <v>0</v>
      </c>
      <c r="AK46" s="170">
        <f t="shared" si="32"/>
        <v>0</v>
      </c>
      <c r="AM46" s="124">
        <f t="shared" si="10"/>
        <v>0</v>
      </c>
      <c r="AN46" s="124">
        <f t="shared" si="11"/>
        <v>0</v>
      </c>
      <c r="AO46" s="124">
        <f t="shared" si="12"/>
        <v>0</v>
      </c>
      <c r="AP46" s="124">
        <f t="shared" si="13"/>
        <v>0</v>
      </c>
      <c r="AQ46" s="170">
        <f t="shared" si="14"/>
        <v>0</v>
      </c>
      <c r="AS46" s="124">
        <f t="shared" si="15"/>
        <v>0</v>
      </c>
      <c r="AT46" s="124">
        <f t="shared" si="16"/>
        <v>0</v>
      </c>
      <c r="AU46" s="124">
        <f t="shared" si="17"/>
        <v>0</v>
      </c>
      <c r="AV46" s="124">
        <f t="shared" si="18"/>
        <v>0</v>
      </c>
      <c r="AW46" s="170">
        <f t="shared" si="19"/>
        <v>0</v>
      </c>
      <c r="AY46" s="124">
        <f t="shared" si="20"/>
        <v>0</v>
      </c>
      <c r="AZ46" s="124">
        <f t="shared" si="21"/>
        <v>0</v>
      </c>
      <c r="BA46" s="124">
        <f t="shared" si="22"/>
        <v>0</v>
      </c>
      <c r="BB46" s="124">
        <f t="shared" si="23"/>
        <v>0</v>
      </c>
      <c r="BC46" s="170">
        <f t="shared" si="24"/>
        <v>0</v>
      </c>
    </row>
    <row r="47" spans="1:55" customFormat="1" ht="6" customHeight="1" thickBot="1">
      <c r="B47" s="3"/>
      <c r="C47" s="113"/>
      <c r="D47" s="114"/>
      <c r="E47" s="113"/>
      <c r="F47" s="114"/>
      <c r="G47" s="114"/>
      <c r="H47" s="3"/>
      <c r="I47" s="113"/>
      <c r="J47" s="114"/>
      <c r="K47" s="114"/>
      <c r="L47" s="114"/>
      <c r="M47" s="114"/>
      <c r="N47" s="3"/>
      <c r="O47" s="113"/>
      <c r="P47" s="114"/>
      <c r="Q47" s="114"/>
      <c r="R47" s="114"/>
      <c r="S47" s="114"/>
      <c r="T47" s="3"/>
      <c r="U47" s="113"/>
      <c r="V47" s="114"/>
      <c r="W47" s="114"/>
      <c r="X47" s="114"/>
      <c r="Y47" s="114"/>
      <c r="Z47" s="3"/>
      <c r="AA47" s="113"/>
      <c r="AB47" s="114"/>
      <c r="AC47" s="114"/>
      <c r="AD47" s="114"/>
      <c r="AE47" s="114"/>
      <c r="AF47" s="3"/>
      <c r="AG47" s="113"/>
      <c r="AH47" s="114"/>
      <c r="AI47" s="114"/>
      <c r="AJ47" s="114"/>
      <c r="AK47" s="114"/>
      <c r="AL47" s="3"/>
      <c r="AM47" s="113"/>
      <c r="AN47" s="114"/>
      <c r="AO47" s="114"/>
      <c r="AP47" s="114"/>
      <c r="AQ47" s="114"/>
      <c r="AR47" s="3"/>
      <c r="AS47" s="113"/>
      <c r="AT47" s="114"/>
      <c r="AU47" s="114"/>
      <c r="AV47" s="114"/>
      <c r="AW47" s="114"/>
      <c r="AX47" s="3"/>
      <c r="AY47" s="113"/>
      <c r="AZ47" s="114"/>
      <c r="BA47" s="114"/>
      <c r="BB47" s="114"/>
      <c r="BC47" s="114"/>
    </row>
    <row r="48" spans="1:55" ht="13.5" thickBot="1">
      <c r="A48" s="118" t="s">
        <v>657</v>
      </c>
      <c r="C48" s="137">
        <f>SUM(C16:C46)</f>
        <v>3253918.7279496309</v>
      </c>
      <c r="D48" s="137">
        <f>SUM(D16:D46)</f>
        <v>566868.9540660989</v>
      </c>
      <c r="E48" s="137">
        <f>SUM(E16:E46)</f>
        <v>3110547.0294263833</v>
      </c>
      <c r="F48" s="137">
        <f>SUM(F16:F46)</f>
        <v>0</v>
      </c>
      <c r="G48" s="137">
        <f>SUM(G16:G46)</f>
        <v>6931334.7114421139</v>
      </c>
      <c r="I48" s="137">
        <f t="shared" ref="I48:M48" si="33">SUM(I16:I46)</f>
        <v>-300987.48233534081</v>
      </c>
      <c r="J48" s="137">
        <f t="shared" si="33"/>
        <v>-120459.65273904604</v>
      </c>
      <c r="K48" s="137">
        <f t="shared" si="33"/>
        <v>-660991.24375310633</v>
      </c>
      <c r="L48" s="137">
        <f t="shared" si="33"/>
        <v>0</v>
      </c>
      <c r="M48" s="137">
        <f t="shared" si="33"/>
        <v>-1082438.3788274932</v>
      </c>
      <c r="O48" s="137">
        <f>SUM(O16:O46)</f>
        <v>2952931.2456142888</v>
      </c>
      <c r="P48" s="137">
        <f>SUM(P16:P46)</f>
        <v>446409.30132705305</v>
      </c>
      <c r="Q48" s="137">
        <f>SUM(Q16:Q46)</f>
        <v>2449555.7856732765</v>
      </c>
      <c r="R48" s="137">
        <f>SUM(R16:R46)</f>
        <v>0</v>
      </c>
      <c r="S48" s="137">
        <f>SUM(S16:S46)</f>
        <v>5848896.3326146174</v>
      </c>
      <c r="U48" s="137">
        <f>SUM(U16:U46)</f>
        <v>3515384.4013686501</v>
      </c>
      <c r="V48" s="137">
        <f>SUM(V16:V46)</f>
        <v>234580.37413328508</v>
      </c>
      <c r="W48" s="137">
        <f>SUM(W16:W46)</f>
        <v>1189250.5052822251</v>
      </c>
      <c r="X48" s="137">
        <f>SUM(X16:X46)</f>
        <v>74371.079974782697</v>
      </c>
      <c r="Y48" s="137">
        <f>SUM(Y16:Y46)</f>
        <v>5013586.3607589416</v>
      </c>
      <c r="AA48" s="137">
        <f t="shared" ref="AA48:AE48" si="34">SUM(AA16:AA46)</f>
        <v>-326736.44495160016</v>
      </c>
      <c r="AB48" s="137">
        <f t="shared" si="34"/>
        <v>-21698.684607328865</v>
      </c>
      <c r="AC48" s="137">
        <f t="shared" si="34"/>
        <v>-110005.67173860584</v>
      </c>
      <c r="AD48" s="137">
        <f t="shared" si="34"/>
        <v>-6879.3248976673967</v>
      </c>
      <c r="AE48" s="137">
        <f t="shared" si="34"/>
        <v>-465320.12619520212</v>
      </c>
      <c r="AG48" s="137">
        <f>SUM(AG16:AG46)</f>
        <v>3188647.9564170493</v>
      </c>
      <c r="AH48" s="137">
        <f>SUM(AH16:AH46)</f>
        <v>212881.68952595608</v>
      </c>
      <c r="AI48" s="137">
        <f>SUM(AI16:AI46)</f>
        <v>1079244.8335436191</v>
      </c>
      <c r="AJ48" s="137">
        <f>SUM(AJ16:AJ46)</f>
        <v>67491.755077115275</v>
      </c>
      <c r="AK48" s="137">
        <f>SUM(AK16:AK46)</f>
        <v>4548266.2345637418</v>
      </c>
      <c r="AM48" s="137">
        <f>SUM(AM16:AM46)</f>
        <v>6769303.1293182801</v>
      </c>
      <c r="AN48" s="137">
        <f>SUM(AN16:AN46)</f>
        <v>801449.32819938404</v>
      </c>
      <c r="AO48" s="137">
        <f>SUM(AO16:AO46)</f>
        <v>4299797.534708607</v>
      </c>
      <c r="AP48" s="137">
        <f>SUM(AP16:AP46)</f>
        <v>74371.079974782697</v>
      </c>
      <c r="AQ48" s="137">
        <f>SUM(AQ16:AQ46)</f>
        <v>11944921.072201055</v>
      </c>
      <c r="AS48" s="137">
        <f>SUM(AS16:AS46)</f>
        <v>-627723.92728694086</v>
      </c>
      <c r="AT48" s="137">
        <f>SUM(AT16:AT46)</f>
        <v>-142158.33734637493</v>
      </c>
      <c r="AU48" s="137">
        <f>SUM(AU16:AU46)</f>
        <v>-770996.91549171216</v>
      </c>
      <c r="AV48" s="137">
        <f>SUM(AV16:AV46)</f>
        <v>-6879.3248976673967</v>
      </c>
      <c r="AW48" s="137">
        <f>SUM(AW16:AW46)</f>
        <v>-1547758.5050226951</v>
      </c>
      <c r="AY48" s="137">
        <f>SUM(AY16:AY46)</f>
        <v>6141579.2020313395</v>
      </c>
      <c r="AZ48" s="137">
        <f>SUM(AZ16:AZ46)</f>
        <v>659290.99085300905</v>
      </c>
      <c r="BA48" s="137">
        <f>SUM(BA16:BA46)</f>
        <v>3528800.6192168952</v>
      </c>
      <c r="BB48" s="137">
        <f>SUM(BB16:BB46)</f>
        <v>67491.755077115275</v>
      </c>
      <c r="BC48" s="137">
        <f>SUM(BC16:BC46)</f>
        <v>10397162.567178357</v>
      </c>
    </row>
  </sheetData>
  <mergeCells count="24">
    <mergeCell ref="E2:BF2"/>
    <mergeCell ref="S8:S10"/>
    <mergeCell ref="E3:BC3"/>
    <mergeCell ref="E4:BC4"/>
    <mergeCell ref="C6:S6"/>
    <mergeCell ref="U6:AK6"/>
    <mergeCell ref="AM6:BC6"/>
    <mergeCell ref="C8:F8"/>
    <mergeCell ref="G8:G10"/>
    <mergeCell ref="I8:L8"/>
    <mergeCell ref="M8:M10"/>
    <mergeCell ref="O8:R8"/>
    <mergeCell ref="BC8:BC10"/>
    <mergeCell ref="U8:X8"/>
    <mergeCell ref="Y8:Y10"/>
    <mergeCell ref="AA8:AD8"/>
    <mergeCell ref="AS8:AV8"/>
    <mergeCell ref="AW8:AW10"/>
    <mergeCell ref="AY8:BB8"/>
    <mergeCell ref="AE8:AE10"/>
    <mergeCell ref="AG8:AJ8"/>
    <mergeCell ref="AK8:AK10"/>
    <mergeCell ref="AM8:AP8"/>
    <mergeCell ref="AQ8:AQ10"/>
  </mergeCells>
  <pageMargins left="0.511811024" right="0.511811024" top="0.78740157499999996" bottom="0.78740157499999996" header="0.31496062000000002" footer="0.31496062000000002"/>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F7E65-6EC8-49BB-A15C-C73E5BF8CAB7}">
  <dimension ref="A1:AX44"/>
  <sheetViews>
    <sheetView showGridLines="0" workbookViewId="0">
      <pane xSplit="1" ySplit="9" topLeftCell="B10" activePane="bottomRight" state="frozen"/>
      <selection pane="topRight"/>
      <selection pane="bottomLeft"/>
      <selection pane="bottomRight"/>
    </sheetView>
  </sheetViews>
  <sheetFormatPr defaultColWidth="9.140625" defaultRowHeight="12.75"/>
  <cols>
    <col min="1" max="1" width="10.140625" style="3" bestFit="1" customWidth="1"/>
    <col min="2" max="2" width="2" style="3" customWidth="1"/>
    <col min="3" max="4" width="9.42578125" style="3" customWidth="1"/>
    <col min="5" max="6" width="9.28515625" style="3" customWidth="1"/>
    <col min="7" max="8" width="9.42578125" style="3" customWidth="1"/>
    <col min="9" max="9" width="2" style="3" customWidth="1"/>
    <col min="10" max="11" width="9.42578125" style="3" customWidth="1"/>
    <col min="12" max="13" width="9.28515625" style="3" customWidth="1"/>
    <col min="14" max="15" width="9.42578125" style="3" customWidth="1"/>
    <col min="16" max="16" width="2" style="3" customWidth="1"/>
    <col min="17" max="17" width="9.42578125" style="3" customWidth="1"/>
    <col min="18" max="18" width="10" style="3" bestFit="1" customWidth="1"/>
    <col min="19" max="20" width="9.28515625" style="3" customWidth="1"/>
    <col min="21" max="21" width="9.42578125" style="3" customWidth="1"/>
    <col min="22" max="22" width="10" style="3" bestFit="1" customWidth="1"/>
    <col min="23" max="16384" width="9.140625" style="3"/>
  </cols>
  <sheetData>
    <row r="1" spans="1:50" ht="18.75">
      <c r="E1" s="43"/>
    </row>
    <row r="2" spans="1:50" ht="18.75">
      <c r="E2" s="43" t="s">
        <v>1190</v>
      </c>
      <c r="F2" s="43"/>
      <c r="H2" s="140"/>
      <c r="I2" s="140"/>
      <c r="J2" s="140"/>
      <c r="L2" s="43"/>
      <c r="M2" s="43"/>
      <c r="O2" s="140"/>
      <c r="P2" s="143"/>
      <c r="Q2" s="143"/>
      <c r="S2" s="43"/>
      <c r="T2" s="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row>
    <row r="3" spans="1:50">
      <c r="E3" s="44" t="s">
        <v>785</v>
      </c>
      <c r="F3" s="44"/>
      <c r="L3" s="44"/>
      <c r="M3" s="44"/>
      <c r="S3" s="44"/>
      <c r="T3" s="44"/>
    </row>
    <row r="5" spans="1:50" ht="12.75" customHeight="1">
      <c r="A5" s="128" t="s">
        <v>1181</v>
      </c>
      <c r="C5" s="381" t="s">
        <v>1178</v>
      </c>
      <c r="D5" s="381"/>
      <c r="E5" s="381"/>
      <c r="F5" s="381"/>
      <c r="G5" s="381"/>
      <c r="H5" s="381"/>
      <c r="J5" s="381" t="s">
        <v>39</v>
      </c>
      <c r="K5" s="381"/>
      <c r="L5" s="381"/>
      <c r="M5" s="381"/>
      <c r="N5" s="381"/>
      <c r="O5" s="381"/>
      <c r="Q5" s="381" t="s">
        <v>1188</v>
      </c>
      <c r="R5" s="381"/>
      <c r="S5" s="381"/>
      <c r="T5" s="381"/>
      <c r="U5" s="381"/>
      <c r="V5" s="381"/>
    </row>
    <row r="6" spans="1:50" customFormat="1" ht="3" customHeight="1">
      <c r="B6" s="3"/>
      <c r="C6" s="113"/>
      <c r="D6" s="114"/>
      <c r="E6" s="114"/>
      <c r="F6" s="114"/>
      <c r="G6" s="114"/>
      <c r="I6" s="3"/>
      <c r="J6" s="113"/>
      <c r="K6" s="114"/>
      <c r="L6" s="114"/>
      <c r="M6" s="114"/>
      <c r="N6" s="114"/>
      <c r="O6" s="114"/>
      <c r="P6" s="3"/>
      <c r="R6" s="114"/>
      <c r="S6" s="114"/>
      <c r="T6" s="114"/>
      <c r="U6" s="114"/>
    </row>
    <row r="7" spans="1:50" ht="25.5">
      <c r="A7" s="128" t="s">
        <v>199</v>
      </c>
      <c r="C7" s="129" t="s">
        <v>677</v>
      </c>
      <c r="D7" s="129" t="s">
        <v>674</v>
      </c>
      <c r="E7" s="129" t="s">
        <v>673</v>
      </c>
      <c r="F7" s="129" t="s">
        <v>675</v>
      </c>
      <c r="G7" s="129" t="s">
        <v>676</v>
      </c>
      <c r="H7" s="130" t="s">
        <v>661</v>
      </c>
      <c r="J7" s="129" t="s">
        <v>677</v>
      </c>
      <c r="K7" s="129" t="s">
        <v>674</v>
      </c>
      <c r="L7" s="129" t="s">
        <v>673</v>
      </c>
      <c r="M7" s="129" t="s">
        <v>675</v>
      </c>
      <c r="N7" s="129" t="s">
        <v>676</v>
      </c>
      <c r="O7" s="130" t="s">
        <v>661</v>
      </c>
      <c r="Q7" s="129" t="s">
        <v>677</v>
      </c>
      <c r="R7" s="129" t="s">
        <v>674</v>
      </c>
      <c r="S7" s="129" t="s">
        <v>673</v>
      </c>
      <c r="T7" s="129" t="s">
        <v>675</v>
      </c>
      <c r="U7" s="129" t="s">
        <v>676</v>
      </c>
      <c r="V7" s="130" t="s">
        <v>661</v>
      </c>
    </row>
    <row r="8" spans="1:50" customFormat="1" ht="3" customHeight="1">
      <c r="B8" s="3"/>
      <c r="C8" s="113"/>
      <c r="D8" s="114"/>
      <c r="E8" s="114"/>
      <c r="F8" s="114"/>
      <c r="G8" s="114"/>
      <c r="H8" s="114"/>
      <c r="I8" s="3"/>
      <c r="J8" s="113"/>
      <c r="K8" s="114"/>
      <c r="L8" s="114"/>
      <c r="M8" s="114"/>
      <c r="N8" s="114"/>
      <c r="O8" s="114"/>
      <c r="P8" s="3"/>
      <c r="Q8" s="113"/>
      <c r="R8" s="114"/>
      <c r="S8" s="114"/>
      <c r="T8" s="114"/>
      <c r="U8" s="114"/>
      <c r="V8" s="114"/>
    </row>
    <row r="9" spans="1:50" s="135" customFormat="1" ht="14.25" customHeight="1">
      <c r="A9" s="134"/>
      <c r="C9" s="136" t="s">
        <v>658</v>
      </c>
      <c r="D9" s="136" t="s">
        <v>659</v>
      </c>
      <c r="E9" s="136" t="s">
        <v>659</v>
      </c>
      <c r="F9" s="136" t="s">
        <v>659</v>
      </c>
      <c r="G9" s="136" t="s">
        <v>659</v>
      </c>
      <c r="H9" s="136" t="s">
        <v>659</v>
      </c>
      <c r="J9" s="136" t="s">
        <v>658</v>
      </c>
      <c r="K9" s="136" t="s">
        <v>659</v>
      </c>
      <c r="L9" s="136" t="s">
        <v>659</v>
      </c>
      <c r="M9" s="136" t="s">
        <v>659</v>
      </c>
      <c r="N9" s="136" t="s">
        <v>659</v>
      </c>
      <c r="O9" s="136" t="s">
        <v>659</v>
      </c>
      <c r="Q9" s="136" t="s">
        <v>658</v>
      </c>
      <c r="R9" s="136" t="s">
        <v>659</v>
      </c>
      <c r="S9" s="136" t="s">
        <v>659</v>
      </c>
      <c r="T9" s="136" t="s">
        <v>659</v>
      </c>
      <c r="U9" s="136" t="s">
        <v>659</v>
      </c>
      <c r="V9" s="136" t="s">
        <v>659</v>
      </c>
    </row>
    <row r="10" spans="1:50" s="38" customFormat="1" ht="4.5" customHeight="1">
      <c r="A10" s="131"/>
      <c r="C10" s="132"/>
      <c r="D10" s="132"/>
      <c r="E10" s="132"/>
      <c r="F10" s="132"/>
      <c r="G10" s="132"/>
      <c r="H10" s="132"/>
      <c r="J10" s="133"/>
      <c r="K10" s="132"/>
      <c r="L10" s="132"/>
      <c r="M10" s="132"/>
      <c r="N10" s="132"/>
      <c r="O10" s="133"/>
      <c r="Q10" s="133"/>
      <c r="R10" s="132"/>
      <c r="S10" s="132"/>
      <c r="T10" s="132"/>
      <c r="U10" s="132"/>
      <c r="V10" s="133"/>
    </row>
    <row r="11" spans="1:50">
      <c r="A11" s="123">
        <v>2024</v>
      </c>
      <c r="C11" s="124">
        <v>5088.8487067037004</v>
      </c>
      <c r="D11" s="124">
        <v>55938.059178856369</v>
      </c>
      <c r="E11" s="124">
        <v>22170.718490412273</v>
      </c>
      <c r="F11" s="124">
        <v>68205.667538833019</v>
      </c>
      <c r="G11" s="124">
        <v>0</v>
      </c>
      <c r="H11" s="170">
        <v>107386.25437493499</v>
      </c>
      <c r="J11" s="124">
        <v>5310.7158792559585</v>
      </c>
      <c r="K11" s="124">
        <v>38253.36512346597</v>
      </c>
      <c r="L11" s="124">
        <v>25060.091001348301</v>
      </c>
      <c r="M11" s="124">
        <v>51335.383627904012</v>
      </c>
      <c r="N11" s="124">
        <v>0</v>
      </c>
      <c r="O11" s="170">
        <v>86344.703812149775</v>
      </c>
      <c r="Q11" s="124">
        <f t="shared" ref="Q11:V11" si="0">C11+J11</f>
        <v>10399.564585959659</v>
      </c>
      <c r="R11" s="125">
        <f t="shared" si="0"/>
        <v>94191.424302322339</v>
      </c>
      <c r="S11" s="126">
        <f t="shared" si="0"/>
        <v>47230.809491760578</v>
      </c>
      <c r="T11" s="126">
        <f t="shared" si="0"/>
        <v>119541.05116673703</v>
      </c>
      <c r="U11" s="126">
        <f t="shared" si="0"/>
        <v>0</v>
      </c>
      <c r="V11" s="126">
        <f t="shared" si="0"/>
        <v>193730.95818708476</v>
      </c>
    </row>
    <row r="12" spans="1:50">
      <c r="A12" s="123">
        <v>2025</v>
      </c>
      <c r="C12" s="124">
        <v>5823.9161082100736</v>
      </c>
      <c r="D12" s="124">
        <v>62950.414756856124</v>
      </c>
      <c r="E12" s="124">
        <v>23179.252848379667</v>
      </c>
      <c r="F12" s="124">
        <v>58848.751599809693</v>
      </c>
      <c r="G12" s="124">
        <v>0</v>
      </c>
      <c r="H12" s="170">
        <v>113644.84027918463</v>
      </c>
      <c r="J12" s="124">
        <v>5461.0968675208223</v>
      </c>
      <c r="K12" s="124">
        <v>38645.50845850433</v>
      </c>
      <c r="L12" s="124">
        <v>23879.864372461205</v>
      </c>
      <c r="M12" s="124">
        <v>81597.895298192001</v>
      </c>
      <c r="N12" s="124">
        <v>0</v>
      </c>
      <c r="O12" s="170">
        <v>88361.311434307398</v>
      </c>
      <c r="Q12" s="124">
        <f t="shared" ref="Q12:Q41" si="1">C12+J12</f>
        <v>11285.012975730897</v>
      </c>
      <c r="R12" s="125">
        <f t="shared" ref="R12:R41" si="2">D12+K12</f>
        <v>101595.92321536045</v>
      </c>
      <c r="S12" s="126">
        <f t="shared" ref="S12:S41" si="3">E12+L12</f>
        <v>47059.117220840868</v>
      </c>
      <c r="T12" s="126">
        <f t="shared" ref="T12:T41" si="4">F12+M12</f>
        <v>140446.64689800169</v>
      </c>
      <c r="U12" s="126">
        <f t="shared" ref="U12:U41" si="5">G12+N12</f>
        <v>0</v>
      </c>
      <c r="V12" s="126">
        <f t="shared" ref="V12:V41" si="6">H12+O12</f>
        <v>202006.15171349203</v>
      </c>
    </row>
    <row r="13" spans="1:50">
      <c r="A13" s="123">
        <v>2026</v>
      </c>
      <c r="C13" s="124">
        <v>6855.95009497107</v>
      </c>
      <c r="D13" s="124">
        <v>75087.409589093935</v>
      </c>
      <c r="E13" s="124">
        <v>24754.1594370981</v>
      </c>
      <c r="F13" s="124">
        <v>81471.296245980397</v>
      </c>
      <c r="G13" s="124">
        <v>0</v>
      </c>
      <c r="H13" s="170">
        <v>127326.88699492501</v>
      </c>
      <c r="J13" s="124">
        <v>6427.3884022383609</v>
      </c>
      <c r="K13" s="124">
        <v>43975.173138110826</v>
      </c>
      <c r="L13" s="124">
        <v>25623.765026734462</v>
      </c>
      <c r="M13" s="124">
        <v>83489.531043383991</v>
      </c>
      <c r="N13" s="124">
        <v>0</v>
      </c>
      <c r="O13" s="170">
        <v>96024.575432736397</v>
      </c>
      <c r="Q13" s="124">
        <f t="shared" si="1"/>
        <v>13283.338497209432</v>
      </c>
      <c r="R13" s="125">
        <f t="shared" si="2"/>
        <v>119062.58272720476</v>
      </c>
      <c r="S13" s="126">
        <f t="shared" si="3"/>
        <v>50377.924463832562</v>
      </c>
      <c r="T13" s="126">
        <f t="shared" si="4"/>
        <v>164960.82728936439</v>
      </c>
      <c r="U13" s="126">
        <f t="shared" si="5"/>
        <v>0</v>
      </c>
      <c r="V13" s="126">
        <f t="shared" si="6"/>
        <v>223351.4624276614</v>
      </c>
    </row>
    <row r="14" spans="1:50">
      <c r="A14" s="123">
        <v>2027</v>
      </c>
      <c r="C14" s="124">
        <v>7426.1983915712826</v>
      </c>
      <c r="D14" s="124">
        <v>79992.875255410705</v>
      </c>
      <c r="E14" s="124">
        <v>25365.097881987953</v>
      </c>
      <c r="F14" s="124">
        <v>96671.986755944876</v>
      </c>
      <c r="G14" s="124">
        <v>0</v>
      </c>
      <c r="H14" s="170">
        <v>135088.28834714371</v>
      </c>
      <c r="J14" s="124">
        <v>6868.2219031051309</v>
      </c>
      <c r="K14" s="124">
        <v>45785.191296030571</v>
      </c>
      <c r="L14" s="124">
        <v>26025.777631513469</v>
      </c>
      <c r="M14" s="124">
        <v>55827.199474107008</v>
      </c>
      <c r="N14" s="124">
        <v>0</v>
      </c>
      <c r="O14" s="170">
        <v>102934.76127309</v>
      </c>
      <c r="Q14" s="124">
        <f t="shared" si="1"/>
        <v>14294.420294676413</v>
      </c>
      <c r="R14" s="125">
        <f t="shared" si="2"/>
        <v>125778.06655144127</v>
      </c>
      <c r="S14" s="126">
        <f t="shared" si="3"/>
        <v>51390.875513501422</v>
      </c>
      <c r="T14" s="126">
        <f t="shared" si="4"/>
        <v>152499.18623005188</v>
      </c>
      <c r="U14" s="126">
        <f t="shared" si="5"/>
        <v>0</v>
      </c>
      <c r="V14" s="126">
        <f t="shared" si="6"/>
        <v>238023.04962023371</v>
      </c>
    </row>
    <row r="15" spans="1:50">
      <c r="A15" s="123">
        <v>2028</v>
      </c>
      <c r="C15" s="124">
        <v>8030.5891354976811</v>
      </c>
      <c r="D15" s="124">
        <v>86856.609998483109</v>
      </c>
      <c r="E15" s="124">
        <v>25414.40870504022</v>
      </c>
      <c r="F15" s="124">
        <v>71878.80069720668</v>
      </c>
      <c r="G15" s="124">
        <v>99.825999999999993</v>
      </c>
      <c r="H15" s="170">
        <v>143276.1067324428</v>
      </c>
      <c r="J15" s="124">
        <v>6089.6389186119541</v>
      </c>
      <c r="K15" s="124">
        <v>39904.91456618259</v>
      </c>
      <c r="L15" s="124">
        <v>22830.955623533038</v>
      </c>
      <c r="M15" s="124">
        <v>41795.240999999995</v>
      </c>
      <c r="N15" s="124">
        <v>0</v>
      </c>
      <c r="O15" s="170">
        <v>99073.978022239826</v>
      </c>
      <c r="Q15" s="124">
        <f t="shared" si="1"/>
        <v>14120.228054109635</v>
      </c>
      <c r="R15" s="125">
        <f t="shared" si="2"/>
        <v>126761.5245646657</v>
      </c>
      <c r="S15" s="126">
        <f t="shared" si="3"/>
        <v>48245.364328573254</v>
      </c>
      <c r="T15" s="126">
        <f t="shared" si="4"/>
        <v>113674.04169720667</v>
      </c>
      <c r="U15" s="126">
        <f t="shared" si="5"/>
        <v>99.825999999999993</v>
      </c>
      <c r="V15" s="126">
        <f t="shared" si="6"/>
        <v>242350.08475468261</v>
      </c>
    </row>
    <row r="16" spans="1:50">
      <c r="A16" s="123">
        <v>2029</v>
      </c>
      <c r="C16" s="124">
        <v>7765.7028891935088</v>
      </c>
      <c r="D16" s="124">
        <v>83100.352560601896</v>
      </c>
      <c r="E16" s="124">
        <v>23964.544881424466</v>
      </c>
      <c r="F16" s="124">
        <v>42376.30744238547</v>
      </c>
      <c r="G16" s="124">
        <v>116.571</v>
      </c>
      <c r="H16" s="170">
        <v>143229.86675046652</v>
      </c>
      <c r="J16" s="124">
        <v>5384.4727981683991</v>
      </c>
      <c r="K16" s="124">
        <v>34968.641223649778</v>
      </c>
      <c r="L16" s="124">
        <v>20116.507261438259</v>
      </c>
      <c r="M16" s="124">
        <v>23979.903000000002</v>
      </c>
      <c r="N16" s="124">
        <v>0</v>
      </c>
      <c r="O16" s="170">
        <v>95048.804629890496</v>
      </c>
      <c r="Q16" s="124">
        <f t="shared" si="1"/>
        <v>13150.175687361909</v>
      </c>
      <c r="R16" s="125">
        <f t="shared" si="2"/>
        <v>118068.99378425168</v>
      </c>
      <c r="S16" s="126">
        <f t="shared" si="3"/>
        <v>44081.052142862725</v>
      </c>
      <c r="T16" s="126">
        <f t="shared" si="4"/>
        <v>66356.210442385476</v>
      </c>
      <c r="U16" s="126">
        <f t="shared" si="5"/>
        <v>116.571</v>
      </c>
      <c r="V16" s="126">
        <f t="shared" si="6"/>
        <v>238278.671380357</v>
      </c>
    </row>
    <row r="17" spans="1:22">
      <c r="A17" s="123">
        <v>2030</v>
      </c>
      <c r="C17" s="124">
        <v>7355.4751444254689</v>
      </c>
      <c r="D17" s="124">
        <v>77585.527575059576</v>
      </c>
      <c r="E17" s="124">
        <v>22419.190477848129</v>
      </c>
      <c r="F17" s="124">
        <v>52869.798835270856</v>
      </c>
      <c r="G17" s="124">
        <v>116.571</v>
      </c>
      <c r="H17" s="170">
        <v>140329.75305120135</v>
      </c>
      <c r="J17" s="124">
        <v>4800.7392482015493</v>
      </c>
      <c r="K17" s="124">
        <v>30965.247327506957</v>
      </c>
      <c r="L17" s="124">
        <v>17907.072797309716</v>
      </c>
      <c r="M17" s="124">
        <v>21207.313000000002</v>
      </c>
      <c r="N17" s="124">
        <v>0</v>
      </c>
      <c r="O17" s="170">
        <v>91102.58590974148</v>
      </c>
      <c r="Q17" s="124">
        <f t="shared" si="1"/>
        <v>12156.214392627018</v>
      </c>
      <c r="R17" s="125">
        <f t="shared" si="2"/>
        <v>108550.77490256654</v>
      </c>
      <c r="S17" s="126">
        <f t="shared" si="3"/>
        <v>40326.263275157849</v>
      </c>
      <c r="T17" s="126">
        <f t="shared" si="4"/>
        <v>74077.111835270858</v>
      </c>
      <c r="U17" s="126">
        <f t="shared" si="5"/>
        <v>116.571</v>
      </c>
      <c r="V17" s="126">
        <f t="shared" si="6"/>
        <v>231432.33896094281</v>
      </c>
    </row>
    <row r="18" spans="1:22">
      <c r="A18" s="123">
        <v>2031</v>
      </c>
      <c r="C18" s="124">
        <v>7056.474221645306</v>
      </c>
      <c r="D18" s="124">
        <v>73372.443431123495</v>
      </c>
      <c r="E18" s="124">
        <v>21274.929428242955</v>
      </c>
      <c r="F18" s="124">
        <v>31450.360544503677</v>
      </c>
      <c r="G18" s="124">
        <v>116.571</v>
      </c>
      <c r="H18" s="170">
        <v>137797.20232511699</v>
      </c>
      <c r="J18" s="124">
        <v>4226.9115806885684</v>
      </c>
      <c r="K18" s="124">
        <v>27166.61901223196</v>
      </c>
      <c r="L18" s="124">
        <v>15775.31171683886</v>
      </c>
      <c r="M18" s="124">
        <v>0</v>
      </c>
      <c r="N18" s="124">
        <v>0</v>
      </c>
      <c r="O18" s="170">
        <v>87383.32082849888</v>
      </c>
      <c r="Q18" s="124">
        <f t="shared" si="1"/>
        <v>11283.385802333874</v>
      </c>
      <c r="R18" s="125">
        <f t="shared" si="2"/>
        <v>100539.06244335545</v>
      </c>
      <c r="S18" s="126">
        <f t="shared" si="3"/>
        <v>37050.241145081818</v>
      </c>
      <c r="T18" s="126">
        <f t="shared" si="4"/>
        <v>31450.360544503677</v>
      </c>
      <c r="U18" s="126">
        <f t="shared" si="5"/>
        <v>116.571</v>
      </c>
      <c r="V18" s="126">
        <f t="shared" si="6"/>
        <v>225180.52315361588</v>
      </c>
    </row>
    <row r="19" spans="1:22">
      <c r="A19" s="123">
        <v>2032</v>
      </c>
      <c r="C19" s="124">
        <v>6220.4770466362361</v>
      </c>
      <c r="D19" s="124">
        <v>64155.942802215759</v>
      </c>
      <c r="E19" s="124">
        <v>18767.250287145478</v>
      </c>
      <c r="F19" s="124">
        <v>0</v>
      </c>
      <c r="G19" s="124">
        <v>116.571</v>
      </c>
      <c r="H19" s="170">
        <v>130456.29209714134</v>
      </c>
      <c r="J19" s="124">
        <v>3640.0709987575437</v>
      </c>
      <c r="K19" s="124">
        <v>23389.567212204132</v>
      </c>
      <c r="L19" s="124">
        <v>13636.645703618849</v>
      </c>
      <c r="M19" s="124">
        <v>0</v>
      </c>
      <c r="N19" s="124">
        <v>830.22299999999996</v>
      </c>
      <c r="O19" s="170">
        <v>83254.875337680147</v>
      </c>
      <c r="Q19" s="124">
        <f t="shared" si="1"/>
        <v>9860.5480453937798</v>
      </c>
      <c r="R19" s="125">
        <f t="shared" si="2"/>
        <v>87545.510014419895</v>
      </c>
      <c r="S19" s="126">
        <f t="shared" si="3"/>
        <v>32403.895990764329</v>
      </c>
      <c r="T19" s="126">
        <f t="shared" si="4"/>
        <v>0</v>
      </c>
      <c r="U19" s="126">
        <f t="shared" si="5"/>
        <v>946.79399999999998</v>
      </c>
      <c r="V19" s="126">
        <f t="shared" si="6"/>
        <v>213711.16743482149</v>
      </c>
    </row>
    <row r="20" spans="1:22">
      <c r="A20" s="123">
        <v>2033</v>
      </c>
      <c r="C20" s="124">
        <v>5453.5862123128491</v>
      </c>
      <c r="D20" s="124">
        <v>56102.960020969636</v>
      </c>
      <c r="E20" s="124">
        <v>16444.391387461295</v>
      </c>
      <c r="F20" s="124">
        <v>0</v>
      </c>
      <c r="G20" s="124">
        <v>16.745000000000001</v>
      </c>
      <c r="H20" s="170">
        <v>123588.81671129835</v>
      </c>
      <c r="J20" s="124">
        <v>3180.7910628527684</v>
      </c>
      <c r="K20" s="124">
        <v>20438.476247122006</v>
      </c>
      <c r="L20" s="124">
        <v>11944.660937363988</v>
      </c>
      <c r="M20" s="124">
        <v>0</v>
      </c>
      <c r="N20" s="124">
        <v>1375.4029999999998</v>
      </c>
      <c r="O20" s="170">
        <v>80244.694988850155</v>
      </c>
      <c r="Q20" s="124">
        <f t="shared" si="1"/>
        <v>8634.3772751656179</v>
      </c>
      <c r="R20" s="125">
        <f t="shared" si="2"/>
        <v>76541.436268091638</v>
      </c>
      <c r="S20" s="126">
        <f t="shared" si="3"/>
        <v>28389.052324825283</v>
      </c>
      <c r="T20" s="126">
        <f t="shared" si="4"/>
        <v>0</v>
      </c>
      <c r="U20" s="126">
        <f t="shared" si="5"/>
        <v>1392.1479999999997</v>
      </c>
      <c r="V20" s="126">
        <f t="shared" si="6"/>
        <v>203833.51170014852</v>
      </c>
    </row>
    <row r="21" spans="1:22">
      <c r="A21" s="123">
        <v>2034</v>
      </c>
      <c r="C21" s="124">
        <v>4779.6114790716192</v>
      </c>
      <c r="D21" s="124">
        <v>49170.964259992485</v>
      </c>
      <c r="E21" s="124">
        <v>14327.722008905919</v>
      </c>
      <c r="F21" s="124">
        <v>0</v>
      </c>
      <c r="G21" s="124">
        <v>0</v>
      </c>
      <c r="H21" s="170">
        <v>115826.39382061591</v>
      </c>
      <c r="J21" s="124">
        <v>2799.4640976423061</v>
      </c>
      <c r="K21" s="124">
        <v>17988.846549808979</v>
      </c>
      <c r="L21" s="124">
        <v>10536.161164503805</v>
      </c>
      <c r="M21" s="124">
        <v>0</v>
      </c>
      <c r="N21" s="124">
        <v>1439.1209999999996</v>
      </c>
      <c r="O21" s="170">
        <v>77254.684307645512</v>
      </c>
      <c r="Q21" s="124">
        <f t="shared" si="1"/>
        <v>7579.0755767139253</v>
      </c>
      <c r="R21" s="125">
        <f t="shared" si="2"/>
        <v>67159.810809801464</v>
      </c>
      <c r="S21" s="126">
        <f t="shared" si="3"/>
        <v>24863.883173409726</v>
      </c>
      <c r="T21" s="126">
        <f t="shared" si="4"/>
        <v>0</v>
      </c>
      <c r="U21" s="126">
        <f t="shared" si="5"/>
        <v>1439.1209999999996</v>
      </c>
      <c r="V21" s="126">
        <f t="shared" si="6"/>
        <v>193081.07812826143</v>
      </c>
    </row>
    <row r="22" spans="1:22">
      <c r="A22" s="123">
        <v>2035</v>
      </c>
      <c r="C22" s="124">
        <v>4211.028822103397</v>
      </c>
      <c r="D22" s="124">
        <v>43359.788162751545</v>
      </c>
      <c r="E22" s="124">
        <v>12574.980355537857</v>
      </c>
      <c r="F22" s="124">
        <v>0</v>
      </c>
      <c r="G22" s="124">
        <v>0</v>
      </c>
      <c r="H22" s="170">
        <v>108978.17978531781</v>
      </c>
      <c r="J22" s="124">
        <v>2457.8875028421594</v>
      </c>
      <c r="K22" s="124">
        <v>15801.179550124223</v>
      </c>
      <c r="L22" s="124">
        <v>9262.3283503424573</v>
      </c>
      <c r="M22" s="124">
        <v>0</v>
      </c>
      <c r="N22" s="124">
        <v>1575.7089999999998</v>
      </c>
      <c r="O22" s="170">
        <v>73271.751993931073</v>
      </c>
      <c r="Q22" s="124">
        <f t="shared" si="1"/>
        <v>6668.916324945556</v>
      </c>
      <c r="R22" s="125">
        <f t="shared" si="2"/>
        <v>59160.967712875768</v>
      </c>
      <c r="S22" s="126">
        <f t="shared" si="3"/>
        <v>21837.308705880314</v>
      </c>
      <c r="T22" s="126">
        <f t="shared" si="4"/>
        <v>0</v>
      </c>
      <c r="U22" s="126">
        <f t="shared" si="5"/>
        <v>1575.7089999999998</v>
      </c>
      <c r="V22" s="126">
        <f t="shared" si="6"/>
        <v>182249.93177924887</v>
      </c>
    </row>
    <row r="23" spans="1:22">
      <c r="A23" s="123">
        <v>2036</v>
      </c>
      <c r="C23" s="124">
        <v>3705.0317872958335</v>
      </c>
      <c r="D23" s="124">
        <v>38243.811949096256</v>
      </c>
      <c r="E23" s="124">
        <v>11024.37906552753</v>
      </c>
      <c r="F23" s="124">
        <v>0</v>
      </c>
      <c r="G23" s="124">
        <v>319.07499999999999</v>
      </c>
      <c r="H23" s="170">
        <v>100438.68699029612</v>
      </c>
      <c r="J23" s="124">
        <v>2179.2817018718433</v>
      </c>
      <c r="K23" s="124">
        <v>14012.566986156378</v>
      </c>
      <c r="L23" s="124">
        <v>8228.4621697785296</v>
      </c>
      <c r="M23" s="124">
        <v>0</v>
      </c>
      <c r="N23" s="124">
        <v>1575.7089999999998</v>
      </c>
      <c r="O23" s="170">
        <v>69617.269700347897</v>
      </c>
      <c r="Q23" s="124">
        <f t="shared" si="1"/>
        <v>5884.3134891676764</v>
      </c>
      <c r="R23" s="125">
        <f t="shared" si="2"/>
        <v>52256.378935252636</v>
      </c>
      <c r="S23" s="126">
        <f t="shared" si="3"/>
        <v>19252.841235306059</v>
      </c>
      <c r="T23" s="126">
        <f t="shared" si="4"/>
        <v>0</v>
      </c>
      <c r="U23" s="126">
        <f t="shared" si="5"/>
        <v>1894.7839999999999</v>
      </c>
      <c r="V23" s="126">
        <f t="shared" si="6"/>
        <v>170055.95669064403</v>
      </c>
    </row>
    <row r="24" spans="1:22">
      <c r="A24" s="123">
        <f>A23+1</f>
        <v>2037</v>
      </c>
      <c r="C24" s="124">
        <v>3272.9864379635524</v>
      </c>
      <c r="D24" s="124">
        <v>33823.631450147361</v>
      </c>
      <c r="E24" s="124">
        <v>9759.2132702802846</v>
      </c>
      <c r="F24" s="124">
        <v>0</v>
      </c>
      <c r="G24" s="124">
        <v>502.55499999999995</v>
      </c>
      <c r="H24" s="170">
        <v>93012.6088660518</v>
      </c>
      <c r="J24" s="124">
        <v>1945.7497729147128</v>
      </c>
      <c r="K24" s="124">
        <v>12512.003220146917</v>
      </c>
      <c r="L24" s="124">
        <v>7346.8651245548199</v>
      </c>
      <c r="M24" s="124">
        <v>0</v>
      </c>
      <c r="N24" s="124">
        <v>764.8850000000001</v>
      </c>
      <c r="O24" s="170">
        <v>67495.945348812602</v>
      </c>
      <c r="Q24" s="124">
        <f t="shared" si="1"/>
        <v>5218.7362108782654</v>
      </c>
      <c r="R24" s="125">
        <f t="shared" si="2"/>
        <v>46335.634670294276</v>
      </c>
      <c r="S24" s="126">
        <f t="shared" si="3"/>
        <v>17106.078394835105</v>
      </c>
      <c r="T24" s="126">
        <f t="shared" si="4"/>
        <v>0</v>
      </c>
      <c r="U24" s="126">
        <f t="shared" si="5"/>
        <v>1267.44</v>
      </c>
      <c r="V24" s="126">
        <f t="shared" si="6"/>
        <v>160508.55421486439</v>
      </c>
    </row>
    <row r="25" spans="1:22">
      <c r="A25" s="123">
        <v>2038</v>
      </c>
      <c r="C25" s="124">
        <v>2895.8268909062658</v>
      </c>
      <c r="D25" s="124">
        <v>29969.543562127947</v>
      </c>
      <c r="E25" s="124">
        <v>8646.1623934799354</v>
      </c>
      <c r="F25" s="124">
        <v>0</v>
      </c>
      <c r="G25" s="124">
        <v>502.55499999999938</v>
      </c>
      <c r="H25" s="170">
        <v>86467.469456126943</v>
      </c>
      <c r="J25" s="124">
        <v>1736.5786437536337</v>
      </c>
      <c r="K25" s="124">
        <v>11166.051694063044</v>
      </c>
      <c r="L25" s="124">
        <v>6562.34214626025</v>
      </c>
      <c r="M25" s="124">
        <v>0</v>
      </c>
      <c r="N25" s="124">
        <v>219.70499999999998</v>
      </c>
      <c r="O25" s="170">
        <v>65585.966609362862</v>
      </c>
      <c r="Q25" s="124">
        <f t="shared" si="1"/>
        <v>4632.4055346598998</v>
      </c>
      <c r="R25" s="125">
        <f t="shared" si="2"/>
        <v>41135.595256190994</v>
      </c>
      <c r="S25" s="126">
        <f t="shared" si="3"/>
        <v>15208.504539740185</v>
      </c>
      <c r="T25" s="126">
        <f t="shared" si="4"/>
        <v>0</v>
      </c>
      <c r="U25" s="126">
        <f t="shared" si="5"/>
        <v>722.25999999999931</v>
      </c>
      <c r="V25" s="126">
        <f t="shared" si="6"/>
        <v>152053.4360654898</v>
      </c>
    </row>
    <row r="26" spans="1:22">
      <c r="A26" s="123">
        <v>2039</v>
      </c>
      <c r="C26" s="124">
        <v>2450.8002059201458</v>
      </c>
      <c r="D26" s="124">
        <v>25763.590181374278</v>
      </c>
      <c r="E26" s="124">
        <v>6878.6464380708321</v>
      </c>
      <c r="F26" s="124">
        <v>0</v>
      </c>
      <c r="G26" s="124">
        <v>502.55499999999938</v>
      </c>
      <c r="H26" s="170">
        <v>75367.217784794266</v>
      </c>
      <c r="J26" s="124">
        <v>1557.1046786751665</v>
      </c>
      <c r="K26" s="124">
        <v>10010.862017431547</v>
      </c>
      <c r="L26" s="124">
        <v>5872.1936597272515</v>
      </c>
      <c r="M26" s="124">
        <v>0</v>
      </c>
      <c r="N26" s="124">
        <v>452.91499999999996</v>
      </c>
      <c r="O26" s="170">
        <v>63838.107236111777</v>
      </c>
      <c r="Q26" s="124">
        <f t="shared" si="1"/>
        <v>4007.9048845953121</v>
      </c>
      <c r="R26" s="125">
        <f t="shared" si="2"/>
        <v>35774.452198805826</v>
      </c>
      <c r="S26" s="126">
        <f t="shared" si="3"/>
        <v>12750.840097798084</v>
      </c>
      <c r="T26" s="126">
        <f t="shared" si="4"/>
        <v>0</v>
      </c>
      <c r="U26" s="126">
        <f t="shared" si="5"/>
        <v>955.46999999999935</v>
      </c>
      <c r="V26" s="126">
        <f t="shared" si="6"/>
        <v>139205.32502090605</v>
      </c>
    </row>
    <row r="27" spans="1:22">
      <c r="A27" s="123">
        <v>2040</v>
      </c>
      <c r="C27" s="124">
        <v>2178.3520965787052</v>
      </c>
      <c r="D27" s="124">
        <v>22944.897481661079</v>
      </c>
      <c r="E27" s="124">
        <v>6087.0709560602663</v>
      </c>
      <c r="F27" s="124">
        <v>0</v>
      </c>
      <c r="G27" s="124">
        <v>8345.1409999999996</v>
      </c>
      <c r="H27" s="170">
        <v>71450.740188665863</v>
      </c>
      <c r="J27" s="124">
        <v>1399.1093848104658</v>
      </c>
      <c r="K27" s="124">
        <v>8994.5156005693098</v>
      </c>
      <c r="L27" s="124">
        <v>5286.8781777366576</v>
      </c>
      <c r="M27" s="124">
        <v>0</v>
      </c>
      <c r="N27" s="124">
        <v>1347.1210000000001</v>
      </c>
      <c r="O27" s="170">
        <v>57486.003629858082</v>
      </c>
      <c r="Q27" s="124">
        <f t="shared" si="1"/>
        <v>3577.4614813891712</v>
      </c>
      <c r="R27" s="125">
        <f t="shared" si="2"/>
        <v>31939.413082230389</v>
      </c>
      <c r="S27" s="126">
        <f t="shared" si="3"/>
        <v>11373.949133796923</v>
      </c>
      <c r="T27" s="126">
        <f t="shared" si="4"/>
        <v>0</v>
      </c>
      <c r="U27" s="126">
        <f t="shared" si="5"/>
        <v>9692.2619999999988</v>
      </c>
      <c r="V27" s="126">
        <f t="shared" si="6"/>
        <v>128936.74381852394</v>
      </c>
    </row>
    <row r="28" spans="1:22">
      <c r="A28" s="123">
        <v>2041</v>
      </c>
      <c r="C28" s="124">
        <v>1942.7098816599519</v>
      </c>
      <c r="D28" s="124">
        <v>20517.192964920898</v>
      </c>
      <c r="E28" s="124">
        <v>5397.4625429604166</v>
      </c>
      <c r="F28" s="124">
        <v>0</v>
      </c>
      <c r="G28" s="124">
        <v>8026.0659999999998</v>
      </c>
      <c r="H28" s="170">
        <v>67992.882474221959</v>
      </c>
      <c r="J28" s="124">
        <v>1252.2164095869114</v>
      </c>
      <c r="K28" s="124">
        <v>8046.0173773908309</v>
      </c>
      <c r="L28" s="124">
        <v>4730.1949817341974</v>
      </c>
      <c r="M28" s="124">
        <v>0</v>
      </c>
      <c r="N28" s="124">
        <v>1497.413</v>
      </c>
      <c r="O28" s="170">
        <v>55322.18660898396</v>
      </c>
      <c r="Q28" s="124">
        <f t="shared" si="1"/>
        <v>3194.926291246863</v>
      </c>
      <c r="R28" s="125">
        <f t="shared" si="2"/>
        <v>28563.21034231173</v>
      </c>
      <c r="S28" s="126">
        <f t="shared" si="3"/>
        <v>10127.657524694614</v>
      </c>
      <c r="T28" s="126">
        <f t="shared" si="4"/>
        <v>0</v>
      </c>
      <c r="U28" s="126">
        <f t="shared" si="5"/>
        <v>9523.4789999999994</v>
      </c>
      <c r="V28" s="126">
        <f t="shared" si="6"/>
        <v>123315.06908320592</v>
      </c>
    </row>
    <row r="29" spans="1:22">
      <c r="A29" s="123">
        <v>2042</v>
      </c>
      <c r="C29" s="124">
        <v>1525.6181967475341</v>
      </c>
      <c r="D29" s="124">
        <v>16779.258786925442</v>
      </c>
      <c r="E29" s="124">
        <v>4122.5354960417517</v>
      </c>
      <c r="F29" s="124">
        <v>0</v>
      </c>
      <c r="G29" s="124">
        <v>7842.5860000000002</v>
      </c>
      <c r="H29" s="170">
        <v>52273.773667513407</v>
      </c>
      <c r="J29" s="124">
        <v>1114.4480045485222</v>
      </c>
      <c r="K29" s="124">
        <v>7163.0646607018243</v>
      </c>
      <c r="L29" s="124">
        <v>4215.5872444603883</v>
      </c>
      <c r="M29" s="124">
        <v>0</v>
      </c>
      <c r="N29" s="124">
        <v>1643.9059999999999</v>
      </c>
      <c r="O29" s="170">
        <v>49438.828917353632</v>
      </c>
      <c r="Q29" s="124">
        <f t="shared" si="1"/>
        <v>2640.0662012960565</v>
      </c>
      <c r="R29" s="125">
        <f t="shared" si="2"/>
        <v>23942.323447627266</v>
      </c>
      <c r="S29" s="126">
        <f t="shared" si="3"/>
        <v>8338.12274050214</v>
      </c>
      <c r="T29" s="126">
        <f t="shared" si="4"/>
        <v>0</v>
      </c>
      <c r="U29" s="126">
        <f t="shared" si="5"/>
        <v>9486.4920000000002</v>
      </c>
      <c r="V29" s="126">
        <f t="shared" si="6"/>
        <v>101712.60258486704</v>
      </c>
    </row>
    <row r="30" spans="1:22">
      <c r="A30" s="123">
        <v>2043</v>
      </c>
      <c r="C30" s="124">
        <v>1189.5830171430334</v>
      </c>
      <c r="D30" s="124">
        <v>13736.11469369163</v>
      </c>
      <c r="E30" s="124">
        <v>3103.2088335390717</v>
      </c>
      <c r="F30" s="124">
        <v>0</v>
      </c>
      <c r="G30" s="124">
        <v>7842.5860000000002</v>
      </c>
      <c r="H30" s="170">
        <v>38208.699971619608</v>
      </c>
      <c r="J30" s="124">
        <v>988.31093877562819</v>
      </c>
      <c r="K30" s="124">
        <v>6356.294951597114</v>
      </c>
      <c r="L30" s="124">
        <v>3734.0286050287841</v>
      </c>
      <c r="M30" s="124">
        <v>0</v>
      </c>
      <c r="N30" s="124">
        <v>9515.0579999999991</v>
      </c>
      <c r="O30" s="170">
        <v>45910.904042305796</v>
      </c>
      <c r="Q30" s="124">
        <f t="shared" si="1"/>
        <v>2177.8939559186615</v>
      </c>
      <c r="R30" s="125">
        <f t="shared" si="2"/>
        <v>20092.409645288746</v>
      </c>
      <c r="S30" s="126">
        <f t="shared" si="3"/>
        <v>6837.2374385678559</v>
      </c>
      <c r="T30" s="126">
        <f t="shared" si="4"/>
        <v>0</v>
      </c>
      <c r="U30" s="126">
        <f t="shared" si="5"/>
        <v>17357.644</v>
      </c>
      <c r="V30" s="126">
        <f t="shared" si="6"/>
        <v>84119.604013925404</v>
      </c>
    </row>
    <row r="31" spans="1:22">
      <c r="A31" s="123">
        <v>2044</v>
      </c>
      <c r="C31" s="124">
        <v>1067.6778030591668</v>
      </c>
      <c r="D31" s="124">
        <v>12313.554709847976</v>
      </c>
      <c r="E31" s="124">
        <v>2808.8889278271195</v>
      </c>
      <c r="F31" s="124">
        <v>0</v>
      </c>
      <c r="G31" s="124">
        <v>7842.5860000000002</v>
      </c>
      <c r="H31" s="170">
        <v>36091.03389195865</v>
      </c>
      <c r="J31" s="124">
        <v>877.8474306205261</v>
      </c>
      <c r="K31" s="124">
        <v>5647.9429425236513</v>
      </c>
      <c r="L31" s="124">
        <v>3311.6653825110802</v>
      </c>
      <c r="M31" s="124">
        <v>0</v>
      </c>
      <c r="N31" s="124">
        <v>9231.15</v>
      </c>
      <c r="O31" s="170">
        <v>43771.02755520949</v>
      </c>
      <c r="Q31" s="124">
        <f t="shared" si="1"/>
        <v>1945.525233679693</v>
      </c>
      <c r="R31" s="125">
        <f t="shared" si="2"/>
        <v>17961.497652371629</v>
      </c>
      <c r="S31" s="126">
        <f t="shared" si="3"/>
        <v>6120.5543103381997</v>
      </c>
      <c r="T31" s="126">
        <f t="shared" si="4"/>
        <v>0</v>
      </c>
      <c r="U31" s="126">
        <f t="shared" si="5"/>
        <v>17073.736000000001</v>
      </c>
      <c r="V31" s="126">
        <f t="shared" si="6"/>
        <v>79862.061447168147</v>
      </c>
    </row>
    <row r="32" spans="1:22">
      <c r="A32" s="123">
        <v>2045</v>
      </c>
      <c r="C32" s="124">
        <v>956.82819799301672</v>
      </c>
      <c r="D32" s="124">
        <v>10984.877392381928</v>
      </c>
      <c r="E32" s="124">
        <v>2548.7657150172131</v>
      </c>
      <c r="F32" s="124">
        <v>0</v>
      </c>
      <c r="G32" s="124">
        <v>0</v>
      </c>
      <c r="H32" s="170">
        <v>34054.767539136104</v>
      </c>
      <c r="J32" s="124">
        <v>551.86669621139788</v>
      </c>
      <c r="K32" s="124">
        <v>3551.4538391101787</v>
      </c>
      <c r="L32" s="124">
        <v>2105.1405699630695</v>
      </c>
      <c r="M32" s="124">
        <v>0</v>
      </c>
      <c r="N32" s="124">
        <v>8838.2346567589993</v>
      </c>
      <c r="O32" s="170">
        <v>28998.908862332686</v>
      </c>
      <c r="Q32" s="124">
        <f t="shared" si="1"/>
        <v>1508.6948942044146</v>
      </c>
      <c r="R32" s="125">
        <f t="shared" si="2"/>
        <v>14536.331231492106</v>
      </c>
      <c r="S32" s="126">
        <f t="shared" si="3"/>
        <v>4653.9062849802831</v>
      </c>
      <c r="T32" s="126">
        <f t="shared" si="4"/>
        <v>0</v>
      </c>
      <c r="U32" s="126">
        <f t="shared" si="5"/>
        <v>8838.2346567589993</v>
      </c>
      <c r="V32" s="126">
        <f t="shared" si="6"/>
        <v>63053.676401468794</v>
      </c>
    </row>
    <row r="33" spans="1:22">
      <c r="A33" s="123">
        <v>2046</v>
      </c>
      <c r="C33" s="124">
        <v>851.11702224090016</v>
      </c>
      <c r="D33" s="124">
        <v>9729.9697908738672</v>
      </c>
      <c r="E33" s="124">
        <v>2282.0475075531517</v>
      </c>
      <c r="F33" s="124">
        <v>0</v>
      </c>
      <c r="G33" s="124">
        <v>0</v>
      </c>
      <c r="H33" s="170">
        <v>31287.619538596198</v>
      </c>
      <c r="J33" s="124">
        <v>49.921271294211408</v>
      </c>
      <c r="K33" s="124">
        <v>323.24990954541903</v>
      </c>
      <c r="L33" s="124">
        <v>234.35836272036934</v>
      </c>
      <c r="M33" s="124">
        <v>0</v>
      </c>
      <c r="N33" s="124">
        <v>8687.9426567589999</v>
      </c>
      <c r="O33" s="170">
        <v>2057.8695196270319</v>
      </c>
      <c r="Q33" s="124">
        <f t="shared" si="1"/>
        <v>901.03829353511151</v>
      </c>
      <c r="R33" s="125">
        <f t="shared" si="2"/>
        <v>10053.219700419286</v>
      </c>
      <c r="S33" s="126">
        <f t="shared" si="3"/>
        <v>2516.405870273521</v>
      </c>
      <c r="T33" s="126">
        <f t="shared" si="4"/>
        <v>0</v>
      </c>
      <c r="U33" s="126">
        <f t="shared" si="5"/>
        <v>8687.9426567589999</v>
      </c>
      <c r="V33" s="126">
        <f t="shared" si="6"/>
        <v>33345.489058223233</v>
      </c>
    </row>
    <row r="34" spans="1:22">
      <c r="A34" s="123">
        <v>2047</v>
      </c>
      <c r="C34" s="124">
        <v>768.34367512746655</v>
      </c>
      <c r="D34" s="124">
        <v>8784.2908751438554</v>
      </c>
      <c r="E34" s="124">
        <v>2063.7429961922935</v>
      </c>
      <c r="F34" s="124">
        <v>0</v>
      </c>
      <c r="G34" s="124">
        <v>0</v>
      </c>
      <c r="H34" s="170">
        <v>28036.309787811639</v>
      </c>
      <c r="J34" s="124">
        <v>39.103999637344344</v>
      </c>
      <c r="K34" s="124">
        <v>253.3732910235872</v>
      </c>
      <c r="L34" s="124">
        <v>182.97980621547561</v>
      </c>
      <c r="M34" s="124">
        <v>0</v>
      </c>
      <c r="N34" s="124">
        <v>8522.0506567589982</v>
      </c>
      <c r="O34" s="170">
        <v>1822.1652290668835</v>
      </c>
      <c r="Q34" s="124">
        <f t="shared" si="1"/>
        <v>807.44767476481093</v>
      </c>
      <c r="R34" s="125">
        <f t="shared" si="2"/>
        <v>9037.6641661674421</v>
      </c>
      <c r="S34" s="126">
        <f t="shared" si="3"/>
        <v>2246.722802407769</v>
      </c>
      <c r="T34" s="126">
        <f t="shared" si="4"/>
        <v>0</v>
      </c>
      <c r="U34" s="126">
        <f t="shared" si="5"/>
        <v>8522.0506567589982</v>
      </c>
      <c r="V34" s="126">
        <f t="shared" si="6"/>
        <v>29858.475016878521</v>
      </c>
    </row>
    <row r="35" spans="1:22">
      <c r="A35" s="123">
        <v>2048</v>
      </c>
      <c r="C35" s="124">
        <v>695.26505443853318</v>
      </c>
      <c r="D35" s="124">
        <v>7946.3167706774857</v>
      </c>
      <c r="E35" s="124">
        <v>1876.9573408990036</v>
      </c>
      <c r="F35" s="124">
        <v>0</v>
      </c>
      <c r="G35" s="124">
        <v>0</v>
      </c>
      <c r="H35" s="170">
        <v>26214.013125006153</v>
      </c>
      <c r="J35" s="124">
        <v>0</v>
      </c>
      <c r="K35" s="124">
        <v>0</v>
      </c>
      <c r="L35" s="124">
        <v>0</v>
      </c>
      <c r="M35" s="124">
        <v>0</v>
      </c>
      <c r="N35" s="124">
        <v>650.898656759</v>
      </c>
      <c r="O35" s="170">
        <v>0</v>
      </c>
      <c r="Q35" s="124">
        <f t="shared" si="1"/>
        <v>695.26505443853318</v>
      </c>
      <c r="R35" s="125">
        <f t="shared" si="2"/>
        <v>7946.3167706774857</v>
      </c>
      <c r="S35" s="126">
        <f t="shared" si="3"/>
        <v>1876.9573408990036</v>
      </c>
      <c r="T35" s="126">
        <f t="shared" si="4"/>
        <v>0</v>
      </c>
      <c r="U35" s="126">
        <f t="shared" si="5"/>
        <v>650.898656759</v>
      </c>
      <c r="V35" s="126">
        <f t="shared" si="6"/>
        <v>26214.013125006153</v>
      </c>
    </row>
    <row r="36" spans="1:22">
      <c r="A36" s="123">
        <v>2049</v>
      </c>
      <c r="C36" s="124">
        <v>631.68598832393332</v>
      </c>
      <c r="D36" s="124">
        <v>7215.5572116696676</v>
      </c>
      <c r="E36" s="124">
        <v>1710.2517708894743</v>
      </c>
      <c r="F36" s="124">
        <v>0</v>
      </c>
      <c r="G36" s="124">
        <v>0</v>
      </c>
      <c r="H36" s="170">
        <v>23646.76225569435</v>
      </c>
      <c r="J36" s="124">
        <v>0</v>
      </c>
      <c r="K36" s="124">
        <v>0</v>
      </c>
      <c r="L36" s="124">
        <v>0</v>
      </c>
      <c r="M36" s="124">
        <v>0</v>
      </c>
      <c r="N36" s="124">
        <v>637.87865675900002</v>
      </c>
      <c r="O36" s="170">
        <v>0</v>
      </c>
      <c r="Q36" s="124">
        <f t="shared" si="1"/>
        <v>631.68598832393332</v>
      </c>
      <c r="R36" s="125">
        <f t="shared" si="2"/>
        <v>7215.5572116696676</v>
      </c>
      <c r="S36" s="126">
        <f t="shared" si="3"/>
        <v>1710.2517708894743</v>
      </c>
      <c r="T36" s="126">
        <f t="shared" si="4"/>
        <v>0</v>
      </c>
      <c r="U36" s="126">
        <f t="shared" si="5"/>
        <v>637.87865675900002</v>
      </c>
      <c r="V36" s="126">
        <f t="shared" si="6"/>
        <v>23646.76225569435</v>
      </c>
    </row>
    <row r="37" spans="1:22">
      <c r="A37" s="123">
        <v>2050</v>
      </c>
      <c r="C37" s="124">
        <v>570.8563343755003</v>
      </c>
      <c r="D37" s="124">
        <v>6505.5126272679572</v>
      </c>
      <c r="E37" s="124">
        <v>1556.0721563104744</v>
      </c>
      <c r="F37" s="124">
        <v>0</v>
      </c>
      <c r="G37" s="124">
        <v>0</v>
      </c>
      <c r="H37" s="170">
        <v>22357.2069077091</v>
      </c>
      <c r="J37" s="124">
        <v>0</v>
      </c>
      <c r="K37" s="124">
        <v>0</v>
      </c>
      <c r="L37" s="124">
        <v>0</v>
      </c>
      <c r="M37" s="124">
        <v>0</v>
      </c>
      <c r="N37" s="124">
        <v>0</v>
      </c>
      <c r="O37" s="170">
        <v>0</v>
      </c>
      <c r="Q37" s="124">
        <f t="shared" si="1"/>
        <v>570.8563343755003</v>
      </c>
      <c r="R37" s="125">
        <f t="shared" si="2"/>
        <v>6505.5126272679572</v>
      </c>
      <c r="S37" s="126">
        <f t="shared" si="3"/>
        <v>1556.0721563104744</v>
      </c>
      <c r="T37" s="126">
        <f t="shared" si="4"/>
        <v>0</v>
      </c>
      <c r="U37" s="126">
        <f t="shared" si="5"/>
        <v>0</v>
      </c>
      <c r="V37" s="126">
        <f t="shared" si="6"/>
        <v>22357.2069077091</v>
      </c>
    </row>
    <row r="38" spans="1:22">
      <c r="A38" s="123">
        <v>2051</v>
      </c>
      <c r="C38" s="124">
        <v>517.39565225925037</v>
      </c>
      <c r="D38" s="124">
        <v>5908.7103496831569</v>
      </c>
      <c r="E38" s="124">
        <v>1414.7037770548932</v>
      </c>
      <c r="F38" s="124">
        <v>0</v>
      </c>
      <c r="G38" s="124">
        <v>7788.8969999999999</v>
      </c>
      <c r="H38" s="170">
        <v>21253.329632636545</v>
      </c>
      <c r="J38" s="124">
        <v>0</v>
      </c>
      <c r="K38" s="124">
        <v>0</v>
      </c>
      <c r="L38" s="124">
        <v>0</v>
      </c>
      <c r="M38" s="124">
        <v>0</v>
      </c>
      <c r="N38" s="124">
        <v>0</v>
      </c>
      <c r="O38" s="170">
        <v>0</v>
      </c>
      <c r="Q38" s="124">
        <f t="shared" si="1"/>
        <v>517.39565225925037</v>
      </c>
      <c r="R38" s="125">
        <f t="shared" si="2"/>
        <v>5908.7103496831569</v>
      </c>
      <c r="S38" s="126">
        <f t="shared" si="3"/>
        <v>1414.7037770548932</v>
      </c>
      <c r="T38" s="126">
        <f t="shared" si="4"/>
        <v>0</v>
      </c>
      <c r="U38" s="126">
        <f t="shared" si="5"/>
        <v>7788.8969999999999</v>
      </c>
      <c r="V38" s="126">
        <f t="shared" si="6"/>
        <v>21253.329632636545</v>
      </c>
    </row>
    <row r="39" spans="1:22">
      <c r="A39" s="123">
        <v>2052</v>
      </c>
      <c r="C39" s="124">
        <v>315.30356805523411</v>
      </c>
      <c r="D39" s="124">
        <v>3598.2004385875566</v>
      </c>
      <c r="E39" s="124">
        <v>744.91833487425345</v>
      </c>
      <c r="F39" s="124">
        <v>0</v>
      </c>
      <c r="G39" s="124">
        <v>7788.8969999999999</v>
      </c>
      <c r="H39" s="170">
        <v>13506.127443795578</v>
      </c>
      <c r="J39" s="124">
        <v>0</v>
      </c>
      <c r="K39" s="124">
        <v>0</v>
      </c>
      <c r="L39" s="124">
        <v>0</v>
      </c>
      <c r="M39" s="124">
        <v>0</v>
      </c>
      <c r="N39" s="124">
        <v>0</v>
      </c>
      <c r="O39" s="170">
        <v>0</v>
      </c>
      <c r="Q39" s="124">
        <f t="shared" si="1"/>
        <v>315.30356805523411</v>
      </c>
      <c r="R39" s="125">
        <f t="shared" si="2"/>
        <v>3598.2004385875566</v>
      </c>
      <c r="S39" s="126">
        <f t="shared" si="3"/>
        <v>744.91833487425345</v>
      </c>
      <c r="T39" s="126">
        <f t="shared" si="4"/>
        <v>0</v>
      </c>
      <c r="U39" s="126">
        <f t="shared" si="5"/>
        <v>7788.8969999999999</v>
      </c>
      <c r="V39" s="126">
        <f t="shared" si="6"/>
        <v>13506.127443795578</v>
      </c>
    </row>
    <row r="40" spans="1:22">
      <c r="A40" s="123">
        <v>2053</v>
      </c>
      <c r="C40" s="124">
        <v>0</v>
      </c>
      <c r="D40" s="124">
        <v>0</v>
      </c>
      <c r="E40" s="124">
        <v>0</v>
      </c>
      <c r="F40" s="124">
        <v>0</v>
      </c>
      <c r="G40" s="124">
        <v>7788.8969999999999</v>
      </c>
      <c r="H40" s="170">
        <v>0</v>
      </c>
      <c r="J40" s="124">
        <v>0</v>
      </c>
      <c r="K40" s="124">
        <v>0</v>
      </c>
      <c r="L40" s="124">
        <v>0</v>
      </c>
      <c r="M40" s="124">
        <v>0</v>
      </c>
      <c r="N40" s="124">
        <v>0</v>
      </c>
      <c r="O40" s="170">
        <v>0</v>
      </c>
      <c r="Q40" s="124">
        <f t="shared" si="1"/>
        <v>0</v>
      </c>
      <c r="R40" s="125">
        <f t="shared" si="2"/>
        <v>0</v>
      </c>
      <c r="S40" s="126">
        <f t="shared" si="3"/>
        <v>0</v>
      </c>
      <c r="T40" s="126">
        <f t="shared" si="4"/>
        <v>0</v>
      </c>
      <c r="U40" s="126">
        <f t="shared" si="5"/>
        <v>7788.8969999999999</v>
      </c>
      <c r="V40" s="126">
        <f t="shared" si="6"/>
        <v>0</v>
      </c>
    </row>
    <row r="41" spans="1:22">
      <c r="A41" s="123">
        <v>2054</v>
      </c>
      <c r="C41" s="124">
        <v>0</v>
      </c>
      <c r="D41" s="124">
        <v>0</v>
      </c>
      <c r="E41" s="124">
        <v>0</v>
      </c>
      <c r="F41" s="124">
        <v>0</v>
      </c>
      <c r="G41" s="124">
        <v>7788.8969999999999</v>
      </c>
      <c r="H41" s="170">
        <v>0</v>
      </c>
      <c r="J41" s="124">
        <v>0</v>
      </c>
      <c r="K41" s="124">
        <v>0</v>
      </c>
      <c r="L41" s="124">
        <v>0</v>
      </c>
      <c r="M41" s="124">
        <v>0</v>
      </c>
      <c r="N41" s="124">
        <v>0</v>
      </c>
      <c r="O41" s="170">
        <v>0</v>
      </c>
      <c r="Q41" s="124">
        <f t="shared" si="1"/>
        <v>0</v>
      </c>
      <c r="R41" s="125">
        <f t="shared" si="2"/>
        <v>0</v>
      </c>
      <c r="S41" s="126">
        <f t="shared" si="3"/>
        <v>0</v>
      </c>
      <c r="T41" s="126">
        <f t="shared" si="4"/>
        <v>0</v>
      </c>
      <c r="U41" s="126">
        <f t="shared" si="5"/>
        <v>7788.8969999999999</v>
      </c>
      <c r="V41" s="126">
        <f t="shared" si="6"/>
        <v>0</v>
      </c>
    </row>
    <row r="42" spans="1:22">
      <c r="A42" s="123">
        <v>2055</v>
      </c>
      <c r="C42" s="124">
        <v>0</v>
      </c>
      <c r="D42" s="124">
        <v>0</v>
      </c>
      <c r="E42" s="124">
        <v>0</v>
      </c>
      <c r="F42" s="124">
        <v>0</v>
      </c>
      <c r="G42" s="124">
        <v>7788.8969999999999</v>
      </c>
      <c r="H42" s="170">
        <v>0</v>
      </c>
      <c r="J42" s="124">
        <v>0</v>
      </c>
      <c r="K42" s="124">
        <v>0</v>
      </c>
      <c r="L42" s="124">
        <v>0</v>
      </c>
      <c r="M42" s="124">
        <v>0</v>
      </c>
      <c r="N42" s="124">
        <v>0</v>
      </c>
      <c r="O42" s="170">
        <v>0</v>
      </c>
      <c r="Q42" s="124">
        <f t="shared" ref="Q42" si="7">C42+J42</f>
        <v>0</v>
      </c>
      <c r="R42" s="125">
        <f t="shared" ref="R42" si="8">D42+K42</f>
        <v>0</v>
      </c>
      <c r="S42" s="126">
        <f t="shared" ref="S42" si="9">E42+L42</f>
        <v>0</v>
      </c>
      <c r="T42" s="126">
        <f t="shared" ref="T42" si="10">F42+M42</f>
        <v>0</v>
      </c>
      <c r="U42" s="126">
        <f t="shared" ref="U42" si="11">G42+N42</f>
        <v>7788.8969999999999</v>
      </c>
      <c r="V42" s="126">
        <f t="shared" ref="V42" si="12">H42+O42</f>
        <v>0</v>
      </c>
    </row>
    <row r="43" spans="1:22" customFormat="1" ht="7.5" customHeight="1" thickBot="1">
      <c r="B43" s="3"/>
      <c r="C43" s="113"/>
      <c r="D43" s="114"/>
      <c r="E43" s="114"/>
      <c r="F43" s="114"/>
      <c r="G43" s="114"/>
      <c r="H43" s="114"/>
      <c r="I43" s="3"/>
      <c r="J43" s="113"/>
      <c r="K43" s="114"/>
      <c r="L43" s="114"/>
      <c r="M43" s="114"/>
      <c r="N43" s="114"/>
      <c r="O43" s="114"/>
      <c r="P43" s="3"/>
      <c r="Q43" s="113"/>
      <c r="R43" s="114"/>
      <c r="S43" s="114"/>
      <c r="T43" s="114"/>
      <c r="U43" s="114"/>
      <c r="V43" s="114"/>
    </row>
    <row r="44" spans="1:22" ht="13.5" thickBot="1">
      <c r="A44" s="118" t="s">
        <v>657</v>
      </c>
      <c r="C44" s="137">
        <f t="shared" ref="C44:H44" si="13">SUM(C11:C42)</f>
        <v>101603.24006243022</v>
      </c>
      <c r="D44" s="137">
        <f t="shared" si="13"/>
        <v>1082438.3788274929</v>
      </c>
      <c r="E44" s="137">
        <f t="shared" si="13"/>
        <v>322681.6737120623</v>
      </c>
      <c r="F44" s="137">
        <f t="shared" si="13"/>
        <v>503772.96965993464</v>
      </c>
      <c r="G44" s="137">
        <f t="shared" si="13"/>
        <v>81253.044999999998</v>
      </c>
      <c r="H44" s="137">
        <f t="shared" si="13"/>
        <v>2348588.1307914238</v>
      </c>
      <c r="J44" s="137">
        <f t="shared" ref="J44:O44" si="14">SUM(J11:J42)</f>
        <v>70338.938192585891</v>
      </c>
      <c r="K44" s="137">
        <f t="shared" si="14"/>
        <v>465320.12619520212</v>
      </c>
      <c r="L44" s="137">
        <f t="shared" si="14"/>
        <v>274409.83781769738</v>
      </c>
      <c r="M44" s="137">
        <f t="shared" si="14"/>
        <v>359232.46644358704</v>
      </c>
      <c r="N44" s="137">
        <f t="shared" si="14"/>
        <v>58805.323283794991</v>
      </c>
      <c r="O44" s="137">
        <f t="shared" si="14"/>
        <v>1611645.2312301341</v>
      </c>
      <c r="Q44" s="137">
        <f t="shared" ref="Q44:V44" si="15">SUM(Q11:Q42)</f>
        <v>171942.17825501616</v>
      </c>
      <c r="R44" s="137">
        <f t="shared" si="15"/>
        <v>1547758.5050226948</v>
      </c>
      <c r="S44" s="137">
        <f t="shared" si="15"/>
        <v>597091.5115297595</v>
      </c>
      <c r="T44" s="137">
        <f t="shared" si="15"/>
        <v>863005.43610352173</v>
      </c>
      <c r="U44" s="137">
        <f t="shared" si="15"/>
        <v>140058.36828379499</v>
      </c>
      <c r="V44" s="137">
        <f t="shared" si="15"/>
        <v>3960233.362021558</v>
      </c>
    </row>
  </sheetData>
  <mergeCells count="3">
    <mergeCell ref="C5:H5"/>
    <mergeCell ref="J5:O5"/>
    <mergeCell ref="Q5:V5"/>
  </mergeCells>
  <pageMargins left="0.511811024" right="0.511811024" top="0.78740157499999996" bottom="0.78740157499999996" header="0.31496062000000002" footer="0.31496062000000002"/>
  <pageSetup paperSize="9" orientation="portrait" r:id="rId1"/>
  <ignoredErrors>
    <ignoredError sqref="K43:O43"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50D14-9B28-493A-BC94-A09714A41F4E}">
  <dimension ref="A2:S48"/>
  <sheetViews>
    <sheetView showGridLines="0" workbookViewId="0">
      <pane xSplit="1" ySplit="10" topLeftCell="B11" activePane="bottomRight" state="frozen"/>
      <selection pane="topRight"/>
      <selection pane="bottomLeft"/>
      <selection pane="bottomRight"/>
    </sheetView>
  </sheetViews>
  <sheetFormatPr defaultColWidth="9.140625" defaultRowHeight="12.75"/>
  <cols>
    <col min="1" max="1" width="10.140625" style="3" bestFit="1" customWidth="1"/>
    <col min="2" max="2" width="2" style="3" customWidth="1"/>
    <col min="3" max="4" width="9.42578125" style="3" customWidth="1"/>
    <col min="5" max="5" width="9.28515625" style="3" customWidth="1"/>
    <col min="6" max="7" width="9.42578125" style="3" customWidth="1"/>
    <col min="8" max="8" width="2" style="3" customWidth="1"/>
    <col min="9" max="10" width="9.42578125" style="3" customWidth="1"/>
    <col min="11" max="11" width="9.7109375" style="3" customWidth="1"/>
    <col min="12" max="13" width="9.42578125" style="3" customWidth="1"/>
    <col min="14" max="14" width="2" style="3" customWidth="1"/>
    <col min="15" max="16" width="9.42578125" style="3" customWidth="1"/>
    <col min="17" max="17" width="9.7109375" style="3" customWidth="1"/>
    <col min="18" max="19" width="9.42578125" style="3" customWidth="1"/>
    <col min="20" max="16384" width="9.140625" style="3"/>
  </cols>
  <sheetData>
    <row r="2" spans="1:19" ht="18.75">
      <c r="E2" s="43" t="s">
        <v>1189</v>
      </c>
      <c r="F2" s="140"/>
      <c r="G2" s="140"/>
      <c r="H2" s="140"/>
      <c r="I2" s="140"/>
      <c r="J2" s="140"/>
      <c r="K2" s="140"/>
      <c r="L2" s="140"/>
      <c r="M2" s="140"/>
      <c r="N2" s="140"/>
      <c r="O2" s="139"/>
    </row>
    <row r="3" spans="1:19">
      <c r="E3" s="44"/>
    </row>
    <row r="4" spans="1:19">
      <c r="E4" s="44"/>
    </row>
    <row r="6" spans="1:19" ht="12.75" customHeight="1">
      <c r="A6" s="128" t="s">
        <v>1181</v>
      </c>
      <c r="C6" s="381" t="s">
        <v>1178</v>
      </c>
      <c r="D6" s="381"/>
      <c r="E6" s="381"/>
      <c r="F6" s="381"/>
      <c r="G6" s="381"/>
      <c r="I6" s="381" t="s">
        <v>39</v>
      </c>
      <c r="J6" s="381"/>
      <c r="K6" s="381"/>
      <c r="L6" s="381"/>
      <c r="M6" s="381"/>
      <c r="O6" s="381" t="s">
        <v>1188</v>
      </c>
      <c r="P6" s="381"/>
      <c r="Q6" s="381"/>
      <c r="R6" s="381"/>
      <c r="S6" s="381"/>
    </row>
    <row r="7" spans="1:19" customFormat="1" ht="3" customHeight="1">
      <c r="B7" s="3"/>
      <c r="C7" s="113"/>
      <c r="D7" s="114"/>
      <c r="E7" s="114"/>
      <c r="F7" s="115"/>
      <c r="H7" s="3"/>
      <c r="I7" s="113"/>
      <c r="J7" s="114"/>
      <c r="K7" s="114"/>
      <c r="L7" s="115"/>
      <c r="N7" s="3"/>
    </row>
    <row r="8" spans="1:19" ht="25.5">
      <c r="A8" s="128" t="s">
        <v>656</v>
      </c>
      <c r="C8" s="129" t="s">
        <v>677</v>
      </c>
      <c r="D8" s="129" t="s">
        <v>661</v>
      </c>
      <c r="E8" s="129" t="s">
        <v>662</v>
      </c>
      <c r="F8" s="129" t="s">
        <v>663</v>
      </c>
      <c r="G8" s="130" t="s">
        <v>663</v>
      </c>
      <c r="I8" s="129" t="s">
        <v>677</v>
      </c>
      <c r="J8" s="129" t="s">
        <v>661</v>
      </c>
      <c r="K8" s="129" t="s">
        <v>662</v>
      </c>
      <c r="L8" s="129" t="s">
        <v>663</v>
      </c>
      <c r="M8" s="130" t="s">
        <v>663</v>
      </c>
      <c r="O8" s="129" t="s">
        <v>677</v>
      </c>
      <c r="P8" s="129" t="s">
        <v>661</v>
      </c>
      <c r="Q8" s="129" t="s">
        <v>662</v>
      </c>
      <c r="R8" s="129" t="s">
        <v>663</v>
      </c>
      <c r="S8" s="130" t="s">
        <v>663</v>
      </c>
    </row>
    <row r="9" spans="1:19" customFormat="1" ht="3" customHeight="1">
      <c r="B9" s="3"/>
      <c r="C9" s="113"/>
      <c r="D9" s="114"/>
      <c r="E9" s="114"/>
      <c r="F9" s="115"/>
      <c r="H9" s="3"/>
      <c r="I9" s="113"/>
      <c r="J9" s="114"/>
      <c r="K9" s="114"/>
      <c r="L9" s="115"/>
      <c r="N9" s="3"/>
      <c r="O9" s="113"/>
      <c r="P9" s="114"/>
      <c r="Q9" s="114"/>
      <c r="R9" s="115"/>
    </row>
    <row r="10" spans="1:19" s="135" customFormat="1" ht="14.25" customHeight="1">
      <c r="A10" s="134"/>
      <c r="C10" s="136" t="s">
        <v>658</v>
      </c>
      <c r="D10" s="136" t="s">
        <v>659</v>
      </c>
      <c r="E10" s="136" t="s">
        <v>659</v>
      </c>
      <c r="F10" s="136" t="s">
        <v>659</v>
      </c>
      <c r="G10" s="136" t="s">
        <v>660</v>
      </c>
      <c r="I10" s="136" t="s">
        <v>658</v>
      </c>
      <c r="J10" s="136" t="s">
        <v>659</v>
      </c>
      <c r="K10" s="136" t="s">
        <v>659</v>
      </c>
      <c r="L10" s="136" t="s">
        <v>659</v>
      </c>
      <c r="M10" s="136" t="s">
        <v>660</v>
      </c>
      <c r="O10" s="136" t="s">
        <v>658</v>
      </c>
      <c r="P10" s="136" t="s">
        <v>659</v>
      </c>
      <c r="Q10" s="136" t="s">
        <v>659</v>
      </c>
      <c r="R10" s="136" t="s">
        <v>659</v>
      </c>
      <c r="S10" s="136" t="s">
        <v>660</v>
      </c>
    </row>
    <row r="11" spans="1:19" s="38" customFormat="1" ht="4.5" customHeight="1">
      <c r="A11" s="131"/>
      <c r="C11" s="132"/>
      <c r="D11" s="132"/>
      <c r="E11" s="132"/>
      <c r="F11" s="132"/>
      <c r="G11" s="132"/>
      <c r="I11" s="133"/>
      <c r="J11" s="133"/>
      <c r="K11" s="133"/>
      <c r="L11" s="133"/>
      <c r="M11" s="133"/>
      <c r="O11" s="133"/>
      <c r="P11" s="133"/>
      <c r="Q11" s="133"/>
      <c r="R11" s="133"/>
      <c r="S11" s="133"/>
    </row>
    <row r="12" spans="1:19">
      <c r="A12" s="123">
        <v>2024</v>
      </c>
      <c r="C12" s="124">
        <v>5088.8487067037004</v>
      </c>
      <c r="D12" s="125">
        <v>107386.25437493499</v>
      </c>
      <c r="E12" s="126">
        <v>36910.581074552632</v>
      </c>
      <c r="F12" s="126">
        <f>D12-E12</f>
        <v>70475.673300382361</v>
      </c>
      <c r="G12" s="127">
        <f>F12/C12</f>
        <v>13.849040787465844</v>
      </c>
      <c r="I12" s="124">
        <v>5310.7158792559585</v>
      </c>
      <c r="J12" s="125">
        <v>86344.703812149775</v>
      </c>
      <c r="K12" s="126">
        <v>32412</v>
      </c>
      <c r="L12" s="126">
        <f>J12-K12</f>
        <v>53932.703812149775</v>
      </c>
      <c r="M12" s="127">
        <f>L12/I12</f>
        <v>10.155448914677365</v>
      </c>
      <c r="O12" s="124">
        <f>C12+I12</f>
        <v>10399.564585959659</v>
      </c>
      <c r="P12" s="125">
        <f>D12+J12</f>
        <v>193730.95818708476</v>
      </c>
      <c r="Q12" s="126">
        <f>E12+K12</f>
        <v>69322.58107455264</v>
      </c>
      <c r="R12" s="126">
        <f>P12-Q12</f>
        <v>124408.37711253212</v>
      </c>
      <c r="S12" s="127">
        <f>R12/O12</f>
        <v>11.962844798376899</v>
      </c>
    </row>
    <row r="13" spans="1:19">
      <c r="A13" s="123">
        <v>2025</v>
      </c>
      <c r="C13" s="124">
        <v>5823.9161082100736</v>
      </c>
      <c r="D13" s="125">
        <v>113644.84027918463</v>
      </c>
      <c r="E13" s="126">
        <v>38997.236789606672</v>
      </c>
      <c r="F13" s="126">
        <f t="shared" ref="F13:F40" si="0">D13-E13</f>
        <v>74647.603489577959</v>
      </c>
      <c r="G13" s="127">
        <f t="shared" ref="G13:G40" si="1">F13/C13</f>
        <v>12.817424238708721</v>
      </c>
      <c r="I13" s="124">
        <v>5461.0968675208223</v>
      </c>
      <c r="J13" s="125">
        <v>88361.311434307398</v>
      </c>
      <c r="K13" s="126">
        <v>32738</v>
      </c>
      <c r="L13" s="126">
        <f t="shared" ref="L13:L40" si="2">J13-K13</f>
        <v>55623.311434307398</v>
      </c>
      <c r="M13" s="127">
        <f t="shared" ref="M13:M35" si="3">L13/I13</f>
        <v>10.185373521777274</v>
      </c>
      <c r="O13" s="124">
        <f t="shared" ref="O13:Q40" si="4">C13+I13</f>
        <v>11285.012975730897</v>
      </c>
      <c r="P13" s="125">
        <f t="shared" si="4"/>
        <v>202006.15171349203</v>
      </c>
      <c r="Q13" s="126">
        <f t="shared" si="4"/>
        <v>71735.236789606672</v>
      </c>
      <c r="R13" s="126">
        <f t="shared" ref="R13:R40" si="5">P13-Q13</f>
        <v>130270.91492388536</v>
      </c>
      <c r="S13" s="127">
        <f t="shared" ref="S13:S40" si="6">R13/O13</f>
        <v>11.543709803793831</v>
      </c>
    </row>
    <row r="14" spans="1:19">
      <c r="A14" s="123">
        <v>2026</v>
      </c>
      <c r="C14" s="124">
        <v>6855.95009497107</v>
      </c>
      <c r="D14" s="125">
        <v>127326.88699492501</v>
      </c>
      <c r="E14" s="126">
        <v>47520.486204084707</v>
      </c>
      <c r="F14" s="126">
        <f t="shared" si="0"/>
        <v>79806.4007908403</v>
      </c>
      <c r="G14" s="127">
        <f t="shared" si="1"/>
        <v>11.640458242159514</v>
      </c>
      <c r="I14" s="124">
        <v>6427.3884022383609</v>
      </c>
      <c r="J14" s="125">
        <v>96024.575432736397</v>
      </c>
      <c r="K14" s="126">
        <v>36835</v>
      </c>
      <c r="L14" s="126">
        <f t="shared" si="2"/>
        <v>59189.575432736397</v>
      </c>
      <c r="M14" s="127">
        <f t="shared" si="3"/>
        <v>9.2089619809071159</v>
      </c>
      <c r="O14" s="124">
        <f t="shared" si="4"/>
        <v>13283.338497209432</v>
      </c>
      <c r="P14" s="125">
        <f t="shared" si="4"/>
        <v>223351.4624276614</v>
      </c>
      <c r="Q14" s="126">
        <f t="shared" si="4"/>
        <v>84355.486204084707</v>
      </c>
      <c r="R14" s="126">
        <f t="shared" si="5"/>
        <v>138995.9762235767</v>
      </c>
      <c r="S14" s="127">
        <f t="shared" si="6"/>
        <v>10.463933916370273</v>
      </c>
    </row>
    <row r="15" spans="1:19">
      <c r="A15" s="123">
        <v>2027</v>
      </c>
      <c r="C15" s="124">
        <v>7426.1983915712826</v>
      </c>
      <c r="D15" s="125">
        <v>135088.28834714371</v>
      </c>
      <c r="E15" s="126">
        <v>51158.25917973886</v>
      </c>
      <c r="F15" s="126">
        <f t="shared" si="0"/>
        <v>83930.029167404849</v>
      </c>
      <c r="G15" s="127">
        <f t="shared" si="1"/>
        <v>11.301883513193673</v>
      </c>
      <c r="I15" s="124">
        <v>6868.2219031051309</v>
      </c>
      <c r="J15" s="125">
        <v>102934.76127309</v>
      </c>
      <c r="K15" s="126">
        <v>37465</v>
      </c>
      <c r="L15" s="126">
        <f t="shared" si="2"/>
        <v>65469.76127309</v>
      </c>
      <c r="M15" s="127">
        <f t="shared" si="3"/>
        <v>9.5322722819265699</v>
      </c>
      <c r="O15" s="124">
        <f t="shared" si="4"/>
        <v>14294.420294676413</v>
      </c>
      <c r="P15" s="125">
        <f t="shared" si="4"/>
        <v>238023.04962023371</v>
      </c>
      <c r="Q15" s="126">
        <f t="shared" si="4"/>
        <v>88623.25917973886</v>
      </c>
      <c r="R15" s="126">
        <f t="shared" si="5"/>
        <v>149399.79044049483</v>
      </c>
      <c r="S15" s="127">
        <f t="shared" si="6"/>
        <v>10.451615900515737</v>
      </c>
    </row>
    <row r="16" spans="1:19">
      <c r="A16" s="123">
        <v>2028</v>
      </c>
      <c r="C16" s="124">
        <v>8030.5891354976811</v>
      </c>
      <c r="D16" s="125">
        <v>143276.1067324428</v>
      </c>
      <c r="E16" s="126">
        <v>56559.450087579731</v>
      </c>
      <c r="F16" s="126">
        <f t="shared" si="0"/>
        <v>86716.656644863077</v>
      </c>
      <c r="G16" s="127">
        <f t="shared" si="1"/>
        <v>10.798293273596666</v>
      </c>
      <c r="I16" s="124">
        <v>6089.6389186119541</v>
      </c>
      <c r="J16" s="125">
        <v>99073.978022239826</v>
      </c>
      <c r="K16" s="126">
        <v>31825</v>
      </c>
      <c r="L16" s="126">
        <f t="shared" si="2"/>
        <v>67248.978022239826</v>
      </c>
      <c r="M16" s="127">
        <f t="shared" si="3"/>
        <v>11.043179886529014</v>
      </c>
      <c r="O16" s="124">
        <f t="shared" si="4"/>
        <v>14120.228054109635</v>
      </c>
      <c r="P16" s="125">
        <f t="shared" si="4"/>
        <v>242350.08475468261</v>
      </c>
      <c r="Q16" s="126">
        <f t="shared" si="4"/>
        <v>88384.450087579724</v>
      </c>
      <c r="R16" s="126">
        <f t="shared" si="5"/>
        <v>153965.63466710289</v>
      </c>
      <c r="S16" s="127">
        <f t="shared" si="6"/>
        <v>10.903905664773722</v>
      </c>
    </row>
    <row r="17" spans="1:19">
      <c r="A17" s="123">
        <v>2029</v>
      </c>
      <c r="C17" s="124">
        <v>7765.7028891935088</v>
      </c>
      <c r="D17" s="125">
        <v>143229.86675046652</v>
      </c>
      <c r="E17" s="126">
        <v>55023.63315602221</v>
      </c>
      <c r="F17" s="126">
        <f t="shared" si="0"/>
        <v>88206.233594444318</v>
      </c>
      <c r="G17" s="127">
        <f t="shared" si="1"/>
        <v>11.358435270191595</v>
      </c>
      <c r="I17" s="124">
        <v>5384.4727981683991</v>
      </c>
      <c r="J17" s="125">
        <v>95048.804629890496</v>
      </c>
      <c r="K17" s="126">
        <v>27371</v>
      </c>
      <c r="L17" s="126">
        <f t="shared" si="2"/>
        <v>67677.804629890496</v>
      </c>
      <c r="M17" s="127">
        <f t="shared" si="3"/>
        <v>12.569067978746594</v>
      </c>
      <c r="O17" s="124">
        <f t="shared" si="4"/>
        <v>13150.175687361909</v>
      </c>
      <c r="P17" s="125">
        <f t="shared" si="4"/>
        <v>238278.671380357</v>
      </c>
      <c r="Q17" s="126">
        <f t="shared" si="4"/>
        <v>82394.633156022202</v>
      </c>
      <c r="R17" s="126">
        <f t="shared" si="5"/>
        <v>155884.0382243348</v>
      </c>
      <c r="S17" s="127">
        <f t="shared" si="6"/>
        <v>11.854141110384443</v>
      </c>
    </row>
    <row r="18" spans="1:19">
      <c r="A18" s="123">
        <v>2030</v>
      </c>
      <c r="C18" s="124">
        <v>7355.4751444254689</v>
      </c>
      <c r="D18" s="125">
        <v>140329.75305120135</v>
      </c>
      <c r="E18" s="126">
        <v>51726.261318325625</v>
      </c>
      <c r="F18" s="126">
        <f t="shared" si="0"/>
        <v>88603.491732875729</v>
      </c>
      <c r="G18" s="127">
        <f t="shared" si="1"/>
        <v>12.045923613789396</v>
      </c>
      <c r="I18" s="124">
        <v>4800.7392482015493</v>
      </c>
      <c r="J18" s="125">
        <v>91102.58590974148</v>
      </c>
      <c r="K18" s="126">
        <v>23608</v>
      </c>
      <c r="L18" s="126">
        <f t="shared" si="2"/>
        <v>67494.58590974148</v>
      </c>
      <c r="M18" s="127">
        <f t="shared" si="3"/>
        <v>14.059206805499022</v>
      </c>
      <c r="O18" s="124">
        <f t="shared" si="4"/>
        <v>12156.214392627018</v>
      </c>
      <c r="P18" s="125">
        <f t="shared" si="4"/>
        <v>231432.33896094281</v>
      </c>
      <c r="Q18" s="126">
        <f t="shared" si="4"/>
        <v>75334.261318325618</v>
      </c>
      <c r="R18" s="126">
        <f t="shared" si="5"/>
        <v>156098.07764261719</v>
      </c>
      <c r="S18" s="127">
        <f t="shared" si="6"/>
        <v>12.841010581163633</v>
      </c>
    </row>
    <row r="19" spans="1:19">
      <c r="A19" s="123">
        <v>2031</v>
      </c>
      <c r="C19" s="124">
        <v>7056.474221645306</v>
      </c>
      <c r="D19" s="125">
        <v>137797.20232511699</v>
      </c>
      <c r="E19" s="126">
        <v>48779.779914697137</v>
      </c>
      <c r="F19" s="126">
        <f t="shared" si="0"/>
        <v>89017.422410419851</v>
      </c>
      <c r="G19" s="127">
        <f t="shared" si="1"/>
        <v>12.615000014789867</v>
      </c>
      <c r="I19" s="124">
        <v>4226.9115806885684</v>
      </c>
      <c r="J19" s="125">
        <v>87383.32082849888</v>
      </c>
      <c r="K19" s="126">
        <v>20398</v>
      </c>
      <c r="L19" s="126">
        <f t="shared" si="2"/>
        <v>66985.32082849888</v>
      </c>
      <c r="M19" s="127">
        <f t="shared" si="3"/>
        <v>15.847343752004129</v>
      </c>
      <c r="O19" s="124">
        <f t="shared" si="4"/>
        <v>11283.385802333874</v>
      </c>
      <c r="P19" s="125">
        <f t="shared" si="4"/>
        <v>225180.52315361588</v>
      </c>
      <c r="Q19" s="126">
        <f t="shared" si="4"/>
        <v>69177.779914697137</v>
      </c>
      <c r="R19" s="126">
        <f t="shared" si="5"/>
        <v>156002.74323891875</v>
      </c>
      <c r="S19" s="127">
        <f t="shared" si="6"/>
        <v>13.825880455727294</v>
      </c>
    </row>
    <row r="20" spans="1:19">
      <c r="A20" s="123">
        <v>2032</v>
      </c>
      <c r="C20" s="124">
        <v>6220.4770466362361</v>
      </c>
      <c r="D20" s="125">
        <v>130456.29209714134</v>
      </c>
      <c r="E20" s="126">
        <v>42874.362210204796</v>
      </c>
      <c r="F20" s="126">
        <f t="shared" si="0"/>
        <v>87581.929886936545</v>
      </c>
      <c r="G20" s="127">
        <f t="shared" si="1"/>
        <v>14.079616278673845</v>
      </c>
      <c r="I20" s="124">
        <v>3640.0709987575437</v>
      </c>
      <c r="J20" s="125">
        <v>83254.875337680147</v>
      </c>
      <c r="K20" s="126">
        <v>17622</v>
      </c>
      <c r="L20" s="126">
        <f t="shared" si="2"/>
        <v>65632.875337680147</v>
      </c>
      <c r="M20" s="127">
        <f t="shared" si="3"/>
        <v>18.030658017407475</v>
      </c>
      <c r="O20" s="124">
        <f t="shared" si="4"/>
        <v>9860.5480453937798</v>
      </c>
      <c r="P20" s="125">
        <f t="shared" si="4"/>
        <v>213711.16743482149</v>
      </c>
      <c r="Q20" s="126">
        <f t="shared" si="4"/>
        <v>60496.362210204796</v>
      </c>
      <c r="R20" s="126">
        <f t="shared" si="5"/>
        <v>153214.80522461669</v>
      </c>
      <c r="S20" s="127">
        <f t="shared" si="6"/>
        <v>15.538163246026564</v>
      </c>
    </row>
    <row r="21" spans="1:19">
      <c r="A21" s="123">
        <v>2033</v>
      </c>
      <c r="C21" s="124">
        <v>5453.5862123128491</v>
      </c>
      <c r="D21" s="125">
        <v>123588.81671129835</v>
      </c>
      <c r="E21" s="126">
        <v>37632.221266583991</v>
      </c>
      <c r="F21" s="126">
        <f t="shared" si="0"/>
        <v>85956.595444714359</v>
      </c>
      <c r="G21" s="127">
        <f t="shared" si="1"/>
        <v>15.761480995871235</v>
      </c>
      <c r="I21" s="124">
        <v>3180.7910628527684</v>
      </c>
      <c r="J21" s="125">
        <v>80244.694988850155</v>
      </c>
      <c r="K21" s="126">
        <v>15476</v>
      </c>
      <c r="L21" s="126">
        <f t="shared" si="2"/>
        <v>64768.694988850155</v>
      </c>
      <c r="M21" s="127">
        <f t="shared" si="3"/>
        <v>20.362448745929512</v>
      </c>
      <c r="O21" s="124">
        <f t="shared" si="4"/>
        <v>8634.3772751656179</v>
      </c>
      <c r="P21" s="125">
        <f t="shared" si="4"/>
        <v>203833.51170014852</v>
      </c>
      <c r="Q21" s="126">
        <f t="shared" si="4"/>
        <v>53108.221266583991</v>
      </c>
      <c r="R21" s="126">
        <f t="shared" si="5"/>
        <v>150725.29043356451</v>
      </c>
      <c r="S21" s="127">
        <f t="shared" si="6"/>
        <v>17.456417021188528</v>
      </c>
    </row>
    <row r="22" spans="1:19">
      <c r="A22" s="123">
        <v>2034</v>
      </c>
      <c r="C22" s="124">
        <v>4779.6114790716192</v>
      </c>
      <c r="D22" s="125">
        <v>115826.39382061591</v>
      </c>
      <c r="E22" s="126">
        <v>33114.140383288002</v>
      </c>
      <c r="F22" s="126">
        <f t="shared" si="0"/>
        <v>82712.253437327905</v>
      </c>
      <c r="G22" s="127">
        <f t="shared" si="1"/>
        <v>17.305225288603111</v>
      </c>
      <c r="I22" s="124">
        <v>2799.4640976423061</v>
      </c>
      <c r="J22" s="125">
        <v>77254.684307645512</v>
      </c>
      <c r="K22" s="126">
        <v>13691</v>
      </c>
      <c r="L22" s="126">
        <f t="shared" si="2"/>
        <v>63563.684307645512</v>
      </c>
      <c r="M22" s="127">
        <f t="shared" si="3"/>
        <v>22.705661544714403</v>
      </c>
      <c r="O22" s="124">
        <f t="shared" si="4"/>
        <v>7579.0755767139253</v>
      </c>
      <c r="P22" s="125">
        <f t="shared" si="4"/>
        <v>193081.07812826143</v>
      </c>
      <c r="Q22" s="126">
        <f t="shared" si="4"/>
        <v>46805.140383288002</v>
      </c>
      <c r="R22" s="126">
        <f t="shared" si="5"/>
        <v>146275.93774497343</v>
      </c>
      <c r="S22" s="127">
        <f t="shared" si="6"/>
        <v>19.299970855864533</v>
      </c>
    </row>
    <row r="23" spans="1:19">
      <c r="A23" s="123">
        <v>2035</v>
      </c>
      <c r="C23" s="124">
        <v>4211.028822103397</v>
      </c>
      <c r="D23" s="125">
        <v>108978.17978531781</v>
      </c>
      <c r="E23" s="126">
        <v>29286.24201975808</v>
      </c>
      <c r="F23" s="126">
        <f t="shared" si="0"/>
        <v>79691.937765559735</v>
      </c>
      <c r="G23" s="127">
        <f t="shared" si="1"/>
        <v>18.924576660996074</v>
      </c>
      <c r="I23" s="124">
        <v>2457.8875028421594</v>
      </c>
      <c r="J23" s="125">
        <v>73271.751993931073</v>
      </c>
      <c r="K23" s="126">
        <v>12196</v>
      </c>
      <c r="L23" s="126">
        <f t="shared" si="2"/>
        <v>61075.751993931073</v>
      </c>
      <c r="M23" s="127">
        <f t="shared" si="3"/>
        <v>24.848880155542755</v>
      </c>
      <c r="O23" s="124">
        <f t="shared" si="4"/>
        <v>6668.916324945556</v>
      </c>
      <c r="P23" s="125">
        <f t="shared" si="4"/>
        <v>182249.93177924887</v>
      </c>
      <c r="Q23" s="126">
        <f t="shared" si="4"/>
        <v>41482.24201975808</v>
      </c>
      <c r="R23" s="126">
        <f t="shared" si="5"/>
        <v>140767.68975949078</v>
      </c>
      <c r="S23" s="127">
        <f t="shared" si="6"/>
        <v>21.108030585559938</v>
      </c>
    </row>
    <row r="24" spans="1:19">
      <c r="A24" s="123">
        <v>2036</v>
      </c>
      <c r="C24" s="124">
        <v>3705.0317872958335</v>
      </c>
      <c r="D24" s="125">
        <v>100438.68699029612</v>
      </c>
      <c r="E24" s="126">
        <v>26002.957028124936</v>
      </c>
      <c r="F24" s="126">
        <f t="shared" si="0"/>
        <v>74435.729962171186</v>
      </c>
      <c r="G24" s="127">
        <f t="shared" si="1"/>
        <v>20.090443007102806</v>
      </c>
      <c r="I24" s="124">
        <v>2179.2817018718433</v>
      </c>
      <c r="J24" s="125">
        <v>69617.269700347897</v>
      </c>
      <c r="K24" s="126">
        <v>10912</v>
      </c>
      <c r="L24" s="126">
        <f t="shared" si="2"/>
        <v>58705.269700347897</v>
      </c>
      <c r="M24" s="127">
        <f t="shared" si="3"/>
        <v>26.937898689244427</v>
      </c>
      <c r="O24" s="124">
        <f t="shared" si="4"/>
        <v>5884.3134891676764</v>
      </c>
      <c r="P24" s="125">
        <f t="shared" si="4"/>
        <v>170055.95669064403</v>
      </c>
      <c r="Q24" s="126">
        <f t="shared" si="4"/>
        <v>36914.957028124933</v>
      </c>
      <c r="R24" s="126">
        <f t="shared" si="5"/>
        <v>133140.99966251908</v>
      </c>
      <c r="S24" s="127">
        <f t="shared" si="6"/>
        <v>22.626428708738221</v>
      </c>
    </row>
    <row r="25" spans="1:19">
      <c r="A25" s="123">
        <v>2037</v>
      </c>
      <c r="C25" s="124">
        <v>3272.9864379635524</v>
      </c>
      <c r="D25" s="125">
        <v>93012.6088660518</v>
      </c>
      <c r="E25" s="126">
        <v>23085.185205180111</v>
      </c>
      <c r="F25" s="126">
        <f t="shared" si="0"/>
        <v>69927.423660871689</v>
      </c>
      <c r="G25" s="127">
        <f t="shared" si="1"/>
        <v>21.365020902555415</v>
      </c>
      <c r="I25" s="124">
        <v>1945.7497729147128</v>
      </c>
      <c r="J25" s="125">
        <v>67495.945348812602</v>
      </c>
      <c r="K25" s="126">
        <v>9796</v>
      </c>
      <c r="L25" s="126">
        <f t="shared" si="2"/>
        <v>57699.945348812602</v>
      </c>
      <c r="M25" s="127">
        <f t="shared" si="3"/>
        <v>29.654350293141079</v>
      </c>
      <c r="O25" s="124">
        <f t="shared" si="4"/>
        <v>5218.7362108782654</v>
      </c>
      <c r="P25" s="125">
        <f t="shared" si="4"/>
        <v>160508.55421486439</v>
      </c>
      <c r="Q25" s="126">
        <f t="shared" si="4"/>
        <v>32881.185205180111</v>
      </c>
      <c r="R25" s="126">
        <f t="shared" si="5"/>
        <v>127627.36900968428</v>
      </c>
      <c r="S25" s="127">
        <f t="shared" si="6"/>
        <v>24.455608379601497</v>
      </c>
    </row>
    <row r="26" spans="1:19">
      <c r="A26" s="123">
        <v>2038</v>
      </c>
      <c r="C26" s="124">
        <v>2895.8268909062658</v>
      </c>
      <c r="D26" s="125">
        <v>86467.469456126943</v>
      </c>
      <c r="E26" s="126">
        <v>20542.950958262238</v>
      </c>
      <c r="F26" s="126">
        <f t="shared" si="0"/>
        <v>65924.518497864701</v>
      </c>
      <c r="G26" s="127">
        <f t="shared" si="1"/>
        <v>22.765351998383178</v>
      </c>
      <c r="I26" s="124">
        <v>1736.5786437536337</v>
      </c>
      <c r="J26" s="125">
        <v>65585.966609362862</v>
      </c>
      <c r="K26" s="126">
        <v>8778</v>
      </c>
      <c r="L26" s="126">
        <f t="shared" si="2"/>
        <v>56807.966609362862</v>
      </c>
      <c r="M26" s="127">
        <f t="shared" si="3"/>
        <v>32.71257930857184</v>
      </c>
      <c r="O26" s="124">
        <f t="shared" si="4"/>
        <v>4632.4055346598998</v>
      </c>
      <c r="P26" s="125">
        <f t="shared" si="4"/>
        <v>152053.4360654898</v>
      </c>
      <c r="Q26" s="126">
        <f t="shared" si="4"/>
        <v>29320.950958262238</v>
      </c>
      <c r="R26" s="126">
        <f t="shared" si="5"/>
        <v>122732.48510722756</v>
      </c>
      <c r="S26" s="127">
        <f t="shared" si="6"/>
        <v>26.494330901933502</v>
      </c>
    </row>
    <row r="27" spans="1:19">
      <c r="A27" s="123">
        <v>2039</v>
      </c>
      <c r="C27" s="124">
        <v>2450.8002059201458</v>
      </c>
      <c r="D27" s="125">
        <v>75367.217784794266</v>
      </c>
      <c r="E27" s="126">
        <v>18133.168415571326</v>
      </c>
      <c r="F27" s="126">
        <f t="shared" si="0"/>
        <v>57234.049369222936</v>
      </c>
      <c r="G27" s="127">
        <f t="shared" si="1"/>
        <v>23.353208976794001</v>
      </c>
      <c r="I27" s="124">
        <v>1557.1046786751665</v>
      </c>
      <c r="J27" s="125">
        <v>63838.107236111777</v>
      </c>
      <c r="K27" s="126">
        <v>7907</v>
      </c>
      <c r="L27" s="126">
        <f t="shared" si="2"/>
        <v>55931.107236111777</v>
      </c>
      <c r="M27" s="127">
        <f t="shared" si="3"/>
        <v>35.919940388143793</v>
      </c>
      <c r="O27" s="124">
        <f t="shared" si="4"/>
        <v>4007.9048845953121</v>
      </c>
      <c r="P27" s="125">
        <f t="shared" si="4"/>
        <v>139205.32502090605</v>
      </c>
      <c r="Q27" s="126">
        <f t="shared" si="4"/>
        <v>26040.168415571326</v>
      </c>
      <c r="R27" s="126">
        <f t="shared" si="5"/>
        <v>113165.15660533472</v>
      </c>
      <c r="S27" s="127">
        <f t="shared" si="6"/>
        <v>28.235489579678806</v>
      </c>
    </row>
    <row r="28" spans="1:19">
      <c r="A28" s="123">
        <v>2040</v>
      </c>
      <c r="C28" s="124">
        <v>2178.3520965787052</v>
      </c>
      <c r="D28" s="125">
        <v>71450.740188665863</v>
      </c>
      <c r="E28" s="126">
        <v>16263.167829556665</v>
      </c>
      <c r="F28" s="126">
        <f t="shared" si="0"/>
        <v>55187.572359109196</v>
      </c>
      <c r="G28" s="127">
        <f t="shared" si="1"/>
        <v>25.334551033226521</v>
      </c>
      <c r="I28" s="124">
        <v>1399.1093848104658</v>
      </c>
      <c r="J28" s="125">
        <v>57486.003629858082</v>
      </c>
      <c r="K28" s="126">
        <v>7124</v>
      </c>
      <c r="L28" s="126">
        <f t="shared" si="2"/>
        <v>50362.003629858082</v>
      </c>
      <c r="M28" s="127">
        <f t="shared" si="3"/>
        <v>35.995758570857205</v>
      </c>
      <c r="O28" s="124">
        <f t="shared" si="4"/>
        <v>3577.4614813891712</v>
      </c>
      <c r="P28" s="125">
        <f t="shared" si="4"/>
        <v>128936.74381852394</v>
      </c>
      <c r="Q28" s="126">
        <f t="shared" si="4"/>
        <v>23387.167829556667</v>
      </c>
      <c r="R28" s="126">
        <f t="shared" si="5"/>
        <v>105549.57598896728</v>
      </c>
      <c r="S28" s="127">
        <f t="shared" si="6"/>
        <v>29.504042611796649</v>
      </c>
    </row>
    <row r="29" spans="1:19">
      <c r="A29" s="123">
        <v>2041</v>
      </c>
      <c r="C29" s="124">
        <v>1942.7098816599519</v>
      </c>
      <c r="D29" s="125">
        <v>67992.882474221959</v>
      </c>
      <c r="E29" s="126">
        <v>14704.063118714488</v>
      </c>
      <c r="F29" s="126">
        <f t="shared" si="0"/>
        <v>53288.819355507469</v>
      </c>
      <c r="G29" s="127">
        <f t="shared" si="1"/>
        <v>27.430147887019931</v>
      </c>
      <c r="I29" s="124">
        <v>1252.2164095869114</v>
      </c>
      <c r="J29" s="125">
        <v>55322.18660898396</v>
      </c>
      <c r="K29" s="126">
        <v>6349</v>
      </c>
      <c r="L29" s="126">
        <f t="shared" si="2"/>
        <v>48973.18660898396</v>
      </c>
      <c r="M29" s="127">
        <f t="shared" si="3"/>
        <v>39.109203676015973</v>
      </c>
      <c r="O29" s="124">
        <f t="shared" si="4"/>
        <v>3194.926291246863</v>
      </c>
      <c r="P29" s="125">
        <f t="shared" si="4"/>
        <v>123315.06908320592</v>
      </c>
      <c r="Q29" s="126">
        <f t="shared" si="4"/>
        <v>21053.06311871449</v>
      </c>
      <c r="R29" s="126">
        <f t="shared" si="5"/>
        <v>102262.00596449143</v>
      </c>
      <c r="S29" s="127">
        <f t="shared" si="6"/>
        <v>32.007626042784949</v>
      </c>
    </row>
    <row r="30" spans="1:19">
      <c r="A30" s="123">
        <v>2042</v>
      </c>
      <c r="C30" s="124">
        <v>1525.6181967475341</v>
      </c>
      <c r="D30" s="125">
        <v>52273.773667513407</v>
      </c>
      <c r="E30" s="126">
        <v>12959.00209569825</v>
      </c>
      <c r="F30" s="126">
        <f t="shared" si="0"/>
        <v>39314.771571815159</v>
      </c>
      <c r="G30" s="127">
        <f t="shared" si="1"/>
        <v>25.76973167705415</v>
      </c>
      <c r="I30" s="124">
        <v>1114.4480045485222</v>
      </c>
      <c r="J30" s="125">
        <v>49438.828917353632</v>
      </c>
      <c r="K30" s="126">
        <v>5762</v>
      </c>
      <c r="L30" s="126">
        <f t="shared" si="2"/>
        <v>43676.828917353632</v>
      </c>
      <c r="M30" s="127">
        <f t="shared" si="3"/>
        <v>39.191446114211224</v>
      </c>
      <c r="O30" s="124">
        <f t="shared" si="4"/>
        <v>2640.0662012960565</v>
      </c>
      <c r="P30" s="125">
        <f t="shared" si="4"/>
        <v>101712.60258486704</v>
      </c>
      <c r="Q30" s="126">
        <f t="shared" si="4"/>
        <v>18721.002095698248</v>
      </c>
      <c r="R30" s="126">
        <f t="shared" si="5"/>
        <v>82991.600489168792</v>
      </c>
      <c r="S30" s="127">
        <f t="shared" si="6"/>
        <v>31.435424023998603</v>
      </c>
    </row>
    <row r="31" spans="1:19">
      <c r="A31" s="123">
        <v>2043</v>
      </c>
      <c r="C31" s="124">
        <v>1189.5830171430334</v>
      </c>
      <c r="D31" s="125">
        <v>38208.699971619608</v>
      </c>
      <c r="E31" s="126">
        <v>11510.024700688604</v>
      </c>
      <c r="F31" s="126">
        <f t="shared" si="0"/>
        <v>26698.675270931002</v>
      </c>
      <c r="G31" s="127">
        <f t="shared" si="1"/>
        <v>22.44372598311968</v>
      </c>
      <c r="I31" s="124">
        <v>988.31093877562819</v>
      </c>
      <c r="J31" s="125">
        <v>45910.904042305796</v>
      </c>
      <c r="K31" s="126">
        <v>5208</v>
      </c>
      <c r="L31" s="126">
        <f t="shared" si="2"/>
        <v>40702.904042305796</v>
      </c>
      <c r="M31" s="127">
        <f t="shared" si="3"/>
        <v>41.18430996294618</v>
      </c>
      <c r="O31" s="124">
        <f t="shared" si="4"/>
        <v>2177.8939559186615</v>
      </c>
      <c r="P31" s="125">
        <f t="shared" si="4"/>
        <v>84119.604013925404</v>
      </c>
      <c r="Q31" s="126">
        <f t="shared" si="4"/>
        <v>16718.024700688606</v>
      </c>
      <c r="R31" s="126">
        <f t="shared" si="5"/>
        <v>67401.579313236798</v>
      </c>
      <c r="S31" s="127">
        <f t="shared" si="6"/>
        <v>30.948053797599165</v>
      </c>
    </row>
    <row r="32" spans="1:19">
      <c r="A32" s="123">
        <v>2044</v>
      </c>
      <c r="C32" s="124">
        <v>1067.6778030591668</v>
      </c>
      <c r="D32" s="125">
        <v>36091.03389195865</v>
      </c>
      <c r="E32" s="126">
        <v>10386.877050014456</v>
      </c>
      <c r="F32" s="126">
        <f t="shared" si="0"/>
        <v>25704.156841944194</v>
      </c>
      <c r="G32" s="127">
        <f t="shared" si="1"/>
        <v>24.074825540341184</v>
      </c>
      <c r="I32" s="124">
        <v>877.8474306205261</v>
      </c>
      <c r="J32" s="125">
        <v>43771.02755520949</v>
      </c>
      <c r="K32" s="126">
        <v>4691</v>
      </c>
      <c r="L32" s="126">
        <f t="shared" si="2"/>
        <v>39080.02755520949</v>
      </c>
      <c r="M32" s="127">
        <f t="shared" si="3"/>
        <v>44.51801781499195</v>
      </c>
      <c r="O32" s="124">
        <f t="shared" si="4"/>
        <v>1945.525233679693</v>
      </c>
      <c r="P32" s="125">
        <f t="shared" si="4"/>
        <v>79862.061447168147</v>
      </c>
      <c r="Q32" s="126">
        <f t="shared" si="4"/>
        <v>15077.877050014456</v>
      </c>
      <c r="R32" s="126">
        <f t="shared" si="5"/>
        <v>64784.184397153687</v>
      </c>
      <c r="S32" s="127">
        <f t="shared" si="6"/>
        <v>33.29907177540089</v>
      </c>
    </row>
    <row r="33" spans="1:19">
      <c r="A33" s="123">
        <v>2045</v>
      </c>
      <c r="C33" s="124">
        <v>956.82819799301672</v>
      </c>
      <c r="D33" s="125">
        <v>34054.767539136104</v>
      </c>
      <c r="E33" s="126">
        <v>9268.3528786606767</v>
      </c>
      <c r="F33" s="126">
        <f t="shared" si="0"/>
        <v>24786.414660475428</v>
      </c>
      <c r="G33" s="127">
        <f t="shared" si="1"/>
        <v>25.904770273771057</v>
      </c>
      <c r="I33" s="124">
        <v>551.86669621139788</v>
      </c>
      <c r="J33" s="125">
        <v>28998.908862332686</v>
      </c>
      <c r="K33" s="126">
        <v>2908</v>
      </c>
      <c r="L33" s="126">
        <f t="shared" si="2"/>
        <v>26090.908862332686</v>
      </c>
      <c r="M33" s="127">
        <f t="shared" si="3"/>
        <v>47.277556412533201</v>
      </c>
      <c r="O33" s="124">
        <f t="shared" si="4"/>
        <v>1508.6948942044146</v>
      </c>
      <c r="P33" s="125">
        <f t="shared" si="4"/>
        <v>63053.676401468794</v>
      </c>
      <c r="Q33" s="126">
        <f t="shared" si="4"/>
        <v>12176.352878660677</v>
      </c>
      <c r="R33" s="126">
        <f t="shared" si="5"/>
        <v>50877.323522808118</v>
      </c>
      <c r="S33" s="127">
        <f t="shared" si="6"/>
        <v>33.722738585681654</v>
      </c>
    </row>
    <row r="34" spans="1:19">
      <c r="A34" s="123">
        <v>2046</v>
      </c>
      <c r="C34" s="124">
        <v>851.11702224090016</v>
      </c>
      <c r="D34" s="125">
        <v>31287.619538596198</v>
      </c>
      <c r="E34" s="126">
        <v>8168.6536042395819</v>
      </c>
      <c r="F34" s="126">
        <f t="shared" si="0"/>
        <v>23118.965934356616</v>
      </c>
      <c r="G34" s="127">
        <f t="shared" si="1"/>
        <v>27.163087249138609</v>
      </c>
      <c r="I34" s="124">
        <v>49.921271294211408</v>
      </c>
      <c r="J34" s="125">
        <v>2057.8695196270319</v>
      </c>
      <c r="K34" s="126">
        <v>132</v>
      </c>
      <c r="L34" s="126">
        <f t="shared" si="2"/>
        <v>1925.8695196270319</v>
      </c>
      <c r="M34" s="127">
        <f t="shared" si="3"/>
        <v>38.578134524597836</v>
      </c>
      <c r="O34" s="124">
        <f t="shared" si="4"/>
        <v>901.03829353511151</v>
      </c>
      <c r="P34" s="125">
        <f t="shared" si="4"/>
        <v>33345.489058223233</v>
      </c>
      <c r="Q34" s="126">
        <f t="shared" si="4"/>
        <v>8300.6536042395819</v>
      </c>
      <c r="R34" s="126">
        <f t="shared" si="5"/>
        <v>25044.835453983651</v>
      </c>
      <c r="S34" s="127">
        <f t="shared" si="6"/>
        <v>27.795528373964395</v>
      </c>
    </row>
    <row r="35" spans="1:19">
      <c r="A35" s="123">
        <v>2047</v>
      </c>
      <c r="C35" s="124">
        <v>768.34367512746655</v>
      </c>
      <c r="D35" s="125">
        <v>28036.309787811639</v>
      </c>
      <c r="E35" s="126">
        <v>7389.3656337770954</v>
      </c>
      <c r="F35" s="126">
        <f t="shared" si="0"/>
        <v>20646.944154034543</v>
      </c>
      <c r="G35" s="127">
        <f t="shared" si="1"/>
        <v>26.872016810197938</v>
      </c>
      <c r="I35" s="124">
        <v>39.103999637344344</v>
      </c>
      <c r="J35" s="125">
        <v>1822.1652290668835</v>
      </c>
      <c r="K35" s="126">
        <v>107</v>
      </c>
      <c r="L35" s="126">
        <f t="shared" si="2"/>
        <v>1715.1652290668835</v>
      </c>
      <c r="M35" s="127">
        <f t="shared" si="3"/>
        <v>43.861631673832662</v>
      </c>
      <c r="O35" s="124">
        <f t="shared" si="4"/>
        <v>807.44767476481093</v>
      </c>
      <c r="P35" s="125">
        <f t="shared" si="4"/>
        <v>29858.475016878521</v>
      </c>
      <c r="Q35" s="126">
        <f t="shared" si="4"/>
        <v>7496.3656337770954</v>
      </c>
      <c r="R35" s="126">
        <f t="shared" si="5"/>
        <v>22362.109383101426</v>
      </c>
      <c r="S35" s="127">
        <f t="shared" si="6"/>
        <v>27.69480931332788</v>
      </c>
    </row>
    <row r="36" spans="1:19">
      <c r="A36" s="123">
        <v>2048</v>
      </c>
      <c r="C36" s="124">
        <v>695.26505443853318</v>
      </c>
      <c r="D36" s="125">
        <v>26214.013125006153</v>
      </c>
      <c r="E36" s="126">
        <v>6697.6050575456702</v>
      </c>
      <c r="F36" s="126">
        <f t="shared" si="0"/>
        <v>19516.408067460485</v>
      </c>
      <c r="G36" s="127">
        <f t="shared" si="1"/>
        <v>28.070457364236599</v>
      </c>
      <c r="I36" s="124">
        <v>0</v>
      </c>
      <c r="J36" s="125">
        <v>0</v>
      </c>
      <c r="K36" s="126">
        <v>0</v>
      </c>
      <c r="L36" s="126">
        <f t="shared" si="2"/>
        <v>0</v>
      </c>
      <c r="M36" s="127">
        <v>0</v>
      </c>
      <c r="O36" s="124">
        <f t="shared" si="4"/>
        <v>695.26505443853318</v>
      </c>
      <c r="P36" s="125">
        <f t="shared" si="4"/>
        <v>26214.013125006153</v>
      </c>
      <c r="Q36" s="126">
        <f t="shared" si="4"/>
        <v>6697.6050575456702</v>
      </c>
      <c r="R36" s="126">
        <f t="shared" si="5"/>
        <v>19516.408067460485</v>
      </c>
      <c r="S36" s="127">
        <f t="shared" si="6"/>
        <v>28.070457364236599</v>
      </c>
    </row>
    <row r="37" spans="1:19">
      <c r="A37" s="123">
        <v>2049</v>
      </c>
      <c r="C37" s="124">
        <v>631.68598832393332</v>
      </c>
      <c r="D37" s="125">
        <v>23646.76225569435</v>
      </c>
      <c r="E37" s="126">
        <v>6092.9469568340646</v>
      </c>
      <c r="F37" s="126">
        <f t="shared" si="0"/>
        <v>17553.815298860285</v>
      </c>
      <c r="G37" s="127">
        <f t="shared" si="1"/>
        <v>27.788831196709332</v>
      </c>
      <c r="I37" s="124">
        <v>0</v>
      </c>
      <c r="J37" s="125">
        <v>0</v>
      </c>
      <c r="K37" s="126">
        <v>0</v>
      </c>
      <c r="L37" s="126">
        <f t="shared" si="2"/>
        <v>0</v>
      </c>
      <c r="M37" s="127">
        <v>0</v>
      </c>
      <c r="O37" s="124">
        <f t="shared" si="4"/>
        <v>631.68598832393332</v>
      </c>
      <c r="P37" s="125">
        <f t="shared" si="4"/>
        <v>23646.76225569435</v>
      </c>
      <c r="Q37" s="126">
        <f t="shared" si="4"/>
        <v>6092.9469568340646</v>
      </c>
      <c r="R37" s="126">
        <f t="shared" si="5"/>
        <v>17553.815298860285</v>
      </c>
      <c r="S37" s="127">
        <f t="shared" si="6"/>
        <v>27.788831196709332</v>
      </c>
    </row>
    <row r="38" spans="1:19">
      <c r="A38" s="123">
        <v>2050</v>
      </c>
      <c r="C38" s="124">
        <v>570.8563343755003</v>
      </c>
      <c r="D38" s="125">
        <v>22357.2069077091</v>
      </c>
      <c r="E38" s="126">
        <v>5484.4787583543666</v>
      </c>
      <c r="F38" s="126">
        <f t="shared" si="0"/>
        <v>16872.728149354734</v>
      </c>
      <c r="G38" s="127">
        <f t="shared" si="1"/>
        <v>29.55687295265453</v>
      </c>
      <c r="I38" s="124">
        <v>0</v>
      </c>
      <c r="J38" s="125">
        <v>0</v>
      </c>
      <c r="K38" s="126">
        <v>0</v>
      </c>
      <c r="L38" s="126">
        <f t="shared" si="2"/>
        <v>0</v>
      </c>
      <c r="M38" s="127">
        <v>0</v>
      </c>
      <c r="O38" s="124">
        <f t="shared" si="4"/>
        <v>570.8563343755003</v>
      </c>
      <c r="P38" s="125">
        <f t="shared" si="4"/>
        <v>22357.2069077091</v>
      </c>
      <c r="Q38" s="126">
        <f t="shared" si="4"/>
        <v>5484.4787583543666</v>
      </c>
      <c r="R38" s="126">
        <f t="shared" si="5"/>
        <v>16872.728149354734</v>
      </c>
      <c r="S38" s="127">
        <f t="shared" si="6"/>
        <v>29.55687295265453</v>
      </c>
    </row>
    <row r="39" spans="1:19">
      <c r="A39" s="123">
        <v>2051</v>
      </c>
      <c r="C39" s="124">
        <v>517.39565225925037</v>
      </c>
      <c r="D39" s="125">
        <v>21253.329632636545</v>
      </c>
      <c r="E39" s="126">
        <v>5022.3476494056749</v>
      </c>
      <c r="F39" s="126">
        <f t="shared" si="0"/>
        <v>16230.981983230871</v>
      </c>
      <c r="G39" s="127">
        <f t="shared" si="1"/>
        <v>31.3705418906343</v>
      </c>
      <c r="I39" s="124">
        <v>0</v>
      </c>
      <c r="J39" s="125">
        <v>0</v>
      </c>
      <c r="K39" s="126">
        <v>0</v>
      </c>
      <c r="L39" s="126">
        <f t="shared" si="2"/>
        <v>0</v>
      </c>
      <c r="M39" s="127">
        <v>0</v>
      </c>
      <c r="O39" s="124">
        <f t="shared" si="4"/>
        <v>517.39565225925037</v>
      </c>
      <c r="P39" s="125">
        <f t="shared" si="4"/>
        <v>21253.329632636545</v>
      </c>
      <c r="Q39" s="126">
        <f t="shared" si="4"/>
        <v>5022.3476494056749</v>
      </c>
      <c r="R39" s="126">
        <f t="shared" si="5"/>
        <v>16230.981983230871</v>
      </c>
      <c r="S39" s="127">
        <f t="shared" si="6"/>
        <v>31.3705418906343</v>
      </c>
    </row>
    <row r="40" spans="1:19">
      <c r="A40" s="123">
        <v>2052</v>
      </c>
      <c r="C40" s="124">
        <v>315.30356805523411</v>
      </c>
      <c r="D40" s="125">
        <v>13506.127443795578</v>
      </c>
      <c r="E40" s="126">
        <v>3068.0983165649109</v>
      </c>
      <c r="F40" s="126">
        <f t="shared" si="0"/>
        <v>10438.029127230668</v>
      </c>
      <c r="G40" s="127">
        <f t="shared" si="1"/>
        <v>33.104697138733805</v>
      </c>
      <c r="I40" s="124">
        <v>0</v>
      </c>
      <c r="J40" s="125">
        <v>0</v>
      </c>
      <c r="K40" s="126">
        <v>0</v>
      </c>
      <c r="L40" s="126">
        <f t="shared" si="2"/>
        <v>0</v>
      </c>
      <c r="M40" s="127">
        <v>0</v>
      </c>
      <c r="O40" s="124">
        <f t="shared" si="4"/>
        <v>315.30356805523411</v>
      </c>
      <c r="P40" s="125">
        <f t="shared" si="4"/>
        <v>13506.127443795578</v>
      </c>
      <c r="Q40" s="126">
        <f t="shared" si="4"/>
        <v>3068.0983165649109</v>
      </c>
      <c r="R40" s="126">
        <f t="shared" si="5"/>
        <v>10438.029127230668</v>
      </c>
      <c r="S40" s="127">
        <f t="shared" si="6"/>
        <v>33.104697138733805</v>
      </c>
    </row>
    <row r="41" spans="1:19" customFormat="1" ht="7.5" customHeight="1" thickBot="1">
      <c r="B41" s="3"/>
      <c r="C41" s="113"/>
      <c r="D41" s="114"/>
      <c r="E41" s="114"/>
      <c r="F41" s="115"/>
      <c r="H41" s="3"/>
      <c r="I41" s="113"/>
      <c r="J41" s="114"/>
      <c r="K41" s="114"/>
      <c r="L41" s="115"/>
      <c r="N41" s="3"/>
      <c r="O41" s="113"/>
      <c r="P41" s="114"/>
      <c r="Q41" s="114"/>
      <c r="R41" s="115"/>
    </row>
    <row r="42" spans="1:19" ht="13.5" thickBot="1">
      <c r="A42" s="118" t="s">
        <v>657</v>
      </c>
      <c r="C42" s="137">
        <f>SUM(C12:C40)</f>
        <v>101603.24006243022</v>
      </c>
      <c r="D42" s="137">
        <f>SUM(D12:D40)</f>
        <v>2348588.1307914238</v>
      </c>
      <c r="E42" s="137">
        <f>SUM(E12:E40)</f>
        <v>734361.89886163559</v>
      </c>
      <c r="F42" s="137">
        <f>SUM(F12:F40)</f>
        <v>1614226.2319297881</v>
      </c>
      <c r="G42" s="138">
        <f>F42/C42</f>
        <v>15.88754680399882</v>
      </c>
      <c r="I42" s="137">
        <f>SUM(I12:I40)</f>
        <v>70338.938192585891</v>
      </c>
      <c r="J42" s="137">
        <f>SUM(J12:J40)</f>
        <v>1611645.2312301341</v>
      </c>
      <c r="K42" s="137">
        <f>SUM(K12:K40)</f>
        <v>371311</v>
      </c>
      <c r="L42" s="137">
        <f>SUM(L12:L40)</f>
        <v>1240334.2312301339</v>
      </c>
      <c r="M42" s="138">
        <f>L42/I42</f>
        <v>17.633678629525743</v>
      </c>
      <c r="O42" s="137">
        <f>SUM(O12:O40)</f>
        <v>171942.17825501616</v>
      </c>
      <c r="P42" s="137">
        <f>SUM(P12:P40)</f>
        <v>3960233.362021558</v>
      </c>
      <c r="Q42" s="137">
        <f>SUM(Q12:Q40)</f>
        <v>1105672.8988616359</v>
      </c>
      <c r="R42" s="137">
        <f>SUM(R12:R40)</f>
        <v>2854560.4631599234</v>
      </c>
      <c r="S42" s="138">
        <f>R42/O42</f>
        <v>16.601862859537466</v>
      </c>
    </row>
    <row r="45" spans="1:19">
      <c r="A45" s="44" t="s">
        <v>1184</v>
      </c>
    </row>
    <row r="46" spans="1:19">
      <c r="A46" s="44" t="s">
        <v>1185</v>
      </c>
    </row>
    <row r="47" spans="1:19">
      <c r="A47" s="44" t="s">
        <v>1186</v>
      </c>
    </row>
    <row r="48" spans="1:19">
      <c r="A48" s="44" t="s">
        <v>1187</v>
      </c>
    </row>
  </sheetData>
  <mergeCells count="3">
    <mergeCell ref="I6:M6"/>
    <mergeCell ref="C6:G6"/>
    <mergeCell ref="O6:S6"/>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AD7C8-0471-4D11-AF9E-1560D486F0C9}">
  <sheetPr>
    <tabColor rgb="FF92D050"/>
  </sheetPr>
  <dimension ref="B1:Z87"/>
  <sheetViews>
    <sheetView showGridLines="0" zoomScaleNormal="100" workbookViewId="0">
      <pane xSplit="4" ySplit="4" topLeftCell="N56" activePane="bottomRight" state="frozen"/>
      <selection activeCell="AE15" sqref="AE15"/>
      <selection pane="topRight" activeCell="AE15" sqref="AE15"/>
      <selection pane="bottomLeft" activeCell="AE15" sqref="AE15"/>
      <selection pane="bottomRight" activeCell="Z81" sqref="Z81"/>
    </sheetView>
  </sheetViews>
  <sheetFormatPr defaultColWidth="9.140625" defaultRowHeight="15" outlineLevelCol="1"/>
  <cols>
    <col min="1" max="1" width="3" style="3" customWidth="1"/>
    <col min="2" max="2" width="39.42578125" style="3" customWidth="1"/>
    <col min="3" max="3" width="1.42578125" style="3" customWidth="1"/>
    <col min="4" max="4" width="30.85546875" style="3" customWidth="1"/>
    <col min="5" max="5" width="1.42578125" style="3" customWidth="1"/>
    <col min="6" max="6" width="12" style="3" bestFit="1" customWidth="1"/>
    <col min="7" max="7" width="12.7109375" style="3" bestFit="1" customWidth="1"/>
    <col min="8" max="8" width="13.42578125" style="3" customWidth="1"/>
    <col min="9" max="11" width="12.7109375" style="3" customWidth="1" outlineLevel="1"/>
    <col min="12" max="12" width="12.7109375" style="3" customWidth="1"/>
    <col min="13" max="15" width="12.7109375" style="3" customWidth="1" outlineLevel="1"/>
    <col min="16" max="16" width="12.7109375" style="3" customWidth="1"/>
    <col min="17" max="19" width="12.7109375" style="3" customWidth="1" outlineLevel="1"/>
    <col min="20" max="20" width="12.7109375" style="3" customWidth="1"/>
    <col min="21" max="21" width="12.7109375" style="3" customWidth="1" outlineLevel="1"/>
    <col min="22" max="23" width="13" style="3" customWidth="1" outlineLevel="1"/>
    <col min="24" max="25" width="13" style="3" customWidth="1"/>
    <col min="26" max="26" width="13" style="348" customWidth="1"/>
    <col min="27" max="16384" width="9.140625" style="3"/>
  </cols>
  <sheetData>
    <row r="1" spans="2:25">
      <c r="G1" s="18"/>
      <c r="I1" s="18"/>
      <c r="J1" s="18"/>
      <c r="K1" s="18"/>
      <c r="L1" s="18"/>
      <c r="M1" s="18"/>
      <c r="N1" s="18"/>
      <c r="O1" s="18"/>
      <c r="P1" s="18"/>
      <c r="Q1" s="18"/>
      <c r="R1" s="18"/>
      <c r="S1" s="18"/>
      <c r="T1" s="18"/>
      <c r="U1" s="18"/>
      <c r="V1" s="18"/>
      <c r="W1" s="18"/>
      <c r="X1" s="18"/>
    </row>
    <row r="2" spans="2:25" ht="18.75">
      <c r="B2" s="12"/>
      <c r="D2" s="182" t="s">
        <v>690</v>
      </c>
      <c r="G2" s="18"/>
      <c r="H2" s="18"/>
      <c r="I2" s="18"/>
      <c r="J2" s="18"/>
      <c r="K2" s="18"/>
      <c r="L2" s="18"/>
      <c r="M2" s="18"/>
      <c r="N2" s="18"/>
      <c r="O2" s="18"/>
      <c r="P2" s="18"/>
      <c r="Q2" s="18"/>
      <c r="R2" s="18"/>
      <c r="S2" s="18"/>
      <c r="T2" s="18"/>
      <c r="U2" s="18"/>
      <c r="V2" s="18"/>
      <c r="W2" s="18"/>
      <c r="X2" s="18"/>
    </row>
    <row r="4" spans="2:25" ht="17.25">
      <c r="B4" s="23" t="s">
        <v>27</v>
      </c>
      <c r="C4" s="1"/>
      <c r="D4" s="23" t="s">
        <v>688</v>
      </c>
      <c r="E4" s="1"/>
      <c r="F4" s="2">
        <v>2018</v>
      </c>
      <c r="G4" s="2">
        <v>2019</v>
      </c>
      <c r="H4" s="2">
        <v>2020</v>
      </c>
      <c r="I4" s="183" t="s">
        <v>691</v>
      </c>
      <c r="J4" s="22" t="s">
        <v>692</v>
      </c>
      <c r="K4" s="22" t="s">
        <v>693</v>
      </c>
      <c r="L4" s="2">
        <v>2021</v>
      </c>
      <c r="M4" s="49" t="s">
        <v>694</v>
      </c>
      <c r="N4" s="49" t="s">
        <v>834</v>
      </c>
      <c r="O4" s="49" t="s">
        <v>859</v>
      </c>
      <c r="P4" s="49">
        <v>2022</v>
      </c>
      <c r="Q4" s="49" t="s">
        <v>933</v>
      </c>
      <c r="R4" s="22" t="s">
        <v>981</v>
      </c>
      <c r="S4" s="22" t="s">
        <v>1058</v>
      </c>
      <c r="T4" s="49">
        <v>2023</v>
      </c>
      <c r="U4" s="22" t="s">
        <v>1206</v>
      </c>
      <c r="V4" s="22" t="str">
        <f>'DRE (detalhada)'!AE4</f>
        <v>2T24 / 2Q24</v>
      </c>
      <c r="W4" s="22" t="str">
        <f>'DRE (detalhada)'!AG4</f>
        <v>3T24 / 3Q24</v>
      </c>
      <c r="X4" s="22">
        <f>'DRE (detalhada)'!AJ4</f>
        <v>2024</v>
      </c>
      <c r="Y4" s="22"/>
    </row>
    <row r="5" spans="2:25" ht="6.75" customHeight="1">
      <c r="B5" s="1"/>
      <c r="C5" s="1"/>
      <c r="D5" s="1"/>
      <c r="E5" s="1"/>
      <c r="F5" s="4"/>
      <c r="G5" s="4"/>
      <c r="H5" s="4"/>
      <c r="I5" s="4"/>
      <c r="J5" s="4"/>
      <c r="K5" s="4"/>
      <c r="L5" s="4"/>
      <c r="M5" s="4"/>
      <c r="N5" s="4"/>
      <c r="O5" s="4"/>
      <c r="P5" s="4"/>
      <c r="Q5" s="4"/>
      <c r="R5" s="4"/>
      <c r="S5" s="4"/>
      <c r="T5" s="4"/>
      <c r="U5" s="4"/>
      <c r="V5" s="4"/>
      <c r="W5" s="4"/>
      <c r="X5" s="4"/>
    </row>
    <row r="6" spans="2:25">
      <c r="B6" s="39" t="s">
        <v>69</v>
      </c>
      <c r="C6" s="32"/>
      <c r="D6" s="39" t="s">
        <v>689</v>
      </c>
      <c r="E6" s="29"/>
      <c r="F6" s="32"/>
      <c r="G6" s="32"/>
      <c r="H6" s="32"/>
      <c r="I6" s="32"/>
      <c r="J6" s="32"/>
      <c r="K6" s="32"/>
      <c r="L6" s="32"/>
      <c r="M6" s="181"/>
      <c r="N6" s="181"/>
      <c r="O6" s="181"/>
      <c r="P6" s="181"/>
      <c r="Q6" s="181"/>
      <c r="R6" s="181"/>
      <c r="S6" s="181"/>
      <c r="T6" s="181"/>
      <c r="U6" s="181"/>
      <c r="V6" s="181"/>
      <c r="W6" s="181"/>
      <c r="X6" s="181"/>
    </row>
    <row r="7" spans="2:25" ht="6.75" customHeight="1">
      <c r="F7" s="5"/>
      <c r="G7" s="5"/>
      <c r="H7" s="6"/>
      <c r="I7" s="6"/>
      <c r="J7" s="6"/>
      <c r="K7" s="6"/>
      <c r="L7" s="6"/>
      <c r="M7" s="6"/>
      <c r="N7" s="6"/>
      <c r="O7" s="6"/>
      <c r="P7" s="6"/>
      <c r="Q7" s="6"/>
      <c r="R7" s="6"/>
      <c r="S7" s="6"/>
      <c r="T7" s="6"/>
      <c r="U7" s="6"/>
      <c r="V7" s="6"/>
      <c r="W7" s="6"/>
      <c r="X7" s="6"/>
    </row>
    <row r="8" spans="2:25">
      <c r="B8" s="7" t="s">
        <v>70</v>
      </c>
      <c r="C8" s="1"/>
      <c r="D8" s="7" t="s">
        <v>791</v>
      </c>
      <c r="E8" s="1"/>
      <c r="F8" s="8"/>
      <c r="G8" s="8"/>
      <c r="H8" s="8"/>
      <c r="I8" s="8"/>
      <c r="J8" s="8"/>
      <c r="K8" s="8"/>
      <c r="L8" s="8"/>
      <c r="M8" s="8"/>
      <c r="N8" s="8"/>
      <c r="O8" s="8"/>
      <c r="P8" s="8"/>
      <c r="Q8" s="8"/>
      <c r="R8" s="8"/>
      <c r="S8" s="8"/>
      <c r="T8" s="8"/>
      <c r="U8" s="8"/>
      <c r="V8" s="8"/>
      <c r="W8" s="8"/>
      <c r="X8" s="8"/>
    </row>
    <row r="9" spans="2:25">
      <c r="B9" s="3" t="s">
        <v>0</v>
      </c>
      <c r="C9" s="1"/>
      <c r="D9" s="3" t="s">
        <v>695</v>
      </c>
      <c r="E9" s="1"/>
      <c r="F9" s="13">
        <v>20027</v>
      </c>
      <c r="G9" s="13">
        <v>56265</v>
      </c>
      <c r="H9" s="13">
        <v>30861</v>
      </c>
      <c r="I9" s="13">
        <v>44045</v>
      </c>
      <c r="J9" s="13">
        <v>268955</v>
      </c>
      <c r="K9" s="13">
        <v>392406</v>
      </c>
      <c r="L9" s="13">
        <v>217159</v>
      </c>
      <c r="M9" s="13">
        <v>156467</v>
      </c>
      <c r="N9" s="13">
        <v>244999</v>
      </c>
      <c r="O9" s="13">
        <v>504667</v>
      </c>
      <c r="P9" s="13">
        <v>361028</v>
      </c>
      <c r="Q9" s="13">
        <v>205972</v>
      </c>
      <c r="R9" s="13">
        <v>89760</v>
      </c>
      <c r="S9" s="13">
        <v>78480</v>
      </c>
      <c r="T9" s="13">
        <v>197184</v>
      </c>
      <c r="U9" s="13">
        <v>302149</v>
      </c>
      <c r="V9" s="13">
        <v>411015</v>
      </c>
      <c r="W9" s="13">
        <v>420687</v>
      </c>
      <c r="X9" s="13">
        <v>0</v>
      </c>
    </row>
    <row r="10" spans="2:25">
      <c r="B10" s="3" t="s">
        <v>1</v>
      </c>
      <c r="C10" s="1"/>
      <c r="D10" s="3" t="s">
        <v>792</v>
      </c>
      <c r="E10" s="1"/>
      <c r="F10" s="13">
        <v>0</v>
      </c>
      <c r="G10" s="13">
        <v>45</v>
      </c>
      <c r="H10" s="13">
        <v>66414</v>
      </c>
      <c r="I10" s="13">
        <v>58537</v>
      </c>
      <c r="J10" s="13">
        <v>941890</v>
      </c>
      <c r="K10" s="13">
        <v>764069</v>
      </c>
      <c r="L10" s="13">
        <v>585655</v>
      </c>
      <c r="M10" s="13">
        <v>514353</v>
      </c>
      <c r="N10" s="13">
        <v>1399969</v>
      </c>
      <c r="O10" s="13">
        <v>1388589</v>
      </c>
      <c r="P10" s="13">
        <v>1250163</v>
      </c>
      <c r="Q10" s="13">
        <v>721065</v>
      </c>
      <c r="R10" s="13">
        <v>695724</v>
      </c>
      <c r="S10" s="13">
        <v>642415</v>
      </c>
      <c r="T10" s="13">
        <v>310172</v>
      </c>
      <c r="U10" s="13">
        <v>384688</v>
      </c>
      <c r="V10" s="13">
        <v>1215647</v>
      </c>
      <c r="W10" s="13">
        <v>1079673</v>
      </c>
      <c r="X10" s="13">
        <v>0</v>
      </c>
    </row>
    <row r="11" spans="2:25">
      <c r="B11" s="3" t="s">
        <v>2</v>
      </c>
      <c r="C11" s="1"/>
      <c r="D11" s="3" t="s">
        <v>793</v>
      </c>
      <c r="E11" s="1"/>
      <c r="F11" s="13">
        <v>38259</v>
      </c>
      <c r="G11" s="13">
        <v>78610</v>
      </c>
      <c r="H11" s="13">
        <v>108733</v>
      </c>
      <c r="I11" s="13">
        <v>145122</v>
      </c>
      <c r="J11" s="13">
        <v>133067</v>
      </c>
      <c r="K11" s="13">
        <v>165001</v>
      </c>
      <c r="L11" s="13">
        <v>169847</v>
      </c>
      <c r="M11" s="13">
        <v>452538</v>
      </c>
      <c r="N11" s="13">
        <v>442584</v>
      </c>
      <c r="O11" s="13">
        <v>397043</v>
      </c>
      <c r="P11" s="13">
        <v>384180</v>
      </c>
      <c r="Q11" s="13">
        <v>364778</v>
      </c>
      <c r="R11" s="13">
        <v>300529</v>
      </c>
      <c r="S11" s="13">
        <v>348729</v>
      </c>
      <c r="T11" s="13">
        <v>360611</v>
      </c>
      <c r="U11" s="13">
        <v>349761</v>
      </c>
      <c r="V11" s="13">
        <v>377218</v>
      </c>
      <c r="W11" s="13">
        <v>362540</v>
      </c>
      <c r="X11" s="13">
        <v>0</v>
      </c>
    </row>
    <row r="12" spans="2:25">
      <c r="B12" s="3" t="s">
        <v>3</v>
      </c>
      <c r="C12" s="1"/>
      <c r="D12" s="3" t="s">
        <v>794</v>
      </c>
      <c r="E12" s="1"/>
      <c r="F12" s="13">
        <v>100</v>
      </c>
      <c r="G12" s="13">
        <v>480</v>
      </c>
      <c r="H12" s="13">
        <v>1211</v>
      </c>
      <c r="I12" s="13">
        <v>1261</v>
      </c>
      <c r="J12" s="13">
        <v>869</v>
      </c>
      <c r="K12" s="13">
        <v>1011</v>
      </c>
      <c r="L12" s="13">
        <v>6552</v>
      </c>
      <c r="M12" s="13">
        <v>8992</v>
      </c>
      <c r="N12" s="13">
        <v>8125</v>
      </c>
      <c r="O12" s="13">
        <v>6840</v>
      </c>
      <c r="P12" s="13">
        <v>11451</v>
      </c>
      <c r="Q12" s="13">
        <v>4857</v>
      </c>
      <c r="R12" s="13">
        <v>7376</v>
      </c>
      <c r="S12" s="13">
        <v>24717</v>
      </c>
      <c r="T12" s="13">
        <v>7358</v>
      </c>
      <c r="U12" s="13">
        <v>9436</v>
      </c>
      <c r="V12" s="13">
        <v>7793</v>
      </c>
      <c r="W12" s="13">
        <v>8293</v>
      </c>
      <c r="X12" s="13">
        <v>0</v>
      </c>
    </row>
    <row r="13" spans="2:25">
      <c r="B13" s="3" t="s">
        <v>1091</v>
      </c>
      <c r="C13" s="1"/>
      <c r="D13" s="3" t="s">
        <v>795</v>
      </c>
      <c r="E13" s="1"/>
      <c r="F13" s="13">
        <v>20033</v>
      </c>
      <c r="G13" s="13">
        <v>14775</v>
      </c>
      <c r="H13" s="13">
        <v>22433</v>
      </c>
      <c r="I13" s="13">
        <v>27587</v>
      </c>
      <c r="J13" s="13">
        <v>25707</v>
      </c>
      <c r="K13" s="13">
        <v>46645</v>
      </c>
      <c r="L13" s="13">
        <v>41825</v>
      </c>
      <c r="M13" s="13">
        <v>34823</v>
      </c>
      <c r="N13" s="13">
        <v>55957</v>
      </c>
      <c r="O13" s="13">
        <v>70151</v>
      </c>
      <c r="P13" s="13">
        <v>99243</v>
      </c>
      <c r="Q13" s="13">
        <v>128600</v>
      </c>
      <c r="R13" s="13">
        <v>129294</v>
      </c>
      <c r="S13" s="13">
        <v>166507</v>
      </c>
      <c r="T13" s="13">
        <v>233927</v>
      </c>
      <c r="U13" s="13">
        <v>144792</v>
      </c>
      <c r="V13" s="13">
        <v>79445</v>
      </c>
      <c r="W13" s="13">
        <v>83339</v>
      </c>
      <c r="X13" s="13">
        <v>0</v>
      </c>
    </row>
    <row r="14" spans="2:25">
      <c r="B14" s="3" t="s">
        <v>16</v>
      </c>
      <c r="C14" s="1"/>
      <c r="D14" s="3" t="s">
        <v>796</v>
      </c>
      <c r="E14" s="1"/>
      <c r="F14" s="13">
        <v>0</v>
      </c>
      <c r="G14" s="13">
        <v>692.99999999989313</v>
      </c>
      <c r="H14" s="13">
        <v>80506</v>
      </c>
      <c r="I14" s="13">
        <v>2173</v>
      </c>
      <c r="J14" s="13">
        <v>0</v>
      </c>
      <c r="K14" s="13">
        <v>0</v>
      </c>
      <c r="L14" s="13">
        <v>0</v>
      </c>
      <c r="M14" s="13">
        <v>0</v>
      </c>
      <c r="N14" s="13">
        <v>0</v>
      </c>
      <c r="O14" s="13">
        <v>0</v>
      </c>
      <c r="P14" s="13">
        <v>0</v>
      </c>
      <c r="Q14" s="13">
        <v>0</v>
      </c>
      <c r="R14" s="13">
        <v>0</v>
      </c>
      <c r="S14" s="13">
        <v>0</v>
      </c>
      <c r="T14" s="13">
        <v>0</v>
      </c>
      <c r="U14" s="13">
        <v>0</v>
      </c>
      <c r="V14" s="13">
        <v>0</v>
      </c>
      <c r="W14" s="13">
        <v>6507</v>
      </c>
      <c r="X14" s="13">
        <v>0</v>
      </c>
    </row>
    <row r="15" spans="2:25">
      <c r="B15" s="3" t="s">
        <v>4</v>
      </c>
      <c r="C15" s="1"/>
      <c r="D15" s="3" t="s">
        <v>697</v>
      </c>
      <c r="E15" s="1"/>
      <c r="F15" s="13">
        <v>465</v>
      </c>
      <c r="G15" s="13">
        <v>1467</v>
      </c>
      <c r="H15" s="13">
        <v>12826</v>
      </c>
      <c r="I15" s="13">
        <v>14418</v>
      </c>
      <c r="J15" s="13">
        <v>6331</v>
      </c>
      <c r="K15" s="13">
        <v>7132</v>
      </c>
      <c r="L15" s="13">
        <v>11769</v>
      </c>
      <c r="M15" s="13">
        <v>14597</v>
      </c>
      <c r="N15" s="13">
        <v>23657</v>
      </c>
      <c r="O15" s="13">
        <v>55970</v>
      </c>
      <c r="P15" s="13">
        <v>26539</v>
      </c>
      <c r="Q15" s="13">
        <v>43743</v>
      </c>
      <c r="R15" s="13">
        <v>32091</v>
      </c>
      <c r="S15" s="13">
        <v>35505</v>
      </c>
      <c r="T15" s="13">
        <v>38179</v>
      </c>
      <c r="U15" s="13">
        <v>18727</v>
      </c>
      <c r="V15" s="13">
        <v>70079</v>
      </c>
      <c r="W15" s="13">
        <v>40093</v>
      </c>
      <c r="X15" s="13">
        <v>0</v>
      </c>
    </row>
    <row r="16" spans="2:25" ht="4.5" customHeight="1" thickBot="1">
      <c r="B16" s="10"/>
      <c r="C16" s="1"/>
      <c r="D16" s="10"/>
      <c r="E16" s="1"/>
      <c r="F16" s="13"/>
      <c r="G16" s="11"/>
      <c r="H16" s="11"/>
      <c r="I16" s="11"/>
      <c r="J16" s="11"/>
      <c r="K16" s="11"/>
      <c r="L16" s="11"/>
      <c r="M16" s="11"/>
      <c r="N16" s="11"/>
      <c r="O16" s="11"/>
      <c r="P16" s="11"/>
      <c r="Q16" s="11"/>
      <c r="R16" s="11"/>
      <c r="S16" s="11"/>
      <c r="T16" s="11"/>
      <c r="U16" s="11"/>
      <c r="V16" s="11"/>
      <c r="W16" s="11"/>
      <c r="X16" s="11"/>
    </row>
    <row r="17" spans="2:26" ht="15.75" thickBot="1">
      <c r="B17" s="28" t="s">
        <v>71</v>
      </c>
      <c r="C17" s="26"/>
      <c r="D17" s="28" t="s">
        <v>698</v>
      </c>
      <c r="E17" s="27"/>
      <c r="F17" s="40">
        <v>78884</v>
      </c>
      <c r="G17" s="40">
        <v>152334.99999999988</v>
      </c>
      <c r="H17" s="40">
        <v>322984</v>
      </c>
      <c r="I17" s="40">
        <v>293143</v>
      </c>
      <c r="J17" s="40">
        <v>1376819</v>
      </c>
      <c r="K17" s="40">
        <v>1376264</v>
      </c>
      <c r="L17" s="40">
        <v>1032807</v>
      </c>
      <c r="M17" s="40">
        <v>1181770</v>
      </c>
      <c r="N17" s="40">
        <f t="shared" ref="N17:T17" si="0">SUM(N9:N15)</f>
        <v>2175291</v>
      </c>
      <c r="O17" s="40">
        <f t="shared" si="0"/>
        <v>2423260</v>
      </c>
      <c r="P17" s="40">
        <f t="shared" si="0"/>
        <v>2132604</v>
      </c>
      <c r="Q17" s="40">
        <f t="shared" si="0"/>
        <v>1469015</v>
      </c>
      <c r="R17" s="40">
        <f t="shared" si="0"/>
        <v>1254774</v>
      </c>
      <c r="S17" s="40">
        <f t="shared" si="0"/>
        <v>1296353</v>
      </c>
      <c r="T17" s="40">
        <f t="shared" si="0"/>
        <v>1147431</v>
      </c>
      <c r="U17" s="40">
        <f>SUM(U9:U15)</f>
        <v>1209553</v>
      </c>
      <c r="V17" s="40">
        <f>SUM(V9:V15)</f>
        <v>2161197</v>
      </c>
      <c r="W17" s="40">
        <f>SUM(W9:W15)</f>
        <v>2001132</v>
      </c>
      <c r="X17" s="40">
        <f>SUM(X9:X15)</f>
        <v>0</v>
      </c>
      <c r="Z17" s="348">
        <v>0</v>
      </c>
    </row>
    <row r="18" spans="2:26">
      <c r="C18" s="12"/>
      <c r="F18" s="5"/>
      <c r="G18" s="5"/>
      <c r="H18" s="6"/>
      <c r="I18" s="6"/>
      <c r="J18" s="6"/>
      <c r="K18" s="6"/>
      <c r="L18" s="6"/>
      <c r="M18" s="6"/>
      <c r="N18" s="6"/>
      <c r="O18" s="6"/>
      <c r="P18" s="6"/>
      <c r="Q18" s="6"/>
      <c r="R18" s="6"/>
      <c r="S18" s="6"/>
      <c r="T18" s="6"/>
      <c r="U18" s="6"/>
      <c r="V18" s="6"/>
      <c r="W18" s="6"/>
      <c r="X18" s="6"/>
    </row>
    <row r="19" spans="2:26">
      <c r="B19" s="7" t="s">
        <v>72</v>
      </c>
      <c r="C19" s="12"/>
      <c r="D19" s="7" t="s">
        <v>804</v>
      </c>
      <c r="F19" s="5"/>
      <c r="G19" s="5"/>
      <c r="H19" s="6"/>
      <c r="I19" s="6"/>
      <c r="J19" s="6"/>
      <c r="K19" s="6"/>
      <c r="L19" s="6"/>
      <c r="M19" s="6"/>
      <c r="N19" s="6"/>
      <c r="O19" s="6"/>
      <c r="P19" s="6"/>
      <c r="Q19" s="6"/>
      <c r="R19" s="6"/>
      <c r="S19" s="6"/>
      <c r="T19" s="6"/>
      <c r="U19" s="6"/>
      <c r="V19" s="6"/>
      <c r="W19" s="6"/>
      <c r="X19" s="6"/>
    </row>
    <row r="20" spans="2:26">
      <c r="B20" s="10" t="s">
        <v>5</v>
      </c>
      <c r="C20" s="12"/>
      <c r="D20" s="10" t="s">
        <v>797</v>
      </c>
      <c r="F20" s="13">
        <v>3277</v>
      </c>
      <c r="G20" s="13">
        <v>10137</v>
      </c>
      <c r="H20" s="13">
        <v>68597</v>
      </c>
      <c r="I20" s="13">
        <v>74249</v>
      </c>
      <c r="J20" s="13">
        <v>63669</v>
      </c>
      <c r="K20" s="13">
        <v>68622</v>
      </c>
      <c r="L20" s="13">
        <v>69989</v>
      </c>
      <c r="M20" s="13">
        <v>74829</v>
      </c>
      <c r="N20" s="13">
        <v>81912</v>
      </c>
      <c r="O20" s="13">
        <v>0</v>
      </c>
      <c r="P20" s="13">
        <v>0</v>
      </c>
      <c r="Q20" s="13">
        <v>0</v>
      </c>
      <c r="R20" s="13">
        <v>0</v>
      </c>
      <c r="S20" s="13">
        <v>0</v>
      </c>
      <c r="T20" s="13">
        <v>0</v>
      </c>
      <c r="U20" s="13">
        <v>0</v>
      </c>
      <c r="V20" s="13">
        <v>0</v>
      </c>
      <c r="W20" s="13">
        <v>0</v>
      </c>
      <c r="X20" s="13">
        <v>0</v>
      </c>
    </row>
    <row r="21" spans="2:26">
      <c r="B21" s="10" t="s">
        <v>1245</v>
      </c>
      <c r="C21" s="12"/>
      <c r="D21" s="3" t="s">
        <v>793</v>
      </c>
      <c r="F21" s="13">
        <v>0</v>
      </c>
      <c r="G21" s="13">
        <v>0</v>
      </c>
      <c r="H21" s="13">
        <v>0</v>
      </c>
      <c r="I21" s="13">
        <v>0</v>
      </c>
      <c r="J21" s="13">
        <v>0</v>
      </c>
      <c r="K21" s="13">
        <v>0</v>
      </c>
      <c r="L21" s="13">
        <v>0</v>
      </c>
      <c r="M21" s="13">
        <v>0</v>
      </c>
      <c r="N21" s="13">
        <v>0</v>
      </c>
      <c r="O21" s="13">
        <v>27306</v>
      </c>
      <c r="P21" s="13">
        <v>55917</v>
      </c>
      <c r="Q21" s="13">
        <v>55917</v>
      </c>
      <c r="R21" s="13">
        <v>55917</v>
      </c>
      <c r="S21" s="13">
        <v>55917</v>
      </c>
      <c r="T21" s="13">
        <v>55917</v>
      </c>
      <c r="U21" s="13">
        <v>55917</v>
      </c>
      <c r="V21" s="13">
        <v>55917</v>
      </c>
      <c r="W21" s="13">
        <v>55917</v>
      </c>
      <c r="X21" s="13">
        <v>0</v>
      </c>
    </row>
    <row r="22" spans="2:26">
      <c r="B22" s="10" t="s">
        <v>1246</v>
      </c>
      <c r="C22" s="12"/>
      <c r="D22" s="3" t="s">
        <v>795</v>
      </c>
      <c r="F22" s="13">
        <v>3096</v>
      </c>
      <c r="G22" s="13">
        <v>422</v>
      </c>
      <c r="H22" s="13">
        <v>562</v>
      </c>
      <c r="I22" s="13">
        <v>1064</v>
      </c>
      <c r="J22" s="13">
        <v>7686</v>
      </c>
      <c r="K22" s="13">
        <v>8895</v>
      </c>
      <c r="L22" s="13">
        <v>13374</v>
      </c>
      <c r="M22" s="13">
        <v>13374</v>
      </c>
      <c r="N22" s="13">
        <v>15202</v>
      </c>
      <c r="O22" s="13">
        <v>15202</v>
      </c>
      <c r="P22" s="13">
        <v>68094</v>
      </c>
      <c r="Q22" s="13">
        <v>75764</v>
      </c>
      <c r="R22" s="13">
        <v>85034</v>
      </c>
      <c r="S22" s="13">
        <v>97582</v>
      </c>
      <c r="T22" s="13">
        <v>78049</v>
      </c>
      <c r="U22" s="13">
        <v>77814</v>
      </c>
      <c r="V22" s="13">
        <v>66350</v>
      </c>
      <c r="W22" s="13">
        <v>63086</v>
      </c>
      <c r="X22" s="13">
        <v>0</v>
      </c>
    </row>
    <row r="23" spans="2:26">
      <c r="B23" s="10" t="s">
        <v>6</v>
      </c>
      <c r="C23" s="12"/>
      <c r="D23" s="10" t="s">
        <v>738</v>
      </c>
      <c r="F23" s="13">
        <v>0</v>
      </c>
      <c r="G23" s="13">
        <v>1288</v>
      </c>
      <c r="H23" s="13">
        <v>56576</v>
      </c>
      <c r="I23" s="13">
        <v>2472</v>
      </c>
      <c r="J23" s="13">
        <v>0</v>
      </c>
      <c r="K23" s="13">
        <v>0</v>
      </c>
      <c r="L23" s="13">
        <v>0</v>
      </c>
      <c r="M23" s="13">
        <v>0</v>
      </c>
      <c r="N23" s="13">
        <v>0</v>
      </c>
      <c r="O23" s="13">
        <v>0</v>
      </c>
      <c r="P23" s="13">
        <v>0</v>
      </c>
      <c r="Q23" s="13">
        <v>0</v>
      </c>
      <c r="R23" s="13">
        <v>0</v>
      </c>
      <c r="S23" s="13">
        <v>0</v>
      </c>
      <c r="T23" s="13">
        <v>0</v>
      </c>
      <c r="U23" s="13">
        <v>0</v>
      </c>
      <c r="V23" s="13">
        <v>0</v>
      </c>
      <c r="W23" s="13">
        <v>0</v>
      </c>
      <c r="X23" s="13">
        <v>0</v>
      </c>
    </row>
    <row r="24" spans="2:26">
      <c r="B24" s="10" t="s">
        <v>7</v>
      </c>
      <c r="C24" s="12"/>
      <c r="D24" s="10" t="s">
        <v>699</v>
      </c>
      <c r="F24" s="13">
        <v>2062</v>
      </c>
      <c r="G24" s="13">
        <v>2126</v>
      </c>
      <c r="H24" s="13">
        <v>2311</v>
      </c>
      <c r="I24" s="13">
        <v>2298</v>
      </c>
      <c r="J24" s="13">
        <v>2588</v>
      </c>
      <c r="K24" s="13">
        <v>2588</v>
      </c>
      <c r="L24" s="13">
        <v>2445</v>
      </c>
      <c r="M24" s="13">
        <v>2839</v>
      </c>
      <c r="N24" s="13">
        <v>2475</v>
      </c>
      <c r="O24" s="13">
        <v>2678</v>
      </c>
      <c r="P24" s="13">
        <v>2608</v>
      </c>
      <c r="Q24" s="13">
        <v>0</v>
      </c>
      <c r="R24" s="13">
        <v>0</v>
      </c>
      <c r="S24" s="13">
        <v>0</v>
      </c>
      <c r="T24" s="13">
        <v>0</v>
      </c>
      <c r="U24" s="13">
        <v>0</v>
      </c>
      <c r="V24" s="13">
        <v>0</v>
      </c>
      <c r="W24" s="13">
        <v>0</v>
      </c>
      <c r="X24" s="13">
        <v>0</v>
      </c>
    </row>
    <row r="25" spans="2:26">
      <c r="B25" s="10" t="s">
        <v>8</v>
      </c>
      <c r="C25" s="12"/>
      <c r="D25" s="10" t="s">
        <v>697</v>
      </c>
      <c r="F25" s="13">
        <v>404</v>
      </c>
      <c r="G25" s="13">
        <v>383</v>
      </c>
      <c r="H25" s="13">
        <v>475</v>
      </c>
      <c r="I25" s="13">
        <v>468</v>
      </c>
      <c r="J25" s="13">
        <v>240</v>
      </c>
      <c r="K25" s="13">
        <v>274</v>
      </c>
      <c r="L25" s="13">
        <v>483</v>
      </c>
      <c r="M25" s="13">
        <v>5848</v>
      </c>
      <c r="N25" s="13">
        <v>2011</v>
      </c>
      <c r="O25" s="13">
        <v>1442</v>
      </c>
      <c r="P25" s="13">
        <v>836</v>
      </c>
      <c r="Q25" s="13">
        <v>5101</v>
      </c>
      <c r="R25" s="13">
        <v>5214</v>
      </c>
      <c r="S25" s="13">
        <v>5266</v>
      </c>
      <c r="T25" s="13">
        <v>5816</v>
      </c>
      <c r="U25" s="13">
        <v>5388</v>
      </c>
      <c r="V25" s="13">
        <v>7300</v>
      </c>
      <c r="W25" s="13">
        <v>47342</v>
      </c>
      <c r="X25" s="13">
        <v>0</v>
      </c>
    </row>
    <row r="26" spans="2:26">
      <c r="B26" s="10" t="s">
        <v>842</v>
      </c>
      <c r="C26" s="12"/>
      <c r="D26" s="10" t="s">
        <v>798</v>
      </c>
      <c r="F26" s="13">
        <v>0</v>
      </c>
      <c r="G26" s="13">
        <v>0</v>
      </c>
      <c r="H26" s="13">
        <v>3070</v>
      </c>
      <c r="I26" s="13">
        <v>98664</v>
      </c>
      <c r="J26" s="13">
        <v>187162</v>
      </c>
      <c r="K26" s="13">
        <v>222009</v>
      </c>
      <c r="L26" s="13">
        <v>222941</v>
      </c>
      <c r="M26" s="13">
        <v>290662</v>
      </c>
      <c r="N26" s="13">
        <v>285326</v>
      </c>
      <c r="O26" s="13">
        <v>166836</v>
      </c>
      <c r="P26" s="13">
        <v>167840</v>
      </c>
      <c r="Q26" s="13">
        <v>142088</v>
      </c>
      <c r="R26" s="13">
        <v>61968</v>
      </c>
      <c r="S26" s="13">
        <v>55524</v>
      </c>
      <c r="T26" s="13">
        <v>46370</v>
      </c>
      <c r="U26" s="13">
        <v>36160</v>
      </c>
      <c r="V26" s="13">
        <v>96308</v>
      </c>
      <c r="W26" s="13">
        <v>49711</v>
      </c>
      <c r="X26" s="13">
        <v>0</v>
      </c>
    </row>
    <row r="27" spans="2:26" ht="12" customHeight="1">
      <c r="B27" s="14" t="s">
        <v>678</v>
      </c>
      <c r="C27" s="15"/>
      <c r="D27" s="14" t="s">
        <v>799</v>
      </c>
      <c r="E27" s="1"/>
      <c r="F27" s="13">
        <v>418180</v>
      </c>
      <c r="G27" s="13">
        <v>1669633</v>
      </c>
      <c r="H27" s="13">
        <v>1604918</v>
      </c>
      <c r="I27" s="13">
        <v>1641888</v>
      </c>
      <c r="J27" s="13">
        <v>1615361</v>
      </c>
      <c r="K27" s="13">
        <v>1620045</v>
      </c>
      <c r="L27" s="13">
        <v>3360865</v>
      </c>
      <c r="M27" s="13">
        <v>3464455</v>
      </c>
      <c r="N27" s="13">
        <v>3671762</v>
      </c>
      <c r="O27" s="13">
        <v>3880955</v>
      </c>
      <c r="P27" s="13">
        <v>4129365</v>
      </c>
      <c r="Q27" s="13">
        <v>5101969</v>
      </c>
      <c r="R27" s="13">
        <v>5260304</v>
      </c>
      <c r="S27" s="13">
        <v>5351189</v>
      </c>
      <c r="T27" s="13">
        <v>5455889</v>
      </c>
      <c r="U27" s="13">
        <v>5469739</v>
      </c>
      <c r="V27" s="13">
        <v>5466627</v>
      </c>
      <c r="W27" s="13">
        <v>5461135</v>
      </c>
      <c r="X27" s="13">
        <v>0</v>
      </c>
    </row>
    <row r="28" spans="2:26">
      <c r="B28" s="14" t="s">
        <v>10</v>
      </c>
      <c r="C28" s="15"/>
      <c r="D28" s="14" t="s">
        <v>800</v>
      </c>
      <c r="E28" s="1"/>
      <c r="F28" s="13">
        <v>0</v>
      </c>
      <c r="G28" s="13">
        <v>27596</v>
      </c>
      <c r="H28" s="13">
        <v>20680</v>
      </c>
      <c r="I28" s="13">
        <v>18961</v>
      </c>
      <c r="J28" s="13">
        <v>18743</v>
      </c>
      <c r="K28" s="13">
        <v>13865</v>
      </c>
      <c r="L28" s="13">
        <v>12489</v>
      </c>
      <c r="M28" s="13">
        <v>14031</v>
      </c>
      <c r="N28" s="13">
        <v>16971</v>
      </c>
      <c r="O28" s="13">
        <v>14372</v>
      </c>
      <c r="P28" s="13">
        <v>27830</v>
      </c>
      <c r="Q28" s="13">
        <v>52311</v>
      </c>
      <c r="R28" s="13">
        <v>44372</v>
      </c>
      <c r="S28" s="13">
        <v>50822</v>
      </c>
      <c r="T28" s="13">
        <v>39712</v>
      </c>
      <c r="U28" s="13">
        <v>30553</v>
      </c>
      <c r="V28" s="13">
        <v>19037</v>
      </c>
      <c r="W28" s="13">
        <v>30668</v>
      </c>
      <c r="X28" s="13">
        <v>0</v>
      </c>
    </row>
    <row r="29" spans="2:26" ht="4.5" customHeight="1" thickBot="1">
      <c r="B29" s="14" t="s">
        <v>9</v>
      </c>
      <c r="C29" s="15"/>
      <c r="D29" s="14" t="s">
        <v>700</v>
      </c>
      <c r="E29" s="1"/>
      <c r="F29" s="11"/>
      <c r="G29" s="11"/>
      <c r="H29" s="11"/>
      <c r="J29" s="11"/>
      <c r="K29" s="11"/>
      <c r="L29" s="11"/>
    </row>
    <row r="30" spans="2:26" ht="15.75" thickBot="1">
      <c r="B30" s="28" t="s">
        <v>73</v>
      </c>
      <c r="C30" s="26"/>
      <c r="D30" s="28" t="s">
        <v>701</v>
      </c>
      <c r="E30" s="27"/>
      <c r="F30" s="40">
        <v>427019</v>
      </c>
      <c r="G30" s="40">
        <v>1711585</v>
      </c>
      <c r="H30" s="40">
        <v>1757189</v>
      </c>
      <c r="I30" s="40">
        <v>1840064</v>
      </c>
      <c r="J30" s="40">
        <v>1895449</v>
      </c>
      <c r="K30" s="40">
        <v>1936298</v>
      </c>
      <c r="L30" s="40">
        <v>3682586</v>
      </c>
      <c r="M30" s="40">
        <v>3866038</v>
      </c>
      <c r="N30" s="40">
        <f t="shared" ref="N30:S30" si="1">SUM(N20:N28)</f>
        <v>4075659</v>
      </c>
      <c r="O30" s="40">
        <f t="shared" si="1"/>
        <v>4108791</v>
      </c>
      <c r="P30" s="40">
        <f t="shared" si="1"/>
        <v>4452490</v>
      </c>
      <c r="Q30" s="40">
        <f t="shared" si="1"/>
        <v>5433150</v>
      </c>
      <c r="R30" s="40">
        <f t="shared" si="1"/>
        <v>5512809</v>
      </c>
      <c r="S30" s="40">
        <f t="shared" si="1"/>
        <v>5616300</v>
      </c>
      <c r="T30" s="40">
        <f>SUM(T20:T28)</f>
        <v>5681753</v>
      </c>
      <c r="U30" s="40">
        <f>SUM(U20:U28)</f>
        <v>5675571</v>
      </c>
      <c r="V30" s="40">
        <f>SUM(V20:V28)</f>
        <v>5711539</v>
      </c>
      <c r="W30" s="40">
        <f>SUM(W20:W28)</f>
        <v>5707859</v>
      </c>
      <c r="X30" s="40">
        <f>SUM(X20:X28)</f>
        <v>0</v>
      </c>
      <c r="Z30" s="348">
        <v>0</v>
      </c>
    </row>
    <row r="31" spans="2:26" ht="15.75" thickBot="1">
      <c r="B31" s="10"/>
      <c r="C31" s="12"/>
      <c r="D31" s="10"/>
      <c r="E31" s="1"/>
    </row>
    <row r="32" spans="2:26" s="1" customFormat="1" ht="15.75" thickBot="1">
      <c r="B32" s="28" t="s">
        <v>75</v>
      </c>
      <c r="C32" s="30"/>
      <c r="D32" s="28" t="s">
        <v>718</v>
      </c>
      <c r="E32" s="27"/>
      <c r="F32" s="41">
        <v>505903</v>
      </c>
      <c r="G32" s="41">
        <v>1863920</v>
      </c>
      <c r="H32" s="41">
        <v>2080173</v>
      </c>
      <c r="I32" s="41">
        <v>2133207</v>
      </c>
      <c r="J32" s="41">
        <v>3272268</v>
      </c>
      <c r="K32" s="41">
        <v>3312562</v>
      </c>
      <c r="L32" s="41">
        <v>4715393</v>
      </c>
      <c r="M32" s="41">
        <v>5047808</v>
      </c>
      <c r="N32" s="41">
        <f t="shared" ref="N32:S32" si="2">N17+N30</f>
        <v>6250950</v>
      </c>
      <c r="O32" s="41">
        <f t="shared" si="2"/>
        <v>6532051</v>
      </c>
      <c r="P32" s="41">
        <f t="shared" si="2"/>
        <v>6585094</v>
      </c>
      <c r="Q32" s="41">
        <f t="shared" si="2"/>
        <v>6902165</v>
      </c>
      <c r="R32" s="41">
        <f t="shared" si="2"/>
        <v>6767583</v>
      </c>
      <c r="S32" s="41">
        <f t="shared" si="2"/>
        <v>6912653</v>
      </c>
      <c r="T32" s="41">
        <f>T17+T30</f>
        <v>6829184</v>
      </c>
      <c r="U32" s="41">
        <f>U17+U30</f>
        <v>6885124</v>
      </c>
      <c r="V32" s="41">
        <f>V17+V30</f>
        <v>7872736</v>
      </c>
      <c r="W32" s="41">
        <f>W17+W30</f>
        <v>7708991</v>
      </c>
      <c r="X32" s="41">
        <f>X17+X30</f>
        <v>0</v>
      </c>
      <c r="Z32" s="348">
        <v>0</v>
      </c>
    </row>
    <row r="33" spans="2:24">
      <c r="B33" s="10"/>
      <c r="C33" s="12"/>
      <c r="D33" s="10"/>
      <c r="E33" s="1"/>
    </row>
    <row r="34" spans="2:24">
      <c r="B34" s="31" t="s">
        <v>74</v>
      </c>
      <c r="C34" s="32"/>
      <c r="D34" s="31" t="s">
        <v>802</v>
      </c>
      <c r="E34" s="29"/>
      <c r="F34" s="32"/>
      <c r="G34" s="32"/>
      <c r="H34" s="32"/>
      <c r="I34" s="32"/>
      <c r="J34" s="32"/>
      <c r="K34" s="32"/>
      <c r="L34" s="32"/>
      <c r="M34" s="181"/>
      <c r="N34" s="181"/>
      <c r="O34" s="181"/>
      <c r="P34" s="181"/>
      <c r="Q34" s="181"/>
      <c r="R34" s="181"/>
      <c r="S34" s="181"/>
      <c r="T34" s="181"/>
      <c r="U34" s="181"/>
      <c r="V34" s="181"/>
      <c r="W34" s="181"/>
      <c r="X34" s="181"/>
    </row>
    <row r="35" spans="2:24" ht="6.75" customHeight="1">
      <c r="C35" s="12"/>
      <c r="F35" s="5"/>
      <c r="G35" s="5"/>
      <c r="H35" s="6"/>
      <c r="I35" s="6"/>
      <c r="J35" s="6"/>
      <c r="K35" s="6"/>
      <c r="L35" s="6"/>
      <c r="M35" s="6"/>
      <c r="N35" s="6"/>
      <c r="O35" s="6"/>
      <c r="P35" s="6"/>
      <c r="Q35" s="6"/>
      <c r="R35" s="6"/>
      <c r="S35" s="6"/>
      <c r="T35" s="6"/>
      <c r="U35" s="6"/>
      <c r="V35" s="6"/>
      <c r="W35" s="6"/>
      <c r="X35" s="6"/>
    </row>
    <row r="36" spans="2:24">
      <c r="B36" s="7" t="s">
        <v>70</v>
      </c>
      <c r="C36" s="12"/>
      <c r="D36" s="7" t="s">
        <v>801</v>
      </c>
      <c r="E36" s="1"/>
      <c r="F36" s="8"/>
      <c r="G36" s="8"/>
      <c r="H36" s="8"/>
      <c r="I36" s="8"/>
      <c r="J36" s="8"/>
      <c r="K36" s="8"/>
      <c r="L36" s="8"/>
      <c r="M36" s="8"/>
      <c r="N36" s="8"/>
      <c r="O36" s="8"/>
      <c r="P36" s="8"/>
      <c r="Q36" s="8"/>
      <c r="R36" s="8"/>
      <c r="S36" s="8"/>
      <c r="T36" s="8"/>
      <c r="U36" s="8"/>
      <c r="V36" s="8"/>
      <c r="W36" s="8"/>
      <c r="X36" s="8"/>
    </row>
    <row r="37" spans="2:24">
      <c r="B37" s="10" t="s">
        <v>11</v>
      </c>
      <c r="C37" s="12"/>
      <c r="D37" s="10" t="s">
        <v>702</v>
      </c>
      <c r="E37" s="1"/>
      <c r="F37" s="13">
        <v>32540</v>
      </c>
      <c r="G37" s="13">
        <v>42515</v>
      </c>
      <c r="H37" s="13">
        <v>80089</v>
      </c>
      <c r="I37" s="13">
        <v>85397</v>
      </c>
      <c r="J37" s="13">
        <v>81808</v>
      </c>
      <c r="K37" s="13">
        <v>65658</v>
      </c>
      <c r="L37" s="13">
        <v>98708</v>
      </c>
      <c r="M37" s="13">
        <v>153583</v>
      </c>
      <c r="N37" s="13">
        <v>190036</v>
      </c>
      <c r="O37" s="13">
        <v>273068</v>
      </c>
      <c r="P37" s="13">
        <v>352152</v>
      </c>
      <c r="Q37" s="13">
        <v>417994</v>
      </c>
      <c r="R37" s="13">
        <v>374827</v>
      </c>
      <c r="S37" s="13">
        <v>370092</v>
      </c>
      <c r="T37" s="13">
        <v>254010</v>
      </c>
      <c r="U37" s="13">
        <v>215748</v>
      </c>
      <c r="V37" s="13">
        <v>233373</v>
      </c>
      <c r="W37" s="13">
        <v>259128</v>
      </c>
      <c r="X37" s="13">
        <v>0</v>
      </c>
    </row>
    <row r="38" spans="2:24">
      <c r="B38" s="10" t="s">
        <v>12</v>
      </c>
      <c r="C38" s="12"/>
      <c r="D38" s="10" t="s">
        <v>805</v>
      </c>
      <c r="E38" s="1"/>
      <c r="F38" s="13">
        <v>11142</v>
      </c>
      <c r="G38" s="13">
        <v>13839</v>
      </c>
      <c r="H38" s="13">
        <v>16065</v>
      </c>
      <c r="I38" s="13">
        <v>19765</v>
      </c>
      <c r="J38" s="13">
        <v>23028</v>
      </c>
      <c r="K38" s="13">
        <v>28402</v>
      </c>
      <c r="L38" s="13">
        <v>30563</v>
      </c>
      <c r="M38" s="13">
        <v>41875</v>
      </c>
      <c r="N38" s="13">
        <v>38412</v>
      </c>
      <c r="O38" s="13">
        <v>51180</v>
      </c>
      <c r="P38" s="13">
        <v>60848</v>
      </c>
      <c r="Q38" s="13">
        <v>72458</v>
      </c>
      <c r="R38" s="13">
        <v>63289</v>
      </c>
      <c r="S38" s="13">
        <v>80290</v>
      </c>
      <c r="T38" s="13">
        <v>86647</v>
      </c>
      <c r="U38" s="13">
        <v>79495</v>
      </c>
      <c r="V38" s="13">
        <v>74351</v>
      </c>
      <c r="W38" s="13">
        <v>91659</v>
      </c>
      <c r="X38" s="13">
        <v>0</v>
      </c>
    </row>
    <row r="39" spans="2:24">
      <c r="B39" s="10" t="s">
        <v>13</v>
      </c>
      <c r="C39" s="12"/>
      <c r="D39" s="3" t="s">
        <v>795</v>
      </c>
      <c r="E39" s="1"/>
      <c r="F39" s="13">
        <v>6830</v>
      </c>
      <c r="G39" s="13">
        <v>16641</v>
      </c>
      <c r="H39" s="13">
        <v>22762</v>
      </c>
      <c r="I39" s="13">
        <v>34835</v>
      </c>
      <c r="J39" s="13">
        <v>54253</v>
      </c>
      <c r="K39" s="13">
        <v>51170</v>
      </c>
      <c r="L39" s="13">
        <v>66995</v>
      </c>
      <c r="M39" s="13">
        <v>124939</v>
      </c>
      <c r="N39" s="13">
        <v>123668</v>
      </c>
      <c r="O39" s="13">
        <v>146004</v>
      </c>
      <c r="P39" s="13">
        <v>124275</v>
      </c>
      <c r="Q39" s="13">
        <v>119903</v>
      </c>
      <c r="R39" s="13">
        <v>86136</v>
      </c>
      <c r="S39" s="13">
        <v>64924</v>
      </c>
      <c r="T39" s="13">
        <v>49537</v>
      </c>
      <c r="U39" s="13">
        <v>59146</v>
      </c>
      <c r="V39" s="13">
        <v>41161</v>
      </c>
      <c r="W39" s="13">
        <v>63691</v>
      </c>
      <c r="X39" s="13">
        <v>0</v>
      </c>
    </row>
    <row r="40" spans="2:24">
      <c r="B40" s="10" t="s">
        <v>14</v>
      </c>
      <c r="C40" s="12"/>
      <c r="D40" s="10" t="s">
        <v>704</v>
      </c>
      <c r="E40" s="1"/>
      <c r="F40" s="13">
        <v>1183</v>
      </c>
      <c r="G40" s="13">
        <v>35320</v>
      </c>
      <c r="H40" s="13">
        <v>212931</v>
      </c>
      <c r="I40" s="13">
        <v>294175</v>
      </c>
      <c r="J40" s="13">
        <v>261795</v>
      </c>
      <c r="K40" s="13">
        <v>268087</v>
      </c>
      <c r="L40" s="13">
        <v>281762</v>
      </c>
      <c r="M40" s="13">
        <v>251762</v>
      </c>
      <c r="N40" s="13">
        <v>282996</v>
      </c>
      <c r="O40" s="13">
        <v>2205</v>
      </c>
      <c r="P40" s="13">
        <v>14011</v>
      </c>
      <c r="Q40" s="13">
        <v>49352</v>
      </c>
      <c r="R40" s="13">
        <v>59608</v>
      </c>
      <c r="S40" s="13">
        <v>115535</v>
      </c>
      <c r="T40" s="13">
        <v>142772</v>
      </c>
      <c r="U40" s="13">
        <v>149689</v>
      </c>
      <c r="V40" s="13">
        <v>201755</v>
      </c>
      <c r="W40" s="13">
        <v>96683</v>
      </c>
      <c r="X40" s="13">
        <v>0</v>
      </c>
    </row>
    <row r="41" spans="2:24">
      <c r="B41" s="10" t="s">
        <v>1247</v>
      </c>
      <c r="C41" s="12"/>
      <c r="D41" s="10" t="s">
        <v>1248</v>
      </c>
      <c r="E41" s="13">
        <v>0</v>
      </c>
      <c r="F41" s="13">
        <v>0</v>
      </c>
      <c r="G41" s="13">
        <v>0</v>
      </c>
      <c r="H41" s="13">
        <v>0</v>
      </c>
      <c r="I41" s="13">
        <v>0</v>
      </c>
      <c r="J41" s="13">
        <v>0</v>
      </c>
      <c r="K41" s="13">
        <v>0</v>
      </c>
      <c r="L41" s="13">
        <v>0</v>
      </c>
      <c r="M41" s="13">
        <v>0</v>
      </c>
      <c r="N41" s="13">
        <v>0</v>
      </c>
      <c r="O41" s="13">
        <v>0</v>
      </c>
      <c r="P41" s="13">
        <v>0</v>
      </c>
      <c r="Q41" s="13">
        <v>0</v>
      </c>
      <c r="R41" s="13">
        <v>0</v>
      </c>
      <c r="S41" s="13">
        <v>0</v>
      </c>
      <c r="T41" s="13">
        <v>0</v>
      </c>
      <c r="U41" s="13">
        <v>0</v>
      </c>
      <c r="V41" s="13">
        <v>2417</v>
      </c>
      <c r="W41" s="13">
        <v>28316</v>
      </c>
      <c r="X41" s="13">
        <v>0</v>
      </c>
    </row>
    <row r="42" spans="2:24">
      <c r="B42" s="10" t="s">
        <v>15</v>
      </c>
      <c r="C42" s="12"/>
      <c r="D42" s="10" t="s">
        <v>806</v>
      </c>
      <c r="E42" s="1"/>
      <c r="F42" s="13">
        <v>509</v>
      </c>
      <c r="G42" s="13">
        <v>15060.974758877754</v>
      </c>
      <c r="H42" s="13">
        <v>15241</v>
      </c>
      <c r="I42" s="13">
        <v>15269</v>
      </c>
      <c r="J42" s="13">
        <v>17098</v>
      </c>
      <c r="K42" s="13">
        <v>11782</v>
      </c>
      <c r="L42" s="13">
        <v>10486</v>
      </c>
      <c r="M42" s="13">
        <v>11364</v>
      </c>
      <c r="N42" s="13">
        <v>11945</v>
      </c>
      <c r="O42" s="13">
        <v>10740</v>
      </c>
      <c r="P42" s="13">
        <v>20382</v>
      </c>
      <c r="Q42" s="13">
        <v>29595</v>
      </c>
      <c r="R42" s="13">
        <v>25608</v>
      </c>
      <c r="S42" s="13">
        <v>40798</v>
      </c>
      <c r="T42" s="13">
        <v>32887</v>
      </c>
      <c r="U42" s="13">
        <v>20440</v>
      </c>
      <c r="V42" s="13">
        <v>11225</v>
      </c>
      <c r="W42" s="13">
        <v>24834</v>
      </c>
      <c r="X42" s="13">
        <v>0</v>
      </c>
    </row>
    <row r="43" spans="2:24">
      <c r="B43" s="10" t="s">
        <v>16</v>
      </c>
      <c r="C43" s="12"/>
      <c r="D43" s="10" t="s">
        <v>738</v>
      </c>
      <c r="E43" s="1"/>
      <c r="F43" s="13">
        <v>0</v>
      </c>
      <c r="G43" s="13">
        <v>1042</v>
      </c>
      <c r="H43" s="13">
        <v>0</v>
      </c>
      <c r="I43" s="13">
        <v>37137</v>
      </c>
      <c r="J43" s="13">
        <v>151685</v>
      </c>
      <c r="K43" s="13">
        <v>211860</v>
      </c>
      <c r="L43" s="13">
        <v>231125</v>
      </c>
      <c r="M43" s="13">
        <v>405828</v>
      </c>
      <c r="N43" s="13">
        <v>461229</v>
      </c>
      <c r="O43" s="13">
        <v>277828</v>
      </c>
      <c r="P43" s="13">
        <v>285183</v>
      </c>
      <c r="Q43" s="13">
        <v>218798</v>
      </c>
      <c r="R43" s="13">
        <v>142384</v>
      </c>
      <c r="S43" s="13">
        <v>205405</v>
      </c>
      <c r="T43" s="13">
        <v>99478</v>
      </c>
      <c r="U43" s="13">
        <v>81575</v>
      </c>
      <c r="V43" s="13">
        <v>54227</v>
      </c>
      <c r="W43" s="13">
        <v>5233</v>
      </c>
      <c r="X43" s="13">
        <v>0</v>
      </c>
    </row>
    <row r="44" spans="2:24">
      <c r="B44" s="10" t="s">
        <v>922</v>
      </c>
      <c r="C44" s="12"/>
      <c r="D44" s="10" t="s">
        <v>705</v>
      </c>
      <c r="E44" s="1"/>
      <c r="F44" s="13">
        <v>2</v>
      </c>
      <c r="G44" s="13">
        <v>12896</v>
      </c>
      <c r="H44" s="13">
        <v>2</v>
      </c>
      <c r="I44" s="13">
        <v>2</v>
      </c>
      <c r="J44" s="13">
        <v>2</v>
      </c>
      <c r="K44" s="13">
        <v>2</v>
      </c>
      <c r="L44" s="13">
        <v>40566</v>
      </c>
      <c r="M44" s="13">
        <v>40566</v>
      </c>
      <c r="N44" s="13">
        <v>880</v>
      </c>
      <c r="O44" s="13">
        <v>8</v>
      </c>
      <c r="P44" s="13">
        <v>106416</v>
      </c>
      <c r="Q44" s="13">
        <v>106416</v>
      </c>
      <c r="R44" s="13">
        <v>0</v>
      </c>
      <c r="S44" s="13">
        <v>0</v>
      </c>
      <c r="T44" s="13">
        <v>17359</v>
      </c>
      <c r="U44" s="13">
        <v>17359</v>
      </c>
      <c r="V44" s="13">
        <v>2</v>
      </c>
      <c r="W44" s="13">
        <v>0</v>
      </c>
      <c r="X44" s="13">
        <v>0</v>
      </c>
    </row>
    <row r="45" spans="2:24">
      <c r="B45" s="10" t="s">
        <v>1092</v>
      </c>
      <c r="C45" s="12"/>
      <c r="D45" s="10" t="s">
        <v>706</v>
      </c>
      <c r="E45" s="1"/>
      <c r="F45" s="13">
        <v>0</v>
      </c>
      <c r="G45" s="13">
        <v>0</v>
      </c>
      <c r="H45" s="13">
        <v>0</v>
      </c>
      <c r="I45" s="13">
        <v>0</v>
      </c>
      <c r="J45" s="13">
        <v>0</v>
      </c>
      <c r="K45" s="13">
        <v>0</v>
      </c>
      <c r="L45" s="13">
        <v>453318</v>
      </c>
      <c r="M45" s="13">
        <v>389697</v>
      </c>
      <c r="N45" s="13">
        <v>539173</v>
      </c>
      <c r="O45" s="13">
        <v>502377</v>
      </c>
      <c r="P45" s="13">
        <v>405886</v>
      </c>
      <c r="Q45" s="13">
        <v>650086</v>
      </c>
      <c r="R45" s="13">
        <v>616305</v>
      </c>
      <c r="S45" s="13">
        <v>247866</v>
      </c>
      <c r="T45" s="13">
        <v>340256</v>
      </c>
      <c r="U45" s="13">
        <v>516488</v>
      </c>
      <c r="V45" s="13">
        <v>422647</v>
      </c>
      <c r="W45" s="13">
        <v>415068</v>
      </c>
      <c r="X45" s="13">
        <v>0</v>
      </c>
    </row>
    <row r="46" spans="2:24">
      <c r="B46" s="10" t="s">
        <v>17</v>
      </c>
      <c r="C46" s="12"/>
      <c r="D46" s="10" t="s">
        <v>741</v>
      </c>
      <c r="E46" s="1"/>
      <c r="F46" s="13">
        <v>0</v>
      </c>
      <c r="G46" s="13">
        <v>4489</v>
      </c>
      <c r="H46" s="13">
        <v>6301</v>
      </c>
      <c r="I46" s="13">
        <v>6301</v>
      </c>
      <c r="J46" s="13">
        <v>6301</v>
      </c>
      <c r="K46" s="13">
        <v>6301</v>
      </c>
      <c r="L46" s="13">
        <v>419</v>
      </c>
      <c r="M46" s="13">
        <v>419</v>
      </c>
      <c r="N46" s="13">
        <v>419</v>
      </c>
      <c r="O46" s="13">
        <v>419</v>
      </c>
      <c r="P46" s="13">
        <v>9724</v>
      </c>
      <c r="Q46" s="13">
        <v>12077</v>
      </c>
      <c r="R46" s="13">
        <v>12102</v>
      </c>
      <c r="S46" s="13">
        <v>12102</v>
      </c>
      <c r="T46" s="13">
        <v>8202</v>
      </c>
      <c r="U46" s="13">
        <v>6475</v>
      </c>
      <c r="V46" s="13">
        <v>6268</v>
      </c>
      <c r="W46" s="13">
        <v>4806</v>
      </c>
      <c r="X46" s="13">
        <v>0</v>
      </c>
    </row>
    <row r="47" spans="2:24">
      <c r="B47" s="10" t="s">
        <v>18</v>
      </c>
      <c r="C47" s="12"/>
      <c r="D47" s="10" t="s">
        <v>807</v>
      </c>
      <c r="E47" s="1"/>
      <c r="F47" s="13">
        <v>21</v>
      </c>
      <c r="G47" s="13">
        <v>390</v>
      </c>
      <c r="H47" s="13">
        <v>1170</v>
      </c>
      <c r="I47" s="13">
        <v>467</v>
      </c>
      <c r="J47" s="13">
        <v>76</v>
      </c>
      <c r="K47" s="13">
        <v>18209</v>
      </c>
      <c r="L47" s="13">
        <v>30588</v>
      </c>
      <c r="M47" s="13">
        <v>30912</v>
      </c>
      <c r="N47" s="13">
        <v>43417</v>
      </c>
      <c r="O47" s="13">
        <v>66866</v>
      </c>
      <c r="P47" s="13">
        <v>12490</v>
      </c>
      <c r="Q47" s="13">
        <v>12111</v>
      </c>
      <c r="R47" s="13">
        <v>16581</v>
      </c>
      <c r="S47" s="13">
        <v>22284</v>
      </c>
      <c r="T47" s="13">
        <v>34712</v>
      </c>
      <c r="U47" s="13">
        <v>8165</v>
      </c>
      <c r="V47" s="13">
        <v>25171</v>
      </c>
      <c r="W47" s="13">
        <v>21149</v>
      </c>
      <c r="X47" s="13">
        <v>0</v>
      </c>
    </row>
    <row r="48" spans="2:24" ht="4.5" customHeight="1" thickBot="1">
      <c r="B48" s="10"/>
      <c r="C48" s="15"/>
      <c r="D48" s="10"/>
      <c r="E48" s="1"/>
      <c r="F48" s="11"/>
      <c r="G48" s="11"/>
      <c r="H48" s="11"/>
      <c r="I48" s="11"/>
      <c r="J48" s="11"/>
      <c r="K48" s="11"/>
      <c r="L48" s="11"/>
      <c r="M48" s="11"/>
      <c r="N48" s="11"/>
      <c r="O48" s="11"/>
      <c r="P48" s="11"/>
      <c r="Q48" s="11"/>
      <c r="R48" s="11"/>
      <c r="S48" s="11"/>
      <c r="T48" s="11"/>
      <c r="U48" s="11"/>
      <c r="V48" s="11"/>
      <c r="W48" s="11"/>
      <c r="X48" s="11"/>
    </row>
    <row r="49" spans="2:26" ht="15.75" thickBot="1">
      <c r="B49" s="28" t="s">
        <v>79</v>
      </c>
      <c r="C49" s="26"/>
      <c r="D49" s="28" t="s">
        <v>708</v>
      </c>
      <c r="E49" s="27"/>
      <c r="F49" s="40">
        <v>52227</v>
      </c>
      <c r="G49" s="40">
        <v>142192.97475887777</v>
      </c>
      <c r="H49" s="40">
        <v>354561</v>
      </c>
      <c r="I49" s="40">
        <v>493348</v>
      </c>
      <c r="J49" s="40">
        <v>596046</v>
      </c>
      <c r="K49" s="40">
        <v>661471</v>
      </c>
      <c r="L49" s="40">
        <v>1244530</v>
      </c>
      <c r="M49" s="40">
        <v>1450945</v>
      </c>
      <c r="N49" s="40">
        <v>1692175</v>
      </c>
      <c r="O49" s="40">
        <f t="shared" ref="O49:X49" si="3">SUM(O37:O47)</f>
        <v>1330695</v>
      </c>
      <c r="P49" s="40">
        <f t="shared" si="3"/>
        <v>1391367</v>
      </c>
      <c r="Q49" s="40">
        <f t="shared" si="3"/>
        <v>1688790</v>
      </c>
      <c r="R49" s="40">
        <f t="shared" si="3"/>
        <v>1396840</v>
      </c>
      <c r="S49" s="40">
        <f t="shared" si="3"/>
        <v>1159296</v>
      </c>
      <c r="T49" s="40">
        <f t="shared" si="3"/>
        <v>1065860</v>
      </c>
      <c r="U49" s="40">
        <f t="shared" si="3"/>
        <v>1154580</v>
      </c>
      <c r="V49" s="40">
        <f t="shared" si="3"/>
        <v>1072597</v>
      </c>
      <c r="W49" s="40">
        <f t="shared" si="3"/>
        <v>1010567</v>
      </c>
      <c r="X49" s="40">
        <f t="shared" si="3"/>
        <v>0</v>
      </c>
      <c r="Z49" s="348">
        <v>0</v>
      </c>
    </row>
    <row r="50" spans="2:26">
      <c r="C50" s="12"/>
      <c r="F50" s="5"/>
      <c r="G50" s="5"/>
      <c r="H50" s="6"/>
      <c r="I50" s="6"/>
      <c r="J50" s="6"/>
      <c r="K50" s="6"/>
      <c r="L50" s="6"/>
      <c r="M50" s="6"/>
      <c r="N50" s="6"/>
      <c r="O50" s="6"/>
      <c r="P50" s="6"/>
      <c r="Q50" s="6"/>
      <c r="R50" s="6"/>
      <c r="S50" s="6"/>
      <c r="T50" s="6"/>
      <c r="U50" s="6"/>
      <c r="V50" s="6"/>
      <c r="W50" s="6"/>
      <c r="X50" s="6"/>
    </row>
    <row r="51" spans="2:26">
      <c r="B51" s="7" t="s">
        <v>72</v>
      </c>
      <c r="C51" s="12"/>
      <c r="D51" s="7" t="s">
        <v>803</v>
      </c>
      <c r="E51" s="1"/>
      <c r="F51" s="8"/>
      <c r="G51" s="8"/>
      <c r="H51" s="8"/>
      <c r="I51" s="8"/>
      <c r="J51" s="8"/>
      <c r="K51" s="8"/>
      <c r="L51" s="8"/>
      <c r="M51" s="8"/>
      <c r="N51" s="8"/>
      <c r="O51" s="8"/>
      <c r="P51" s="8"/>
      <c r="Q51" s="8"/>
      <c r="R51" s="8"/>
      <c r="S51" s="8"/>
      <c r="T51" s="8"/>
      <c r="U51" s="8"/>
      <c r="V51" s="8"/>
      <c r="W51" s="8"/>
      <c r="X51" s="8"/>
    </row>
    <row r="52" spans="2:26">
      <c r="B52" s="10" t="s">
        <v>1250</v>
      </c>
      <c r="C52" s="12"/>
      <c r="D52" s="10" t="s">
        <v>702</v>
      </c>
      <c r="E52" s="1"/>
      <c r="F52" s="13">
        <v>0</v>
      </c>
      <c r="G52" s="13">
        <v>0</v>
      </c>
      <c r="H52" s="13">
        <v>0</v>
      </c>
      <c r="I52" s="13">
        <v>0</v>
      </c>
      <c r="J52" s="13">
        <v>0</v>
      </c>
      <c r="K52" s="13">
        <v>0</v>
      </c>
      <c r="L52" s="13">
        <v>0</v>
      </c>
      <c r="M52" s="13">
        <v>0</v>
      </c>
      <c r="N52" s="13">
        <v>0</v>
      </c>
      <c r="O52" s="13">
        <v>0</v>
      </c>
      <c r="P52" s="13">
        <v>0</v>
      </c>
      <c r="Q52" s="13">
        <v>0</v>
      </c>
      <c r="R52" s="13">
        <v>0</v>
      </c>
      <c r="S52" s="13">
        <v>0</v>
      </c>
      <c r="T52" s="13">
        <v>130476</v>
      </c>
      <c r="U52" s="13">
        <v>130476</v>
      </c>
      <c r="V52" s="13">
        <v>130476</v>
      </c>
      <c r="W52" s="13">
        <v>130476</v>
      </c>
      <c r="X52" s="13">
        <v>0</v>
      </c>
    </row>
    <row r="53" spans="2:26">
      <c r="B53" s="10" t="s">
        <v>1251</v>
      </c>
      <c r="C53" s="12"/>
      <c r="D53" s="10" t="s">
        <v>808</v>
      </c>
      <c r="E53" s="1"/>
      <c r="F53" s="13">
        <v>4308</v>
      </c>
      <c r="G53" s="13">
        <v>708699</v>
      </c>
      <c r="H53" s="13">
        <v>681109</v>
      </c>
      <c r="I53" s="13">
        <v>695443</v>
      </c>
      <c r="J53" s="13">
        <v>543188</v>
      </c>
      <c r="K53" s="13">
        <v>519872</v>
      </c>
      <c r="L53" s="13">
        <v>459529</v>
      </c>
      <c r="M53" s="13">
        <v>327079</v>
      </c>
      <c r="N53" s="13">
        <v>290474</v>
      </c>
      <c r="O53" s="13">
        <v>665134</v>
      </c>
      <c r="P53" s="13">
        <v>641570</v>
      </c>
      <c r="Q53" s="13">
        <v>578870</v>
      </c>
      <c r="R53" s="13">
        <v>549007</v>
      </c>
      <c r="S53" s="13">
        <v>804025</v>
      </c>
      <c r="T53" s="13">
        <v>760208</v>
      </c>
      <c r="U53" s="13">
        <v>723130</v>
      </c>
      <c r="V53" s="13">
        <v>787315</v>
      </c>
      <c r="W53" s="13">
        <v>480973</v>
      </c>
      <c r="X53" s="13">
        <v>0</v>
      </c>
    </row>
    <row r="54" spans="2:26">
      <c r="B54" s="10" t="s">
        <v>1249</v>
      </c>
      <c r="C54" s="12"/>
      <c r="D54" s="10"/>
      <c r="E54" s="1"/>
      <c r="F54" s="13"/>
      <c r="G54" s="13"/>
      <c r="H54" s="13"/>
      <c r="I54" s="13"/>
      <c r="J54" s="13"/>
      <c r="K54" s="13"/>
      <c r="L54" s="13"/>
      <c r="M54" s="13"/>
      <c r="N54" s="13"/>
      <c r="O54" s="13"/>
      <c r="P54" s="13"/>
      <c r="Q54" s="13"/>
      <c r="R54" s="13"/>
      <c r="S54" s="13"/>
      <c r="T54" s="13"/>
      <c r="U54" s="13"/>
      <c r="V54" s="13">
        <v>1104903</v>
      </c>
      <c r="W54" s="13">
        <v>1111002</v>
      </c>
      <c r="X54" s="13">
        <v>0</v>
      </c>
    </row>
    <row r="55" spans="2:26">
      <c r="B55" s="10" t="s">
        <v>1252</v>
      </c>
      <c r="C55" s="12"/>
      <c r="D55" s="10" t="s">
        <v>806</v>
      </c>
      <c r="E55" s="1"/>
      <c r="F55" s="13">
        <v>834</v>
      </c>
      <c r="G55" s="13">
        <v>11067.025241122246</v>
      </c>
      <c r="H55" s="13">
        <v>7646</v>
      </c>
      <c r="I55" s="13">
        <v>5841</v>
      </c>
      <c r="J55" s="13">
        <v>3263</v>
      </c>
      <c r="K55" s="13">
        <v>2816</v>
      </c>
      <c r="L55" s="13">
        <v>2421</v>
      </c>
      <c r="M55" s="13">
        <v>3266</v>
      </c>
      <c r="N55" s="13">
        <v>4861</v>
      </c>
      <c r="O55" s="13">
        <v>3423</v>
      </c>
      <c r="P55" s="13">
        <v>7112</v>
      </c>
      <c r="Q55" s="13">
        <v>19502</v>
      </c>
      <c r="R55" s="13">
        <v>15903</v>
      </c>
      <c r="S55" s="13">
        <v>12883</v>
      </c>
      <c r="T55" s="13">
        <v>10570</v>
      </c>
      <c r="U55" s="13">
        <v>9307</v>
      </c>
      <c r="V55" s="13">
        <v>7303</v>
      </c>
      <c r="W55" s="13">
        <v>5908</v>
      </c>
      <c r="X55" s="13">
        <v>0</v>
      </c>
    </row>
    <row r="56" spans="2:26">
      <c r="B56" s="10" t="s">
        <v>13</v>
      </c>
      <c r="C56" s="12"/>
      <c r="D56" s="10" t="s">
        <v>852</v>
      </c>
      <c r="E56" s="1"/>
      <c r="F56" s="13">
        <v>0</v>
      </c>
      <c r="G56" s="13">
        <v>0</v>
      </c>
      <c r="H56" s="13">
        <v>0</v>
      </c>
      <c r="I56" s="13">
        <v>0</v>
      </c>
      <c r="J56" s="13">
        <v>0</v>
      </c>
      <c r="K56" s="13">
        <v>0</v>
      </c>
      <c r="L56" s="13">
        <v>0</v>
      </c>
      <c r="M56" s="13">
        <v>0</v>
      </c>
      <c r="N56" s="13">
        <v>2116</v>
      </c>
      <c r="O56" s="13">
        <v>3290</v>
      </c>
      <c r="P56" s="13">
        <v>6112</v>
      </c>
      <c r="Q56" s="13">
        <v>6748</v>
      </c>
      <c r="R56" s="13">
        <v>2211</v>
      </c>
      <c r="S56" s="13">
        <v>3355</v>
      </c>
      <c r="T56" s="13">
        <v>0</v>
      </c>
      <c r="U56" s="13">
        <v>0</v>
      </c>
      <c r="V56" s="13">
        <v>0</v>
      </c>
      <c r="W56" s="13">
        <v>0</v>
      </c>
      <c r="X56" s="13">
        <v>0</v>
      </c>
    </row>
    <row r="57" spans="2:26">
      <c r="B57" s="10" t="s">
        <v>1253</v>
      </c>
      <c r="C57" s="12"/>
      <c r="D57" s="10" t="s">
        <v>738</v>
      </c>
      <c r="E57" s="1"/>
      <c r="F57" s="13">
        <v>0</v>
      </c>
      <c r="G57" s="13">
        <v>6079</v>
      </c>
      <c r="H57" s="13">
        <v>17886</v>
      </c>
      <c r="I57" s="13">
        <v>89836</v>
      </c>
      <c r="J57" s="13">
        <v>196645</v>
      </c>
      <c r="K57" s="13">
        <v>236619</v>
      </c>
      <c r="L57" s="13">
        <v>233559</v>
      </c>
      <c r="M57" s="13">
        <v>347494</v>
      </c>
      <c r="N57" s="13">
        <v>302214</v>
      </c>
      <c r="O57" s="13">
        <v>119329</v>
      </c>
      <c r="P57" s="13">
        <v>102409</v>
      </c>
      <c r="Q57" s="13">
        <v>41152</v>
      </c>
      <c r="R57" s="13">
        <v>19635</v>
      </c>
      <c r="S57" s="13">
        <v>7932</v>
      </c>
      <c r="T57" s="13">
        <v>0</v>
      </c>
      <c r="U57" s="13">
        <v>0</v>
      </c>
      <c r="V57" s="13">
        <v>135529</v>
      </c>
      <c r="W57" s="13">
        <v>142883</v>
      </c>
      <c r="X57" s="13">
        <v>0</v>
      </c>
    </row>
    <row r="58" spans="2:26">
      <c r="B58" s="10" t="s">
        <v>842</v>
      </c>
      <c r="C58" s="12"/>
      <c r="D58" s="10" t="s">
        <v>843</v>
      </c>
      <c r="E58" s="1"/>
      <c r="F58" s="13">
        <v>13926</v>
      </c>
      <c r="G58" s="13">
        <v>5815</v>
      </c>
      <c r="H58" s="13">
        <v>0</v>
      </c>
      <c r="I58" s="13">
        <v>0</v>
      </c>
      <c r="J58" s="13">
        <v>0</v>
      </c>
      <c r="K58" s="13">
        <v>0</v>
      </c>
      <c r="L58" s="13">
        <v>5672</v>
      </c>
      <c r="M58" s="13">
        <v>52992</v>
      </c>
      <c r="N58" s="13">
        <v>23952</v>
      </c>
      <c r="O58" s="13">
        <v>2340</v>
      </c>
      <c r="P58" s="13">
        <v>6023</v>
      </c>
      <c r="Q58" s="13">
        <v>0</v>
      </c>
      <c r="R58" s="13">
        <v>11797</v>
      </c>
      <c r="S58" s="13">
        <v>20947</v>
      </c>
      <c r="T58" s="13">
        <v>0</v>
      </c>
      <c r="U58" s="13">
        <v>10172</v>
      </c>
      <c r="V58" s="13">
        <v>0</v>
      </c>
      <c r="W58" s="13">
        <v>0</v>
      </c>
      <c r="X58" s="13">
        <v>0</v>
      </c>
    </row>
    <row r="59" spans="2:26">
      <c r="B59" s="10" t="s">
        <v>1092</v>
      </c>
      <c r="C59" s="12"/>
      <c r="D59" s="10" t="s">
        <v>706</v>
      </c>
      <c r="E59" s="1"/>
      <c r="F59" s="13">
        <v>0</v>
      </c>
      <c r="G59" s="13">
        <v>0</v>
      </c>
      <c r="H59" s="13">
        <v>0</v>
      </c>
      <c r="I59" s="13">
        <v>0</v>
      </c>
      <c r="J59" s="13">
        <v>0</v>
      </c>
      <c r="K59" s="13">
        <v>0</v>
      </c>
      <c r="L59" s="13">
        <v>809731</v>
      </c>
      <c r="M59" s="13">
        <v>690018</v>
      </c>
      <c r="N59" s="13">
        <v>620592</v>
      </c>
      <c r="O59" s="13">
        <v>639429</v>
      </c>
      <c r="P59" s="13">
        <v>512386</v>
      </c>
      <c r="Q59" s="13">
        <v>359963</v>
      </c>
      <c r="R59" s="13">
        <v>342190</v>
      </c>
      <c r="S59" s="13">
        <v>356333</v>
      </c>
      <c r="T59" s="13">
        <v>145239</v>
      </c>
      <c r="U59" s="13">
        <v>0</v>
      </c>
      <c r="V59" s="13">
        <v>0</v>
      </c>
      <c r="W59" s="13">
        <v>0</v>
      </c>
      <c r="X59" s="13">
        <v>0</v>
      </c>
    </row>
    <row r="60" spans="2:26">
      <c r="B60" s="10" t="s">
        <v>1093</v>
      </c>
      <c r="C60" s="12"/>
      <c r="D60" s="10" t="s">
        <v>1094</v>
      </c>
      <c r="E60" s="1"/>
      <c r="F60" s="13">
        <v>2105</v>
      </c>
      <c r="G60" s="13">
        <v>2777</v>
      </c>
      <c r="H60" s="13">
        <v>4965</v>
      </c>
      <c r="I60" s="13">
        <v>4965</v>
      </c>
      <c r="J60" s="13">
        <v>5180</v>
      </c>
      <c r="K60" s="13">
        <v>3745</v>
      </c>
      <c r="L60" s="13">
        <v>3443</v>
      </c>
      <c r="M60" s="13">
        <v>3243</v>
      </c>
      <c r="N60" s="13">
        <v>3350</v>
      </c>
      <c r="O60" s="13">
        <v>3758</v>
      </c>
      <c r="P60" s="13">
        <v>3726</v>
      </c>
      <c r="Q60" s="13">
        <v>5567</v>
      </c>
      <c r="R60" s="13">
        <v>5217</v>
      </c>
      <c r="S60" s="13">
        <v>5169</v>
      </c>
      <c r="T60" s="13">
        <v>5299</v>
      </c>
      <c r="U60" s="13">
        <v>6445</v>
      </c>
      <c r="V60" s="13">
        <v>47422</v>
      </c>
      <c r="W60" s="13">
        <v>47649</v>
      </c>
      <c r="X60" s="13">
        <v>0</v>
      </c>
    </row>
    <row r="61" spans="2:26">
      <c r="B61" s="10" t="s">
        <v>1254</v>
      </c>
      <c r="C61" s="12"/>
      <c r="D61" s="10" t="s">
        <v>741</v>
      </c>
      <c r="E61" s="1"/>
      <c r="F61" s="13">
        <v>10902</v>
      </c>
      <c r="G61" s="13">
        <v>25493</v>
      </c>
      <c r="H61" s="13">
        <v>33810</v>
      </c>
      <c r="I61" s="13">
        <v>35875</v>
      </c>
      <c r="J61" s="13">
        <v>37248</v>
      </c>
      <c r="K61" s="13">
        <v>38732</v>
      </c>
      <c r="L61" s="13">
        <v>84695</v>
      </c>
      <c r="M61" s="13">
        <v>87393</v>
      </c>
      <c r="N61" s="13">
        <v>90092</v>
      </c>
      <c r="O61" s="13">
        <v>92792</v>
      </c>
      <c r="P61" s="13">
        <v>103887</v>
      </c>
      <c r="Q61" s="13">
        <v>107216</v>
      </c>
      <c r="R61" s="13">
        <v>110183</v>
      </c>
      <c r="S61" s="13">
        <v>113505</v>
      </c>
      <c r="T61" s="13">
        <v>181422</v>
      </c>
      <c r="U61" s="13">
        <v>185987</v>
      </c>
      <c r="V61" s="13">
        <v>190436</v>
      </c>
      <c r="W61" s="13">
        <v>195119</v>
      </c>
      <c r="X61" s="13">
        <v>0</v>
      </c>
    </row>
    <row r="62" spans="2:26">
      <c r="B62" s="10" t="s">
        <v>18</v>
      </c>
      <c r="C62" s="12"/>
      <c r="D62" s="10" t="s">
        <v>707</v>
      </c>
      <c r="E62" s="1"/>
      <c r="F62" s="13">
        <v>0</v>
      </c>
      <c r="G62" s="13">
        <v>0</v>
      </c>
      <c r="H62" s="13">
        <v>0</v>
      </c>
      <c r="I62" s="13">
        <v>0</v>
      </c>
      <c r="J62" s="13">
        <v>0</v>
      </c>
      <c r="K62" s="13">
        <v>0</v>
      </c>
      <c r="L62" s="13">
        <v>0</v>
      </c>
      <c r="M62" s="13">
        <v>0</v>
      </c>
      <c r="N62" s="13">
        <v>0</v>
      </c>
      <c r="O62" s="13">
        <v>0</v>
      </c>
      <c r="P62" s="13">
        <v>0</v>
      </c>
      <c r="Q62" s="13">
        <v>0</v>
      </c>
      <c r="R62" s="13">
        <v>0</v>
      </c>
      <c r="S62" s="13">
        <v>0</v>
      </c>
      <c r="T62" s="13">
        <v>12227</v>
      </c>
      <c r="U62" s="13">
        <v>13596</v>
      </c>
      <c r="V62" s="13">
        <v>9303</v>
      </c>
      <c r="W62" s="13">
        <v>10026</v>
      </c>
      <c r="X62" s="13">
        <v>0</v>
      </c>
    </row>
    <row r="63" spans="2:26" ht="4.5" customHeight="1" thickBot="1">
      <c r="B63" s="10"/>
      <c r="C63" s="15"/>
      <c r="D63" s="10"/>
      <c r="E63" s="1"/>
      <c r="F63" s="11"/>
      <c r="G63" s="11"/>
      <c r="H63" s="11"/>
      <c r="I63" s="11"/>
      <c r="J63" s="11"/>
      <c r="K63" s="11"/>
      <c r="L63" s="11"/>
      <c r="M63" s="11"/>
      <c r="N63" s="11"/>
      <c r="O63" s="11"/>
      <c r="P63" s="11"/>
      <c r="Q63" s="11"/>
      <c r="R63" s="11"/>
      <c r="S63" s="11"/>
      <c r="T63" s="11"/>
      <c r="U63" s="11"/>
      <c r="V63" s="11"/>
      <c r="W63" s="11"/>
      <c r="X63" s="11"/>
    </row>
    <row r="64" spans="2:26" ht="15.75" thickBot="1">
      <c r="B64" s="28" t="s">
        <v>80</v>
      </c>
      <c r="C64" s="26"/>
      <c r="D64" s="28" t="s">
        <v>709</v>
      </c>
      <c r="E64" s="27"/>
      <c r="F64" s="40">
        <f t="shared" ref="F64:S64" si="4">SUM(F52:F62)</f>
        <v>32075</v>
      </c>
      <c r="G64" s="40">
        <f t="shared" si="4"/>
        <v>759930.02524112223</v>
      </c>
      <c r="H64" s="40">
        <f t="shared" si="4"/>
        <v>745416</v>
      </c>
      <c r="I64" s="40">
        <f t="shared" si="4"/>
        <v>831960</v>
      </c>
      <c r="J64" s="40">
        <f t="shared" si="4"/>
        <v>785524</v>
      </c>
      <c r="K64" s="40">
        <f t="shared" si="4"/>
        <v>801784</v>
      </c>
      <c r="L64" s="40">
        <f t="shared" si="4"/>
        <v>1599050</v>
      </c>
      <c r="M64" s="40">
        <f t="shared" si="4"/>
        <v>1511485</v>
      </c>
      <c r="N64" s="40">
        <f t="shared" si="4"/>
        <v>1337651</v>
      </c>
      <c r="O64" s="40">
        <f t="shared" si="4"/>
        <v>1529495</v>
      </c>
      <c r="P64" s="40">
        <f t="shared" si="4"/>
        <v>1383225</v>
      </c>
      <c r="Q64" s="40">
        <f t="shared" si="4"/>
        <v>1119018</v>
      </c>
      <c r="R64" s="40">
        <f t="shared" si="4"/>
        <v>1056143</v>
      </c>
      <c r="S64" s="40">
        <f t="shared" si="4"/>
        <v>1324149</v>
      </c>
      <c r="T64" s="40">
        <f>SUM(T52:T62)</f>
        <v>1245441</v>
      </c>
      <c r="U64" s="40">
        <f>SUM(U52:U62)</f>
        <v>1079113</v>
      </c>
      <c r="V64" s="40">
        <f>SUM(V52:V62)</f>
        <v>2412687</v>
      </c>
      <c r="W64" s="40">
        <f>SUM(W52:W62)</f>
        <v>2124036</v>
      </c>
      <c r="X64" s="40">
        <f>SUM(X52:X62)</f>
        <v>0</v>
      </c>
      <c r="Z64" s="348">
        <v>0</v>
      </c>
    </row>
    <row r="65" spans="2:26" ht="17.25" thickBot="1">
      <c r="B65" s="10"/>
      <c r="C65" s="15"/>
      <c r="D65" s="10"/>
      <c r="E65" s="1"/>
      <c r="F65" s="11"/>
      <c r="G65" s="11"/>
      <c r="H65" s="11"/>
      <c r="I65" s="11"/>
      <c r="J65" s="11"/>
      <c r="K65" s="11"/>
      <c r="L65" s="11"/>
      <c r="M65" s="11"/>
      <c r="N65" s="11"/>
      <c r="O65" s="11"/>
      <c r="P65" s="11"/>
      <c r="Q65" s="11"/>
      <c r="R65" s="11"/>
      <c r="S65" s="11"/>
      <c r="T65" s="11"/>
      <c r="U65" s="11"/>
      <c r="V65" s="11"/>
      <c r="W65" s="11"/>
      <c r="X65" s="11"/>
    </row>
    <row r="66" spans="2:26" ht="15.75" thickBot="1">
      <c r="B66" s="28" t="s">
        <v>78</v>
      </c>
      <c r="C66" s="30"/>
      <c r="D66" s="28" t="s">
        <v>710</v>
      </c>
      <c r="E66" s="27"/>
      <c r="F66" s="41">
        <v>84302</v>
      </c>
      <c r="G66" s="41">
        <v>902123</v>
      </c>
      <c r="H66" s="41">
        <v>1099977</v>
      </c>
      <c r="I66" s="41">
        <v>1325308</v>
      </c>
      <c r="J66" s="41">
        <v>1381570</v>
      </c>
      <c r="K66" s="41">
        <v>1463255</v>
      </c>
      <c r="L66" s="41">
        <v>2843580</v>
      </c>
      <c r="M66" s="41">
        <v>2962430</v>
      </c>
      <c r="N66" s="41">
        <v>3029826</v>
      </c>
      <c r="O66" s="41">
        <f t="shared" ref="O66:T66" si="5">O64+O49</f>
        <v>2860190</v>
      </c>
      <c r="P66" s="41">
        <f t="shared" si="5"/>
        <v>2774592</v>
      </c>
      <c r="Q66" s="41">
        <f t="shared" si="5"/>
        <v>2807808</v>
      </c>
      <c r="R66" s="41">
        <f t="shared" si="5"/>
        <v>2452983</v>
      </c>
      <c r="S66" s="41">
        <f t="shared" si="5"/>
        <v>2483445</v>
      </c>
      <c r="T66" s="41">
        <f t="shared" si="5"/>
        <v>2311301</v>
      </c>
      <c r="U66" s="41">
        <f>U64+U49</f>
        <v>2233693</v>
      </c>
      <c r="V66" s="41">
        <f>V64+V49</f>
        <v>3485284</v>
      </c>
      <c r="W66" s="41">
        <f>W64+W49</f>
        <v>3134603</v>
      </c>
      <c r="X66" s="41">
        <f>X64+X49</f>
        <v>0</v>
      </c>
      <c r="Z66" s="348">
        <v>0</v>
      </c>
    </row>
    <row r="67" spans="2:26">
      <c r="B67" s="10"/>
      <c r="C67" s="12"/>
      <c r="D67" s="10"/>
      <c r="E67" s="1"/>
      <c r="F67" s="8"/>
      <c r="G67" s="8"/>
      <c r="H67" s="8"/>
      <c r="I67" s="8"/>
      <c r="J67" s="8"/>
      <c r="K67" s="8"/>
      <c r="L67" s="8"/>
      <c r="M67" s="8"/>
      <c r="N67" s="8"/>
      <c r="O67" s="8"/>
      <c r="P67" s="8"/>
      <c r="Q67" s="8"/>
      <c r="R67" s="8"/>
      <c r="S67" s="8"/>
      <c r="T67" s="8"/>
      <c r="U67" s="8"/>
      <c r="V67" s="8"/>
      <c r="W67" s="8"/>
      <c r="X67" s="8"/>
    </row>
    <row r="68" spans="2:26">
      <c r="B68" s="39" t="s">
        <v>19</v>
      </c>
      <c r="C68" s="32"/>
      <c r="D68" s="39" t="s">
        <v>809</v>
      </c>
      <c r="E68" s="29"/>
      <c r="F68" s="32"/>
      <c r="G68" s="32"/>
      <c r="H68" s="32"/>
      <c r="I68" s="32"/>
      <c r="J68" s="32"/>
      <c r="K68" s="32"/>
      <c r="L68" s="32"/>
      <c r="M68" s="181"/>
      <c r="N68" s="181"/>
      <c r="O68" s="181"/>
      <c r="P68" s="181"/>
      <c r="Q68" s="181"/>
      <c r="R68" s="181"/>
      <c r="S68" s="181"/>
      <c r="T68" s="181"/>
      <c r="U68" s="181"/>
      <c r="V68" s="181"/>
      <c r="W68" s="181"/>
      <c r="X68" s="181"/>
    </row>
    <row r="69" spans="2:26" ht="6.75" customHeight="1">
      <c r="C69" s="12"/>
      <c r="F69" s="5"/>
      <c r="G69" s="5"/>
      <c r="H69" s="6"/>
      <c r="I69" s="6"/>
      <c r="J69" s="6"/>
      <c r="K69" s="6"/>
      <c r="L69" s="6"/>
      <c r="M69" s="6"/>
      <c r="N69" s="6"/>
      <c r="O69" s="6"/>
      <c r="P69" s="6"/>
      <c r="Q69" s="6"/>
      <c r="R69" s="6"/>
      <c r="S69" s="6"/>
      <c r="T69" s="6"/>
      <c r="U69" s="6"/>
      <c r="V69" s="6"/>
      <c r="W69" s="6"/>
      <c r="X69" s="6"/>
    </row>
    <row r="70" spans="2:26">
      <c r="B70" s="10" t="s">
        <v>20</v>
      </c>
      <c r="C70" s="12"/>
      <c r="D70" s="10" t="s">
        <v>711</v>
      </c>
      <c r="E70" s="1"/>
      <c r="F70" s="13">
        <v>211408</v>
      </c>
      <c r="G70" s="13">
        <v>669295</v>
      </c>
      <c r="H70" s="13">
        <v>674941</v>
      </c>
      <c r="I70" s="13">
        <v>674941</v>
      </c>
      <c r="J70" s="13">
        <v>1812336</v>
      </c>
      <c r="K70" s="13">
        <v>1813114</v>
      </c>
      <c r="L70" s="13">
        <v>1813936</v>
      </c>
      <c r="M70" s="13">
        <v>1814125</v>
      </c>
      <c r="N70" s="13">
        <v>2823766</v>
      </c>
      <c r="O70" s="13">
        <v>2824282</v>
      </c>
      <c r="P70" s="13">
        <v>2828170</v>
      </c>
      <c r="Q70" s="13">
        <v>2828842</v>
      </c>
      <c r="R70" s="13">
        <v>2829973</v>
      </c>
      <c r="S70" s="13">
        <v>2830283</v>
      </c>
      <c r="T70" s="13">
        <v>2830774</v>
      </c>
      <c r="U70" s="13">
        <v>2831269</v>
      </c>
      <c r="V70" s="13">
        <v>2832275</v>
      </c>
      <c r="W70" s="13">
        <v>2832476</v>
      </c>
      <c r="X70" s="13">
        <v>0</v>
      </c>
    </row>
    <row r="71" spans="2:26">
      <c r="B71" s="10" t="s">
        <v>21</v>
      </c>
      <c r="C71" s="12"/>
      <c r="D71" s="10" t="s">
        <v>712</v>
      </c>
      <c r="E71" s="1"/>
      <c r="F71" s="13">
        <v>0</v>
      </c>
      <c r="G71" s="13">
        <v>0</v>
      </c>
      <c r="H71" s="13">
        <v>0</v>
      </c>
      <c r="I71" s="13">
        <v>0</v>
      </c>
      <c r="J71" s="13">
        <v>0</v>
      </c>
      <c r="K71" s="13">
        <v>-922</v>
      </c>
      <c r="L71" s="13">
        <v>-2292</v>
      </c>
      <c r="M71" s="13">
        <v>-2266</v>
      </c>
      <c r="N71" s="13">
        <v>-43</v>
      </c>
      <c r="O71" s="13">
        <v>-6793</v>
      </c>
      <c r="P71" s="13">
        <v>-6793</v>
      </c>
      <c r="Q71" s="13">
        <v>-10848</v>
      </c>
      <c r="R71" s="13">
        <v>-6638</v>
      </c>
      <c r="S71" s="13">
        <v>-5084</v>
      </c>
      <c r="T71" s="13">
        <v>-5084</v>
      </c>
      <c r="U71" s="13">
        <v>-5084</v>
      </c>
      <c r="V71" s="13">
        <v>-4432</v>
      </c>
      <c r="W71" s="13">
        <v>-7035</v>
      </c>
      <c r="X71" s="13">
        <v>0</v>
      </c>
    </row>
    <row r="72" spans="2:26">
      <c r="B72" s="10" t="s">
        <v>22</v>
      </c>
      <c r="C72" s="12"/>
      <c r="D72" s="10" t="s">
        <v>713</v>
      </c>
      <c r="E72" s="1"/>
      <c r="F72" s="13">
        <v>31031</v>
      </c>
      <c r="G72" s="13">
        <v>31158</v>
      </c>
      <c r="H72" s="13">
        <v>31158</v>
      </c>
      <c r="I72" s="13">
        <v>31158</v>
      </c>
      <c r="J72" s="13">
        <v>31158</v>
      </c>
      <c r="K72" s="13">
        <v>33167</v>
      </c>
      <c r="L72" s="13">
        <v>35176</v>
      </c>
      <c r="M72" s="13">
        <v>37185</v>
      </c>
      <c r="N72" s="13">
        <v>36406</v>
      </c>
      <c r="O72" s="13">
        <v>39743</v>
      </c>
      <c r="P72" s="13">
        <v>43171</v>
      </c>
      <c r="Q72" s="13">
        <v>46653</v>
      </c>
      <c r="R72" s="13">
        <v>46552</v>
      </c>
      <c r="S72" s="13">
        <v>48299</v>
      </c>
      <c r="T72" s="13">
        <v>51978</v>
      </c>
      <c r="U72" s="13">
        <v>55656</v>
      </c>
      <c r="V72" s="13">
        <v>48431</v>
      </c>
      <c r="W72" s="13">
        <v>52421</v>
      </c>
      <c r="X72" s="13">
        <v>0</v>
      </c>
    </row>
    <row r="73" spans="2:26">
      <c r="B73" s="10" t="s">
        <v>23</v>
      </c>
      <c r="C73" s="12"/>
      <c r="D73" s="10" t="s">
        <v>810</v>
      </c>
      <c r="E73" s="1"/>
      <c r="F73" s="13">
        <v>179162</v>
      </c>
      <c r="G73" s="13">
        <v>229950</v>
      </c>
      <c r="H73" s="13">
        <v>160945</v>
      </c>
      <c r="I73" s="13">
        <v>148055</v>
      </c>
      <c r="J73" s="13">
        <v>160945</v>
      </c>
      <c r="K73" s="13">
        <v>160945</v>
      </c>
      <c r="L73" s="13">
        <v>297202</v>
      </c>
      <c r="M73" s="13">
        <v>297202.06302703335</v>
      </c>
      <c r="N73" s="13">
        <v>297202</v>
      </c>
      <c r="O73" s="13">
        <v>297202</v>
      </c>
      <c r="P73" s="13">
        <v>1167284</v>
      </c>
      <c r="Q73" s="13">
        <v>1167284</v>
      </c>
      <c r="R73" s="13">
        <v>1141293</v>
      </c>
      <c r="S73" s="13">
        <v>1141164</v>
      </c>
      <c r="T73" s="13">
        <v>1671360</v>
      </c>
      <c r="U73" s="13">
        <v>1671360</v>
      </c>
      <c r="V73" s="13">
        <v>1671360</v>
      </c>
      <c r="W73" s="13">
        <v>1671360</v>
      </c>
      <c r="X73" s="13">
        <v>0</v>
      </c>
    </row>
    <row r="74" spans="2:26">
      <c r="B74" s="10" t="s">
        <v>1292</v>
      </c>
      <c r="C74" s="12"/>
      <c r="D74" s="10" t="s">
        <v>714</v>
      </c>
      <c r="E74" s="1"/>
      <c r="F74" s="13">
        <v>0</v>
      </c>
      <c r="G74" s="13">
        <v>0</v>
      </c>
      <c r="H74" s="13">
        <v>0</v>
      </c>
      <c r="I74" s="13">
        <v>0</v>
      </c>
      <c r="J74" s="13">
        <v>81676</v>
      </c>
      <c r="K74" s="13">
        <v>104518</v>
      </c>
      <c r="L74" s="13">
        <v>0</v>
      </c>
      <c r="M74" s="13">
        <v>401842.93697296665</v>
      </c>
      <c r="N74" s="13">
        <v>533184</v>
      </c>
      <c r="O74" s="13">
        <v>745069</v>
      </c>
      <c r="P74" s="13">
        <v>0</v>
      </c>
      <c r="Q74" s="13">
        <v>199513</v>
      </c>
      <c r="R74" s="13">
        <v>375872</v>
      </c>
      <c r="S74" s="13">
        <v>520868</v>
      </c>
      <c r="T74" s="13">
        <v>0</v>
      </c>
      <c r="U74" s="13">
        <v>110033</v>
      </c>
      <c r="V74" s="13">
        <v>-164668</v>
      </c>
      <c r="W74" s="13">
        <v>-5861</v>
      </c>
      <c r="X74" s="13">
        <v>0</v>
      </c>
    </row>
    <row r="75" spans="2:26">
      <c r="B75" s="10" t="s">
        <v>24</v>
      </c>
      <c r="C75" s="12"/>
      <c r="D75" s="10" t="s">
        <v>715</v>
      </c>
      <c r="E75" s="1"/>
      <c r="F75" s="13">
        <v>0</v>
      </c>
      <c r="G75" s="13">
        <v>-3391</v>
      </c>
      <c r="H75" s="13">
        <v>78671</v>
      </c>
      <c r="I75" s="13">
        <v>-80736</v>
      </c>
      <c r="J75" s="13">
        <v>-229898</v>
      </c>
      <c r="K75" s="13">
        <v>-295996</v>
      </c>
      <c r="L75" s="13">
        <v>-306690</v>
      </c>
      <c r="M75" s="13">
        <v>-497192</v>
      </c>
      <c r="N75" s="13">
        <v>-503872</v>
      </c>
      <c r="O75" s="13">
        <v>-262123</v>
      </c>
      <c r="P75" s="13">
        <v>-255811</v>
      </c>
      <c r="Q75" s="13">
        <v>-171568</v>
      </c>
      <c r="R75" s="13">
        <v>-106933</v>
      </c>
      <c r="S75" s="13">
        <v>-140803</v>
      </c>
      <c r="T75" s="13">
        <v>-65626</v>
      </c>
      <c r="U75" s="13">
        <v>-46284</v>
      </c>
      <c r="V75" s="13">
        <v>-29995</v>
      </c>
      <c r="W75" s="13">
        <v>-3454</v>
      </c>
      <c r="X75" s="13">
        <v>0</v>
      </c>
    </row>
    <row r="76" spans="2:26">
      <c r="B76" s="10" t="s">
        <v>25</v>
      </c>
      <c r="C76" s="12"/>
      <c r="D76" s="10" t="s">
        <v>716</v>
      </c>
      <c r="E76" s="1"/>
      <c r="F76" s="13">
        <v>0</v>
      </c>
      <c r="G76" s="13">
        <v>34481</v>
      </c>
      <c r="H76" s="13">
        <v>34481</v>
      </c>
      <c r="I76" s="13">
        <v>34481</v>
      </c>
      <c r="J76" s="13">
        <v>34481</v>
      </c>
      <c r="K76" s="13">
        <v>34481</v>
      </c>
      <c r="L76" s="13">
        <v>34481</v>
      </c>
      <c r="M76" s="13">
        <v>34481</v>
      </c>
      <c r="N76" s="13">
        <v>34481</v>
      </c>
      <c r="O76" s="13">
        <v>34481</v>
      </c>
      <c r="P76" s="13">
        <v>34481</v>
      </c>
      <c r="Q76" s="13">
        <v>34481</v>
      </c>
      <c r="R76" s="13">
        <v>34481</v>
      </c>
      <c r="S76" s="13">
        <v>34481</v>
      </c>
      <c r="T76" s="13">
        <v>34481</v>
      </c>
      <c r="U76" s="13">
        <v>34481</v>
      </c>
      <c r="V76" s="13">
        <v>34481</v>
      </c>
      <c r="W76" s="13">
        <v>34481</v>
      </c>
      <c r="X76" s="13">
        <v>0</v>
      </c>
    </row>
    <row r="77" spans="2:26">
      <c r="B77" s="10" t="s">
        <v>26</v>
      </c>
      <c r="C77" s="12"/>
      <c r="D77" s="10" t="s">
        <v>717</v>
      </c>
      <c r="E77" s="1"/>
      <c r="F77" s="13">
        <v>0</v>
      </c>
      <c r="G77" s="13">
        <v>304</v>
      </c>
      <c r="H77" s="13">
        <v>0</v>
      </c>
      <c r="I77" s="13">
        <v>0</v>
      </c>
      <c r="J77" s="13">
        <v>0</v>
      </c>
      <c r="K77" s="13">
        <v>0</v>
      </c>
      <c r="L77" s="13">
        <v>0</v>
      </c>
      <c r="M77" s="13">
        <v>0</v>
      </c>
      <c r="N77" s="13">
        <v>0</v>
      </c>
      <c r="O77" s="13">
        <v>0</v>
      </c>
      <c r="P77" s="13">
        <v>0</v>
      </c>
      <c r="Q77" s="13">
        <v>0</v>
      </c>
      <c r="R77" s="13">
        <v>0</v>
      </c>
      <c r="S77" s="13">
        <v>0</v>
      </c>
      <c r="T77" s="13">
        <v>0</v>
      </c>
      <c r="U77" s="13">
        <v>0</v>
      </c>
      <c r="V77" s="13">
        <v>0</v>
      </c>
      <c r="W77" s="13">
        <v>0</v>
      </c>
      <c r="X77" s="13">
        <v>0</v>
      </c>
    </row>
    <row r="78" spans="2:26" ht="4.5" customHeight="1" thickBot="1">
      <c r="B78" s="10"/>
      <c r="C78" s="15"/>
      <c r="D78" s="10"/>
      <c r="E78" s="1"/>
      <c r="F78" s="11"/>
      <c r="G78" s="11"/>
      <c r="H78" s="11"/>
      <c r="I78" s="11"/>
      <c r="J78" s="11"/>
      <c r="K78" s="11"/>
      <c r="L78" s="11"/>
      <c r="M78" s="11"/>
      <c r="N78" s="11"/>
      <c r="O78" s="11"/>
      <c r="P78" s="11"/>
      <c r="Q78" s="11"/>
      <c r="R78" s="11"/>
      <c r="S78" s="11"/>
      <c r="T78" s="11"/>
      <c r="U78" s="11"/>
      <c r="V78" s="11"/>
      <c r="W78" s="11"/>
      <c r="X78" s="11"/>
    </row>
    <row r="79" spans="2:26" ht="15.75" thickBot="1">
      <c r="B79" s="28" t="s">
        <v>76</v>
      </c>
      <c r="C79" s="26"/>
      <c r="D79" s="28" t="s">
        <v>844</v>
      </c>
      <c r="E79" s="33"/>
      <c r="F79" s="41">
        <v>421601</v>
      </c>
      <c r="G79" s="41">
        <v>961797</v>
      </c>
      <c r="H79" s="41">
        <v>980196</v>
      </c>
      <c r="I79" s="41">
        <v>807899</v>
      </c>
      <c r="J79" s="41">
        <v>1890698</v>
      </c>
      <c r="K79" s="41">
        <v>1849307</v>
      </c>
      <c r="L79" s="41">
        <v>1871813</v>
      </c>
      <c r="M79" s="41">
        <v>2085378</v>
      </c>
      <c r="N79" s="41">
        <v>3221124</v>
      </c>
      <c r="O79" s="41">
        <f t="shared" ref="O79:T79" si="6">SUM(O70:O77)</f>
        <v>3671861</v>
      </c>
      <c r="P79" s="41">
        <f t="shared" si="6"/>
        <v>3810502</v>
      </c>
      <c r="Q79" s="41">
        <f t="shared" si="6"/>
        <v>4094357</v>
      </c>
      <c r="R79" s="41">
        <f t="shared" si="6"/>
        <v>4314600</v>
      </c>
      <c r="S79" s="41">
        <f t="shared" si="6"/>
        <v>4429208</v>
      </c>
      <c r="T79" s="41">
        <f t="shared" si="6"/>
        <v>4517883</v>
      </c>
      <c r="U79" s="41">
        <f>SUM(U70:U77)</f>
        <v>4651431</v>
      </c>
      <c r="V79" s="41">
        <f>SUM(V70:V77)</f>
        <v>4387452</v>
      </c>
      <c r="W79" s="41">
        <f>SUM(W70:W77)</f>
        <v>4574388</v>
      </c>
      <c r="X79" s="41">
        <f>SUM(X70:X77)</f>
        <v>0</v>
      </c>
      <c r="Z79" s="348">
        <v>0</v>
      </c>
    </row>
    <row r="80" spans="2:26" ht="15.75" thickBot="1">
      <c r="B80" s="10"/>
      <c r="D80" s="10"/>
      <c r="E80" s="1"/>
      <c r="F80" s="8"/>
      <c r="G80" s="8"/>
      <c r="H80" s="8"/>
      <c r="I80" s="8"/>
      <c r="J80" s="8"/>
      <c r="K80" s="8"/>
      <c r="L80" s="8"/>
      <c r="M80" s="8"/>
      <c r="N80" s="8"/>
      <c r="O80" s="8"/>
      <c r="P80" s="8"/>
      <c r="Q80" s="8"/>
      <c r="R80" s="8"/>
      <c r="S80" s="8"/>
      <c r="T80" s="8"/>
      <c r="U80" s="8"/>
      <c r="V80" s="8"/>
      <c r="W80" s="8"/>
      <c r="X80" s="8"/>
    </row>
    <row r="81" spans="2:26" ht="15.75" thickBot="1">
      <c r="B81" s="28" t="s">
        <v>77</v>
      </c>
      <c r="C81" s="30"/>
      <c r="D81" s="28" t="s">
        <v>845</v>
      </c>
      <c r="E81" s="27"/>
      <c r="F81" s="41">
        <v>505903</v>
      </c>
      <c r="G81" s="41">
        <v>1863920</v>
      </c>
      <c r="H81" s="41">
        <v>2080173</v>
      </c>
      <c r="I81" s="41">
        <v>2133207</v>
      </c>
      <c r="J81" s="41">
        <v>3272268</v>
      </c>
      <c r="K81" s="41">
        <v>3312562</v>
      </c>
      <c r="L81" s="41">
        <v>4715393</v>
      </c>
      <c r="M81" s="41">
        <v>5047808</v>
      </c>
      <c r="N81" s="41">
        <v>6250950</v>
      </c>
      <c r="O81" s="41">
        <f t="shared" ref="O81:T81" si="7">O79+O66</f>
        <v>6532051</v>
      </c>
      <c r="P81" s="41">
        <f t="shared" si="7"/>
        <v>6585094</v>
      </c>
      <c r="Q81" s="41">
        <f t="shared" si="7"/>
        <v>6902165</v>
      </c>
      <c r="R81" s="41">
        <f t="shared" si="7"/>
        <v>6767583</v>
      </c>
      <c r="S81" s="41">
        <f t="shared" si="7"/>
        <v>6912653</v>
      </c>
      <c r="T81" s="41">
        <f t="shared" si="7"/>
        <v>6829184</v>
      </c>
      <c r="U81" s="41">
        <f>U79+U66</f>
        <v>6885124</v>
      </c>
      <c r="V81" s="41">
        <f>V79+V66</f>
        <v>7872736</v>
      </c>
      <c r="W81" s="41">
        <f>W79+W66</f>
        <v>7708991</v>
      </c>
      <c r="X81" s="41">
        <f>X79+X66</f>
        <v>0</v>
      </c>
      <c r="Z81" s="348">
        <v>0</v>
      </c>
    </row>
    <row r="82" spans="2:26">
      <c r="B82" s="10"/>
      <c r="D82" s="10"/>
      <c r="E82" s="1"/>
      <c r="F82" s="8"/>
      <c r="G82" s="298"/>
      <c r="H82" s="8"/>
      <c r="I82" s="8"/>
      <c r="J82" s="8"/>
      <c r="K82" s="8"/>
      <c r="L82" s="8"/>
      <c r="M82" s="8"/>
      <c r="N82" s="8"/>
      <c r="O82" s="8"/>
      <c r="P82" s="8"/>
      <c r="Q82" s="8"/>
      <c r="R82" s="8"/>
      <c r="S82" s="8"/>
      <c r="T82" s="8"/>
      <c r="U82" s="8"/>
      <c r="V82" s="8"/>
      <c r="W82" s="8"/>
      <c r="X82" s="8"/>
    </row>
    <row r="83" spans="2:26" hidden="1">
      <c r="F83" s="9">
        <f t="shared" ref="F83:U83" si="8">F32-F81</f>
        <v>0</v>
      </c>
      <c r="G83" s="299">
        <f t="shared" si="8"/>
        <v>0</v>
      </c>
      <c r="H83" s="9">
        <f t="shared" si="8"/>
        <v>0</v>
      </c>
      <c r="I83" s="9">
        <f t="shared" si="8"/>
        <v>0</v>
      </c>
      <c r="J83" s="9">
        <f t="shared" si="8"/>
        <v>0</v>
      </c>
      <c r="K83" s="9">
        <f t="shared" si="8"/>
        <v>0</v>
      </c>
      <c r="L83" s="9">
        <f t="shared" si="8"/>
        <v>0</v>
      </c>
      <c r="M83" s="9">
        <f t="shared" si="8"/>
        <v>0</v>
      </c>
      <c r="N83" s="9">
        <f t="shared" si="8"/>
        <v>0</v>
      </c>
      <c r="O83" s="9">
        <f t="shared" si="8"/>
        <v>0</v>
      </c>
      <c r="P83" s="9">
        <f t="shared" si="8"/>
        <v>0</v>
      </c>
      <c r="Q83" s="9">
        <f t="shared" si="8"/>
        <v>0</v>
      </c>
      <c r="R83" s="9">
        <f t="shared" si="8"/>
        <v>0</v>
      </c>
      <c r="S83" s="9">
        <f t="shared" si="8"/>
        <v>0</v>
      </c>
      <c r="T83" s="9">
        <f t="shared" si="8"/>
        <v>0</v>
      </c>
      <c r="U83" s="9">
        <f t="shared" si="8"/>
        <v>0</v>
      </c>
      <c r="V83" s="9"/>
      <c r="W83" s="9"/>
      <c r="X83" s="9"/>
    </row>
    <row r="84" spans="2:26">
      <c r="F84" s="9"/>
      <c r="G84" s="299"/>
      <c r="H84" s="9"/>
      <c r="I84" s="9"/>
      <c r="J84" s="9"/>
      <c r="K84" s="9"/>
      <c r="L84" s="9"/>
      <c r="M84" s="9"/>
      <c r="N84" s="9"/>
      <c r="O84" s="9"/>
      <c r="P84" s="9"/>
      <c r="Q84" s="9"/>
      <c r="R84" s="9"/>
      <c r="S84" s="9"/>
      <c r="T84" s="9"/>
      <c r="U84" s="9"/>
      <c r="V84" s="9"/>
      <c r="W84" s="9"/>
      <c r="X84" s="9"/>
    </row>
    <row r="85" spans="2:26">
      <c r="U85" s="9"/>
      <c r="V85" s="9"/>
    </row>
    <row r="86" spans="2:26">
      <c r="R86" s="171"/>
      <c r="U86" s="9"/>
      <c r="V86" s="9"/>
      <c r="W86" s="171"/>
    </row>
    <row r="87" spans="2:26">
      <c r="U87" s="9"/>
      <c r="V87" s="9"/>
    </row>
  </sheetData>
  <pageMargins left="0.511811024" right="0.511811024" top="0.78740157499999996" bottom="0.78740157499999996" header="0.31496062000000002" footer="0.31496062000000002"/>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3A309-2556-48B0-9FE5-36090522A673}">
  <dimension ref="A2:M39"/>
  <sheetViews>
    <sheetView showGridLines="0" zoomScaleNormal="100" workbookViewId="0"/>
  </sheetViews>
  <sheetFormatPr defaultColWidth="9.140625" defaultRowHeight="12.75"/>
  <cols>
    <col min="1" max="1" width="10.140625" style="3" bestFit="1" customWidth="1"/>
    <col min="2" max="2" width="2" style="3" customWidth="1"/>
    <col min="3" max="5" width="9.42578125" style="3" customWidth="1"/>
    <col min="6" max="6" width="2" style="3" customWidth="1"/>
    <col min="7" max="9" width="9.42578125" style="3" customWidth="1"/>
    <col min="10" max="10" width="2" style="3" customWidth="1"/>
    <col min="11" max="13" width="9.42578125" style="3" customWidth="1"/>
    <col min="14" max="16384" width="9.140625" style="3"/>
  </cols>
  <sheetData>
    <row r="2" spans="1:13" ht="18.75">
      <c r="E2" s="140"/>
      <c r="F2" s="140"/>
      <c r="G2" s="140"/>
      <c r="H2" s="140"/>
      <c r="I2" s="140"/>
      <c r="J2" s="140"/>
      <c r="K2" s="139"/>
    </row>
    <row r="6" spans="1:13" ht="12.75" customHeight="1">
      <c r="A6" s="128" t="s">
        <v>1180</v>
      </c>
      <c r="C6" s="381" t="s">
        <v>1178</v>
      </c>
      <c r="D6" s="381"/>
      <c r="E6" s="381"/>
      <c r="G6" s="381" t="s">
        <v>39</v>
      </c>
      <c r="H6" s="381"/>
      <c r="I6" s="381"/>
      <c r="K6" s="381" t="s">
        <v>1182</v>
      </c>
      <c r="L6" s="381"/>
      <c r="M6" s="381"/>
    </row>
    <row r="7" spans="1:13" customFormat="1" ht="3" customHeight="1">
      <c r="B7" s="3"/>
      <c r="C7" s="113"/>
      <c r="D7" s="114"/>
      <c r="E7" s="115"/>
      <c r="F7" s="3"/>
      <c r="G7" s="113"/>
      <c r="H7" s="114"/>
      <c r="I7" s="115"/>
      <c r="J7" s="3"/>
    </row>
    <row r="8" spans="1:13" ht="25.5">
      <c r="A8" s="128" t="s">
        <v>656</v>
      </c>
      <c r="C8" s="129" t="s">
        <v>847</v>
      </c>
      <c r="D8" s="129" t="s">
        <v>848</v>
      </c>
      <c r="E8" s="214" t="s">
        <v>850</v>
      </c>
      <c r="G8" s="129" t="s">
        <v>847</v>
      </c>
      <c r="H8" s="129" t="s">
        <v>848</v>
      </c>
      <c r="I8" s="214" t="s">
        <v>850</v>
      </c>
      <c r="K8" s="129" t="s">
        <v>847</v>
      </c>
      <c r="L8" s="129" t="s">
        <v>848</v>
      </c>
      <c r="M8" s="214" t="s">
        <v>850</v>
      </c>
    </row>
    <row r="9" spans="1:13" customFormat="1" ht="3" customHeight="1">
      <c r="B9" s="3"/>
      <c r="C9" s="113"/>
      <c r="D9" s="114"/>
      <c r="E9" s="115"/>
      <c r="F9" s="3"/>
      <c r="G9" s="113"/>
      <c r="H9" s="114"/>
      <c r="I9" s="115"/>
      <c r="J9" s="3"/>
      <c r="K9" s="113"/>
      <c r="L9" s="114"/>
      <c r="M9" s="115"/>
    </row>
    <row r="10" spans="1:13" s="135" customFormat="1" ht="14.25" customHeight="1">
      <c r="A10" s="134"/>
      <c r="C10" s="136" t="s">
        <v>849</v>
      </c>
      <c r="D10" s="136" t="s">
        <v>849</v>
      </c>
      <c r="E10" s="136" t="s">
        <v>659</v>
      </c>
      <c r="G10" s="136" t="s">
        <v>849</v>
      </c>
      <c r="H10" s="136" t="s">
        <v>849</v>
      </c>
      <c r="I10" s="136" t="s">
        <v>659</v>
      </c>
      <c r="K10" s="136" t="s">
        <v>849</v>
      </c>
      <c r="L10" s="136" t="s">
        <v>849</v>
      </c>
      <c r="M10" s="136" t="s">
        <v>659</v>
      </c>
    </row>
    <row r="11" spans="1:13" s="38" customFormat="1" ht="4.5" customHeight="1">
      <c r="A11" s="131"/>
      <c r="C11" s="132"/>
      <c r="D11" s="132"/>
      <c r="E11" s="132"/>
      <c r="G11" s="133"/>
      <c r="H11" s="133"/>
      <c r="I11" s="133"/>
      <c r="K11" s="133"/>
      <c r="L11" s="133"/>
      <c r="M11" s="133"/>
    </row>
    <row r="12" spans="1:13">
      <c r="A12" s="123">
        <v>2024</v>
      </c>
      <c r="C12" s="292">
        <v>96</v>
      </c>
      <c r="D12" s="210">
        <v>4</v>
      </c>
      <c r="E12" s="209">
        <v>65544.873654120573</v>
      </c>
      <c r="G12" s="292">
        <v>67</v>
      </c>
      <c r="H12" s="210">
        <v>14</v>
      </c>
      <c r="I12" s="209">
        <v>36185.881276722008</v>
      </c>
      <c r="K12" s="292">
        <f t="shared" ref="K12:M19" si="0">C12+G12</f>
        <v>163</v>
      </c>
      <c r="L12" s="125">
        <f t="shared" si="0"/>
        <v>18</v>
      </c>
      <c r="M12" s="209">
        <f t="shared" si="0"/>
        <v>101730.75493084258</v>
      </c>
    </row>
    <row r="13" spans="1:13">
      <c r="A13" s="123">
        <v>2025</v>
      </c>
      <c r="C13" s="292">
        <v>86</v>
      </c>
      <c r="D13" s="210">
        <v>15</v>
      </c>
      <c r="E13" s="209">
        <v>52534.585908682246</v>
      </c>
      <c r="G13" s="292">
        <v>81</v>
      </c>
      <c r="H13" s="210">
        <v>18</v>
      </c>
      <c r="I13" s="209">
        <v>59048.897303396006</v>
      </c>
      <c r="K13" s="292">
        <f t="shared" si="0"/>
        <v>167</v>
      </c>
      <c r="L13" s="125">
        <f t="shared" si="0"/>
        <v>33</v>
      </c>
      <c r="M13" s="209">
        <f t="shared" si="0"/>
        <v>111583.48321207825</v>
      </c>
    </row>
    <row r="14" spans="1:13">
      <c r="A14" s="123">
        <v>2026</v>
      </c>
      <c r="C14" s="292">
        <v>93</v>
      </c>
      <c r="D14" s="210">
        <v>14</v>
      </c>
      <c r="E14" s="209">
        <v>44508.486272799477</v>
      </c>
      <c r="G14" s="292">
        <v>79</v>
      </c>
      <c r="H14" s="210">
        <v>31</v>
      </c>
      <c r="I14" s="209">
        <v>57254.572896410988</v>
      </c>
      <c r="K14" s="292">
        <f t="shared" si="0"/>
        <v>172</v>
      </c>
      <c r="L14" s="125">
        <f t="shared" si="0"/>
        <v>45</v>
      </c>
      <c r="M14" s="209">
        <f t="shared" si="0"/>
        <v>101763.05916921046</v>
      </c>
    </row>
    <row r="15" spans="1:13">
      <c r="A15" s="123">
        <v>2027</v>
      </c>
      <c r="C15" s="292">
        <v>147</v>
      </c>
      <c r="D15" s="210">
        <v>28</v>
      </c>
      <c r="E15" s="209">
        <v>77389.29923710521</v>
      </c>
      <c r="G15" s="292">
        <v>51</v>
      </c>
      <c r="H15" s="210">
        <v>16</v>
      </c>
      <c r="I15" s="209">
        <v>30952.996474107</v>
      </c>
      <c r="K15" s="292">
        <f t="shared" si="0"/>
        <v>198</v>
      </c>
      <c r="L15" s="125">
        <f t="shared" si="0"/>
        <v>44</v>
      </c>
      <c r="M15" s="209">
        <f t="shared" si="0"/>
        <v>108342.29571121221</v>
      </c>
    </row>
    <row r="16" spans="1:13">
      <c r="A16" s="123">
        <v>2028</v>
      </c>
      <c r="C16" s="292">
        <v>91</v>
      </c>
      <c r="D16" s="210">
        <v>27</v>
      </c>
      <c r="E16" s="209">
        <v>56748.394136378382</v>
      </c>
      <c r="G16" s="292">
        <v>2</v>
      </c>
      <c r="H16" s="210">
        <v>11</v>
      </c>
      <c r="I16" s="209">
        <v>15366.761</v>
      </c>
      <c r="K16" s="292">
        <f t="shared" si="0"/>
        <v>93</v>
      </c>
      <c r="L16" s="125">
        <f t="shared" si="0"/>
        <v>38</v>
      </c>
      <c r="M16" s="209">
        <f t="shared" si="0"/>
        <v>72115.15513637838</v>
      </c>
    </row>
    <row r="17" spans="1:13">
      <c r="A17" s="123">
        <v>2029</v>
      </c>
      <c r="C17" s="292">
        <v>0</v>
      </c>
      <c r="D17" s="210">
        <v>25</v>
      </c>
      <c r="E17" s="209">
        <v>27994.008328720633</v>
      </c>
      <c r="G17" s="292"/>
      <c r="H17" s="210">
        <v>8</v>
      </c>
      <c r="I17" s="209">
        <v>8677.6680000000015</v>
      </c>
      <c r="K17" s="292">
        <f t="shared" si="0"/>
        <v>0</v>
      </c>
      <c r="L17" s="125">
        <f t="shared" si="0"/>
        <v>33</v>
      </c>
      <c r="M17" s="209">
        <f t="shared" si="0"/>
        <v>36671.676328720634</v>
      </c>
    </row>
    <row r="18" spans="1:13">
      <c r="A18" s="123">
        <v>2030</v>
      </c>
      <c r="C18" s="292">
        <v>0</v>
      </c>
      <c r="D18" s="210">
        <v>25</v>
      </c>
      <c r="E18" s="209">
        <v>27078.253206851114</v>
      </c>
      <c r="G18" s="292"/>
      <c r="H18" s="210">
        <v>2</v>
      </c>
      <c r="I18" s="209">
        <v>1858.509</v>
      </c>
      <c r="K18" s="292">
        <f t="shared" si="0"/>
        <v>0</v>
      </c>
      <c r="L18" s="125">
        <f t="shared" si="0"/>
        <v>27</v>
      </c>
      <c r="M18" s="209">
        <f t="shared" si="0"/>
        <v>28936.762206851112</v>
      </c>
    </row>
    <row r="19" spans="1:13">
      <c r="A19" s="123">
        <v>2031</v>
      </c>
      <c r="C19" s="292">
        <v>0</v>
      </c>
      <c r="D19" s="210">
        <v>12</v>
      </c>
      <c r="E19" s="209">
        <v>20159.478001588228</v>
      </c>
      <c r="G19" s="292">
        <v>0</v>
      </c>
      <c r="H19" s="210">
        <v>0</v>
      </c>
      <c r="I19" s="209">
        <v>0</v>
      </c>
      <c r="K19" s="292">
        <f t="shared" si="0"/>
        <v>0</v>
      </c>
      <c r="L19" s="125">
        <f t="shared" si="0"/>
        <v>12</v>
      </c>
      <c r="M19" s="209">
        <f t="shared" si="0"/>
        <v>20159.478001588228</v>
      </c>
    </row>
    <row r="20" spans="1:13" customFormat="1" ht="7.5" customHeight="1" thickBot="1">
      <c r="B20" s="3"/>
      <c r="C20" s="113"/>
      <c r="D20" s="114"/>
      <c r="E20" s="115"/>
      <c r="F20" s="3"/>
      <c r="G20" s="113"/>
      <c r="H20" s="114"/>
      <c r="I20" s="293"/>
      <c r="J20" s="3"/>
      <c r="K20" s="113"/>
      <c r="L20" s="114"/>
      <c r="M20" s="294"/>
    </row>
    <row r="21" spans="1:13" ht="13.5" thickBot="1">
      <c r="A21" s="118" t="s">
        <v>657</v>
      </c>
      <c r="C21" s="211">
        <f>SUM(C12:C20)</f>
        <v>513</v>
      </c>
      <c r="D21" s="211">
        <f>SUM(D12:D20)</f>
        <v>150</v>
      </c>
      <c r="E21" s="212">
        <f>SUM(E12:E19)</f>
        <v>371957.37874624587</v>
      </c>
      <c r="G21" s="211">
        <f>SUM(G12:G20)</f>
        <v>280</v>
      </c>
      <c r="H21" s="211">
        <f>SUM(H12:H20)</f>
        <v>100</v>
      </c>
      <c r="I21" s="212">
        <f>SUM(I12:I19)</f>
        <v>209345.285950636</v>
      </c>
      <c r="K21" s="211">
        <f>SUM(K12:K20)</f>
        <v>793</v>
      </c>
      <c r="L21" s="211">
        <f>SUM(L12:L20)</f>
        <v>250</v>
      </c>
      <c r="M21" s="211">
        <f>SUM(M12:M19)</f>
        <v>581302.6646968819</v>
      </c>
    </row>
    <row r="24" spans="1:13">
      <c r="A24" s="128" t="s">
        <v>1181</v>
      </c>
      <c r="C24" s="381" t="s">
        <v>1178</v>
      </c>
      <c r="D24" s="381"/>
      <c r="E24" s="381"/>
      <c r="G24" s="381" t="s">
        <v>39</v>
      </c>
      <c r="H24" s="381"/>
      <c r="I24" s="381"/>
      <c r="K24" s="381" t="s">
        <v>1183</v>
      </c>
      <c r="L24" s="381"/>
      <c r="M24" s="381"/>
    </row>
    <row r="25" spans="1:13" ht="3.75" customHeight="1">
      <c r="A25"/>
      <c r="C25" s="113"/>
      <c r="D25" s="114"/>
      <c r="E25" s="115"/>
      <c r="G25" s="113"/>
      <c r="H25" s="114"/>
      <c r="I25" s="115"/>
      <c r="K25"/>
      <c r="L25"/>
      <c r="M25"/>
    </row>
    <row r="26" spans="1:13" ht="25.5">
      <c r="A26" s="128" t="s">
        <v>656</v>
      </c>
      <c r="C26" s="129" t="s">
        <v>847</v>
      </c>
      <c r="D26" s="129" t="s">
        <v>848</v>
      </c>
      <c r="E26" s="214" t="s">
        <v>850</v>
      </c>
      <c r="G26" s="129" t="s">
        <v>847</v>
      </c>
      <c r="H26" s="129" t="s">
        <v>848</v>
      </c>
      <c r="I26" s="214" t="s">
        <v>850</v>
      </c>
      <c r="K26" s="129" t="s">
        <v>847</v>
      </c>
      <c r="L26" s="129" t="s">
        <v>848</v>
      </c>
      <c r="M26" s="214" t="s">
        <v>850</v>
      </c>
    </row>
    <row r="27" spans="1:13" customFormat="1" ht="3" customHeight="1">
      <c r="B27" s="3"/>
      <c r="C27" s="113"/>
      <c r="D27" s="114"/>
      <c r="E27" s="115"/>
      <c r="F27" s="3"/>
      <c r="G27" s="113"/>
      <c r="H27" s="114"/>
      <c r="I27" s="115"/>
      <c r="J27" s="3"/>
      <c r="K27" s="113"/>
      <c r="L27" s="114"/>
      <c r="M27" s="115"/>
    </row>
    <row r="28" spans="1:13" s="135" customFormat="1" ht="14.25" customHeight="1">
      <c r="A28" s="134"/>
      <c r="C28" s="136" t="s">
        <v>849</v>
      </c>
      <c r="D28" s="136" t="s">
        <v>849</v>
      </c>
      <c r="E28" s="136" t="s">
        <v>659</v>
      </c>
      <c r="G28" s="136" t="s">
        <v>849</v>
      </c>
      <c r="H28" s="136" t="s">
        <v>849</v>
      </c>
      <c r="I28" s="136" t="s">
        <v>659</v>
      </c>
      <c r="K28" s="136" t="s">
        <v>849</v>
      </c>
      <c r="L28" s="136" t="s">
        <v>849</v>
      </c>
      <c r="M28" s="136" t="s">
        <v>659</v>
      </c>
    </row>
    <row r="29" spans="1:13" s="38" customFormat="1" ht="4.5" customHeight="1">
      <c r="A29" s="131"/>
      <c r="C29" s="132"/>
      <c r="D29" s="132"/>
      <c r="E29" s="132"/>
      <c r="G29" s="133"/>
      <c r="H29" s="133"/>
      <c r="I29" s="133"/>
      <c r="K29" s="133"/>
      <c r="L29" s="133"/>
      <c r="M29" s="133"/>
    </row>
    <row r="30" spans="1:13">
      <c r="A30" s="123">
        <v>2024</v>
      </c>
      <c r="C30" s="292">
        <v>96</v>
      </c>
      <c r="D30" s="210">
        <v>6</v>
      </c>
      <c r="E30" s="209">
        <v>68205.667538833019</v>
      </c>
      <c r="G30" s="292">
        <v>133</v>
      </c>
      <c r="H30" s="210">
        <v>22</v>
      </c>
      <c r="I30" s="209">
        <v>51335.383627904012</v>
      </c>
      <c r="K30" s="292">
        <f t="shared" ref="K30:M37" si="1">C30+G30</f>
        <v>229</v>
      </c>
      <c r="L30" s="125">
        <f t="shared" si="1"/>
        <v>28</v>
      </c>
      <c r="M30" s="209">
        <f t="shared" si="1"/>
        <v>119541.05116673703</v>
      </c>
    </row>
    <row r="31" spans="1:13">
      <c r="A31" s="123">
        <v>2025</v>
      </c>
      <c r="C31" s="292">
        <v>90</v>
      </c>
      <c r="D31" s="210">
        <v>16</v>
      </c>
      <c r="E31" s="209">
        <v>58848.751599809693</v>
      </c>
      <c r="G31" s="292">
        <v>153</v>
      </c>
      <c r="H31" s="210">
        <v>37</v>
      </c>
      <c r="I31" s="209">
        <v>81597.895298192001</v>
      </c>
      <c r="K31" s="292">
        <f t="shared" si="1"/>
        <v>243</v>
      </c>
      <c r="L31" s="125">
        <f t="shared" si="1"/>
        <v>53</v>
      </c>
      <c r="M31" s="209">
        <f t="shared" si="1"/>
        <v>140446.64689800169</v>
      </c>
    </row>
    <row r="32" spans="1:13">
      <c r="A32" s="123">
        <v>2026</v>
      </c>
      <c r="C32" s="292">
        <v>100</v>
      </c>
      <c r="D32" s="210">
        <v>33</v>
      </c>
      <c r="E32" s="209">
        <v>81471.296245980397</v>
      </c>
      <c r="G32" s="292">
        <v>149</v>
      </c>
      <c r="H32" s="210">
        <v>48</v>
      </c>
      <c r="I32" s="209">
        <v>83489.531043383991</v>
      </c>
      <c r="K32" s="292">
        <f t="shared" si="1"/>
        <v>249</v>
      </c>
      <c r="L32" s="125">
        <f t="shared" si="1"/>
        <v>81</v>
      </c>
      <c r="M32" s="209">
        <f t="shared" si="1"/>
        <v>164960.82728936439</v>
      </c>
    </row>
    <row r="33" spans="1:13">
      <c r="A33" s="123">
        <v>2027</v>
      </c>
      <c r="C33" s="292">
        <v>153</v>
      </c>
      <c r="D33" s="210">
        <v>40</v>
      </c>
      <c r="E33" s="209">
        <v>96671.986755944876</v>
      </c>
      <c r="G33" s="292">
        <v>92</v>
      </c>
      <c r="H33" s="210">
        <v>35</v>
      </c>
      <c r="I33" s="209">
        <v>55827.199474107008</v>
      </c>
      <c r="K33" s="292">
        <f t="shared" si="1"/>
        <v>245</v>
      </c>
      <c r="L33" s="125">
        <f t="shared" si="1"/>
        <v>75</v>
      </c>
      <c r="M33" s="209">
        <f t="shared" si="1"/>
        <v>152499.18623005188</v>
      </c>
    </row>
    <row r="34" spans="1:13">
      <c r="A34" s="123">
        <v>2028</v>
      </c>
      <c r="C34" s="292">
        <v>99</v>
      </c>
      <c r="D34" s="210">
        <v>39</v>
      </c>
      <c r="E34" s="209">
        <v>71878.80069720668</v>
      </c>
      <c r="G34" s="292">
        <v>16</v>
      </c>
      <c r="H34" s="210">
        <v>34</v>
      </c>
      <c r="I34" s="209">
        <v>41795.240999999995</v>
      </c>
      <c r="K34" s="292">
        <f t="shared" si="1"/>
        <v>115</v>
      </c>
      <c r="L34" s="125">
        <f t="shared" si="1"/>
        <v>73</v>
      </c>
      <c r="M34" s="209">
        <f t="shared" si="1"/>
        <v>113674.04169720667</v>
      </c>
    </row>
    <row r="35" spans="1:13">
      <c r="A35" s="123">
        <v>2029</v>
      </c>
      <c r="C35" s="292">
        <v>0</v>
      </c>
      <c r="D35" s="210">
        <v>33</v>
      </c>
      <c r="E35" s="209">
        <v>42376.30744238547</v>
      </c>
      <c r="G35" s="292">
        <v>0</v>
      </c>
      <c r="H35" s="210">
        <v>23</v>
      </c>
      <c r="I35" s="209">
        <v>23979.903000000002</v>
      </c>
      <c r="K35" s="292">
        <f t="shared" si="1"/>
        <v>0</v>
      </c>
      <c r="L35" s="125">
        <f t="shared" si="1"/>
        <v>56</v>
      </c>
      <c r="M35" s="209">
        <f t="shared" si="1"/>
        <v>66356.210442385476</v>
      </c>
    </row>
    <row r="36" spans="1:13">
      <c r="A36" s="123">
        <v>2030</v>
      </c>
      <c r="C36" s="292">
        <v>0</v>
      </c>
      <c r="D36" s="210">
        <v>43</v>
      </c>
      <c r="E36" s="209">
        <v>52869.798835270856</v>
      </c>
      <c r="G36" s="292">
        <v>0</v>
      </c>
      <c r="H36" s="210">
        <v>17</v>
      </c>
      <c r="I36" s="209">
        <v>21207.313000000002</v>
      </c>
      <c r="K36" s="292">
        <f t="shared" si="1"/>
        <v>0</v>
      </c>
      <c r="L36" s="125">
        <f t="shared" si="1"/>
        <v>60</v>
      </c>
      <c r="M36" s="209">
        <f t="shared" si="1"/>
        <v>74077.111835270858</v>
      </c>
    </row>
    <row r="37" spans="1:13">
      <c r="A37" s="123">
        <v>2031</v>
      </c>
      <c r="C37" s="292">
        <v>0</v>
      </c>
      <c r="D37" s="210">
        <v>19</v>
      </c>
      <c r="E37" s="209">
        <v>31450.360544503677</v>
      </c>
      <c r="G37" s="292">
        <v>0</v>
      </c>
      <c r="H37" s="210">
        <v>0</v>
      </c>
      <c r="I37" s="209">
        <v>0</v>
      </c>
      <c r="K37" s="292">
        <f t="shared" si="1"/>
        <v>0</v>
      </c>
      <c r="L37" s="125">
        <f t="shared" si="1"/>
        <v>19</v>
      </c>
      <c r="M37" s="209">
        <f t="shared" si="1"/>
        <v>31450.360544503677</v>
      </c>
    </row>
    <row r="38" spans="1:13" customFormat="1" ht="7.5" customHeight="1" thickBot="1">
      <c r="B38" s="3"/>
      <c r="C38" s="113"/>
      <c r="D38" s="114"/>
      <c r="E38" s="115"/>
      <c r="F38" s="3"/>
      <c r="G38" s="113"/>
      <c r="H38" s="114"/>
      <c r="I38" s="293"/>
      <c r="J38" s="3"/>
      <c r="K38" s="113"/>
      <c r="L38" s="114"/>
      <c r="M38" s="294"/>
    </row>
    <row r="39" spans="1:13" ht="13.5" thickBot="1">
      <c r="A39" s="118" t="s">
        <v>657</v>
      </c>
      <c r="C39" s="211">
        <f>SUM(C30:C38)</f>
        <v>538</v>
      </c>
      <c r="D39" s="211">
        <f>SUM(D30:D38)</f>
        <v>229</v>
      </c>
      <c r="E39" s="212">
        <f>SUM(E30:E37)</f>
        <v>503772.96965993464</v>
      </c>
      <c r="G39" s="211">
        <f>SUM(G30:G38)</f>
        <v>543</v>
      </c>
      <c r="H39" s="211">
        <f>SUM(H30:H38)</f>
        <v>216</v>
      </c>
      <c r="I39" s="212">
        <f>SUM(I30:I37)</f>
        <v>359232.46644358704</v>
      </c>
      <c r="K39" s="211">
        <f>SUM(K30:K38)</f>
        <v>1081</v>
      </c>
      <c r="L39" s="211">
        <f>SUM(L30:L38)</f>
        <v>445</v>
      </c>
      <c r="M39" s="211">
        <f>SUM(M30:M37)</f>
        <v>863005.43610352173</v>
      </c>
    </row>
  </sheetData>
  <mergeCells count="6">
    <mergeCell ref="C6:E6"/>
    <mergeCell ref="G6:I6"/>
    <mergeCell ref="K6:M6"/>
    <mergeCell ref="C24:E24"/>
    <mergeCell ref="G24:I24"/>
    <mergeCell ref="K24:M24"/>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6C442-E9C3-475F-A8ED-D5E21659DEEA}">
  <dimension ref="B1:AM52"/>
  <sheetViews>
    <sheetView showGridLines="0" zoomScaleNormal="100" workbookViewId="0">
      <pane xSplit="4" ySplit="4" topLeftCell="V5" activePane="bottomRight" state="frozen"/>
      <selection activeCell="AE15" sqref="AE15"/>
      <selection pane="topRight" activeCell="AE15" sqref="AE15"/>
      <selection pane="bottomLeft" activeCell="AE15" sqref="AE15"/>
      <selection pane="bottomRight" activeCell="AL1" sqref="AL1:AM1048576"/>
    </sheetView>
  </sheetViews>
  <sheetFormatPr defaultColWidth="9.140625" defaultRowHeight="12.75" outlineLevelCol="1"/>
  <cols>
    <col min="1" max="1" width="3" style="3" customWidth="1"/>
    <col min="2" max="2" width="45.85546875" style="3" bestFit="1" customWidth="1"/>
    <col min="3" max="3" width="1.42578125" style="3" customWidth="1"/>
    <col min="4" max="4" width="33.5703125" style="3" customWidth="1"/>
    <col min="5" max="5" width="1.42578125" style="3" customWidth="1"/>
    <col min="6" max="6" width="12" style="3" bestFit="1" customWidth="1"/>
    <col min="7" max="7" width="12.7109375" style="3" bestFit="1" customWidth="1"/>
    <col min="8" max="11" width="12.7109375" style="3" hidden="1" customWidth="1" outlineLevel="1"/>
    <col min="12" max="12" width="13.42578125" style="3" customWidth="1" collapsed="1"/>
    <col min="13" max="16" width="12.7109375" style="3" hidden="1" customWidth="1" outlineLevel="1"/>
    <col min="17" max="17" width="12.7109375" style="3" customWidth="1" collapsed="1"/>
    <col min="18" max="21" width="12.7109375" style="3" hidden="1" customWidth="1" outlineLevel="1"/>
    <col min="22" max="22" width="12.7109375" style="3" customWidth="1" collapsed="1"/>
    <col min="23" max="28" width="12.7109375" style="3" hidden="1" customWidth="1" outlineLevel="1"/>
    <col min="29" max="29" width="12.7109375" style="3" customWidth="1" collapsed="1"/>
    <col min="30" max="37" width="13.140625" style="3" customWidth="1"/>
    <col min="38" max="16384" width="9.140625" style="3"/>
  </cols>
  <sheetData>
    <row r="1" spans="2:39">
      <c r="G1" s="18"/>
      <c r="H1" s="18"/>
      <c r="I1" s="18"/>
      <c r="J1" s="18"/>
      <c r="K1" s="18"/>
      <c r="M1" s="18"/>
      <c r="N1" s="18"/>
      <c r="O1" s="18"/>
      <c r="P1" s="18"/>
      <c r="Q1" s="18"/>
      <c r="R1" s="18"/>
      <c r="S1" s="18"/>
      <c r="T1" s="18"/>
      <c r="U1" s="18"/>
      <c r="V1" s="18"/>
      <c r="W1" s="18"/>
      <c r="X1" s="18"/>
      <c r="Y1" s="18"/>
      <c r="Z1" s="18"/>
      <c r="AA1" s="18"/>
      <c r="AB1" s="18"/>
      <c r="AC1" s="18"/>
      <c r="AD1" s="18"/>
      <c r="AE1" s="18"/>
      <c r="AF1" s="18"/>
      <c r="AG1" s="18"/>
      <c r="AH1" s="18"/>
      <c r="AI1" s="18"/>
      <c r="AJ1" s="18"/>
    </row>
    <row r="2" spans="2:39" ht="18.75">
      <c r="D2" s="182" t="s">
        <v>829</v>
      </c>
      <c r="F2" s="17"/>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row>
    <row r="4" spans="2:39" ht="17.25">
      <c r="B4" s="23" t="s">
        <v>27</v>
      </c>
      <c r="C4" s="1"/>
      <c r="D4" s="23" t="s">
        <v>688</v>
      </c>
      <c r="E4" s="1"/>
      <c r="F4" s="2">
        <v>2018</v>
      </c>
      <c r="G4" s="2">
        <v>2019</v>
      </c>
      <c r="H4" s="22" t="s">
        <v>730</v>
      </c>
      <c r="I4" s="22" t="s">
        <v>731</v>
      </c>
      <c r="J4" s="22" t="s">
        <v>732</v>
      </c>
      <c r="K4" s="22" t="s">
        <v>733</v>
      </c>
      <c r="L4" s="2">
        <v>2020</v>
      </c>
      <c r="M4" s="22" t="s">
        <v>691</v>
      </c>
      <c r="N4" s="22" t="s">
        <v>734</v>
      </c>
      <c r="O4" s="22" t="s">
        <v>735</v>
      </c>
      <c r="P4" s="22" t="s">
        <v>736</v>
      </c>
      <c r="Q4" s="22">
        <v>2021</v>
      </c>
      <c r="R4" s="22" t="s">
        <v>694</v>
      </c>
      <c r="S4" s="22" t="s">
        <v>834</v>
      </c>
      <c r="T4" s="22" t="s">
        <v>859</v>
      </c>
      <c r="U4" s="22" t="s">
        <v>923</v>
      </c>
      <c r="V4" s="22">
        <v>2022</v>
      </c>
      <c r="W4" s="22" t="s">
        <v>933</v>
      </c>
      <c r="X4" s="22" t="s">
        <v>981</v>
      </c>
      <c r="Y4" s="22" t="s">
        <v>837</v>
      </c>
      <c r="Z4" s="22" t="s">
        <v>1058</v>
      </c>
      <c r="AA4" s="22" t="s">
        <v>1059</v>
      </c>
      <c r="AB4" s="22" t="s">
        <v>1102</v>
      </c>
      <c r="AC4" s="22">
        <v>2023</v>
      </c>
      <c r="AD4" s="22" t="s">
        <v>1206</v>
      </c>
      <c r="AE4" s="22" t="s">
        <v>1240</v>
      </c>
      <c r="AF4" s="22" t="s">
        <v>1241</v>
      </c>
      <c r="AG4" s="22" t="s">
        <v>1242</v>
      </c>
      <c r="AH4" s="22" t="s">
        <v>1243</v>
      </c>
      <c r="AI4" s="22" t="s">
        <v>1244</v>
      </c>
      <c r="AJ4" s="22">
        <v>2024</v>
      </c>
    </row>
    <row r="5" spans="2:39" ht="6.75" customHeight="1">
      <c r="B5" s="1"/>
      <c r="C5" s="1"/>
      <c r="D5" s="1"/>
      <c r="E5" s="1"/>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row>
    <row r="6" spans="2:39">
      <c r="B6" s="3" t="s">
        <v>193</v>
      </c>
      <c r="C6" s="1"/>
      <c r="D6" s="3" t="s">
        <v>719</v>
      </c>
      <c r="E6" s="1"/>
      <c r="F6" s="13">
        <v>299668</v>
      </c>
      <c r="G6" s="13">
        <v>339923</v>
      </c>
      <c r="H6" s="13">
        <v>195548</v>
      </c>
      <c r="I6" s="13">
        <v>185488</v>
      </c>
      <c r="J6" s="13">
        <v>200177</v>
      </c>
      <c r="K6" s="13">
        <v>206628</v>
      </c>
      <c r="L6" s="13">
        <v>787841</v>
      </c>
      <c r="M6" s="13">
        <v>245788</v>
      </c>
      <c r="N6" s="13">
        <v>249110</v>
      </c>
      <c r="O6" s="13">
        <v>260344</v>
      </c>
      <c r="P6" s="13">
        <v>285362</v>
      </c>
      <c r="Q6" s="13">
        <v>1040604</v>
      </c>
      <c r="R6" s="13">
        <v>703476</v>
      </c>
      <c r="S6" s="13">
        <v>691009</v>
      </c>
      <c r="T6" s="13">
        <v>804848</v>
      </c>
      <c r="U6" s="13">
        <v>776606</v>
      </c>
      <c r="V6" s="13">
        <v>2975939</v>
      </c>
      <c r="W6" s="13">
        <v>719212</v>
      </c>
      <c r="X6" s="13">
        <v>658314</v>
      </c>
      <c r="Y6" s="13">
        <v>1377526</v>
      </c>
      <c r="Z6" s="13">
        <v>747829</v>
      </c>
      <c r="AA6" s="13">
        <v>2125355</v>
      </c>
      <c r="AB6" s="13">
        <f>AC6-AA6</f>
        <v>689006</v>
      </c>
      <c r="AC6" s="13">
        <v>2814361</v>
      </c>
      <c r="AD6" s="13">
        <v>744735</v>
      </c>
      <c r="AE6" s="13">
        <v>826254</v>
      </c>
      <c r="AF6" s="13">
        <v>1570989</v>
      </c>
      <c r="AG6" s="13">
        <v>850189</v>
      </c>
      <c r="AH6" s="13">
        <v>2421178</v>
      </c>
      <c r="AI6" s="13">
        <v>0</v>
      </c>
      <c r="AJ6" s="13">
        <v>0</v>
      </c>
      <c r="AL6" s="171"/>
      <c r="AM6" s="171"/>
    </row>
    <row r="7" spans="2:39">
      <c r="B7" s="3" t="s">
        <v>81</v>
      </c>
      <c r="C7" s="1"/>
      <c r="D7" s="3" t="s">
        <v>811</v>
      </c>
      <c r="E7" s="1"/>
      <c r="F7" s="9">
        <v>-187387</v>
      </c>
      <c r="G7" s="9">
        <v>-253367</v>
      </c>
      <c r="H7" s="9">
        <v>-128605</v>
      </c>
      <c r="I7" s="9">
        <v>-111882</v>
      </c>
      <c r="J7" s="9">
        <v>-118385</v>
      </c>
      <c r="K7" s="13">
        <v>-151727.57857999997</v>
      </c>
      <c r="L7" s="9">
        <v>-510599.57857999997</v>
      </c>
      <c r="M7" s="9">
        <v>-153098</v>
      </c>
      <c r="N7" s="9">
        <v>-166331</v>
      </c>
      <c r="O7" s="9">
        <v>-179203</v>
      </c>
      <c r="P7" s="13">
        <v>-169218</v>
      </c>
      <c r="Q7" s="13">
        <v>-667850</v>
      </c>
      <c r="R7" s="13">
        <v>-333865</v>
      </c>
      <c r="S7" s="13">
        <v>-367690</v>
      </c>
      <c r="T7" s="13">
        <v>-420747</v>
      </c>
      <c r="U7" s="13">
        <v>-412110</v>
      </c>
      <c r="V7" s="13">
        <v>-1534412</v>
      </c>
      <c r="W7" s="13">
        <v>-442263</v>
      </c>
      <c r="X7" s="13">
        <v>-472834</v>
      </c>
      <c r="Y7" s="13">
        <v>-915097</v>
      </c>
      <c r="Z7" s="13">
        <v>-499783</v>
      </c>
      <c r="AA7" s="13">
        <v>-1414880</v>
      </c>
      <c r="AB7" s="13">
        <f>AC7-AA7</f>
        <v>-501781</v>
      </c>
      <c r="AC7" s="13">
        <v>-1916661</v>
      </c>
      <c r="AD7" s="13">
        <v>-475848</v>
      </c>
      <c r="AE7" s="13">
        <v>-501955</v>
      </c>
      <c r="AF7" s="13">
        <v>-977803</v>
      </c>
      <c r="AG7" s="13">
        <v>-564861</v>
      </c>
      <c r="AH7" s="13">
        <v>-1542664</v>
      </c>
      <c r="AI7" s="13">
        <v>0</v>
      </c>
      <c r="AJ7" s="13">
        <v>0</v>
      </c>
      <c r="AL7" s="171"/>
      <c r="AM7" s="171"/>
    </row>
    <row r="8" spans="2:39" ht="4.5" customHeight="1" thickBot="1">
      <c r="B8" s="10"/>
      <c r="C8" s="1"/>
      <c r="D8" s="10"/>
      <c r="E8" s="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row>
    <row r="9" spans="2:39" ht="13.5" thickBot="1">
      <c r="B9" s="28" t="s">
        <v>41</v>
      </c>
      <c r="C9" s="27"/>
      <c r="D9" s="28" t="s">
        <v>812</v>
      </c>
      <c r="E9" s="27"/>
      <c r="F9" s="40">
        <v>112281</v>
      </c>
      <c r="G9" s="40">
        <v>86556</v>
      </c>
      <c r="H9" s="40">
        <v>66943</v>
      </c>
      <c r="I9" s="40">
        <v>73606</v>
      </c>
      <c r="J9" s="40">
        <v>81792</v>
      </c>
      <c r="K9" s="40">
        <v>54900.421420000028</v>
      </c>
      <c r="L9" s="40">
        <v>277241.42142000003</v>
      </c>
      <c r="M9" s="40">
        <v>92690</v>
      </c>
      <c r="N9" s="40">
        <v>82779</v>
      </c>
      <c r="O9" s="40">
        <v>81141</v>
      </c>
      <c r="P9" s="40">
        <v>116144</v>
      </c>
      <c r="Q9" s="40">
        <v>372754</v>
      </c>
      <c r="R9" s="40">
        <v>369611</v>
      </c>
      <c r="S9" s="40">
        <v>323319</v>
      </c>
      <c r="T9" s="40">
        <f t="shared" ref="T9:Y9" si="0">SUM(T6:T7)</f>
        <v>384101</v>
      </c>
      <c r="U9" s="40">
        <f t="shared" si="0"/>
        <v>364496</v>
      </c>
      <c r="V9" s="40">
        <f t="shared" si="0"/>
        <v>1441527</v>
      </c>
      <c r="W9" s="40">
        <f t="shared" si="0"/>
        <v>276949</v>
      </c>
      <c r="X9" s="40">
        <f t="shared" si="0"/>
        <v>185480</v>
      </c>
      <c r="Y9" s="40">
        <f t="shared" si="0"/>
        <v>462429</v>
      </c>
      <c r="Z9" s="40">
        <f>SUM(Z6:Z7)</f>
        <v>248046</v>
      </c>
      <c r="AA9" s="40">
        <f>SUM(AA6:AA7)</f>
        <v>710475</v>
      </c>
      <c r="AB9" s="40">
        <f>AC9-AA9</f>
        <v>187225</v>
      </c>
      <c r="AC9" s="40">
        <f>SUM(AC6:AC7)</f>
        <v>897700</v>
      </c>
      <c r="AD9" s="40">
        <f>SUM(AD6:AD7)</f>
        <v>268887</v>
      </c>
      <c r="AE9" s="40">
        <f>SUM(AE6:AE7)</f>
        <v>324299</v>
      </c>
      <c r="AF9" s="40">
        <f t="shared" ref="AF9:AJ9" si="1">SUM(AF6:AF7)</f>
        <v>593186</v>
      </c>
      <c r="AG9" s="40">
        <f t="shared" si="1"/>
        <v>285328</v>
      </c>
      <c r="AH9" s="40">
        <f t="shared" si="1"/>
        <v>878514</v>
      </c>
      <c r="AI9" s="40">
        <f t="shared" si="1"/>
        <v>0</v>
      </c>
      <c r="AJ9" s="40">
        <f t="shared" si="1"/>
        <v>0</v>
      </c>
      <c r="AL9" s="171"/>
      <c r="AM9" s="171"/>
    </row>
    <row r="10" spans="2:39" ht="6.75" customHeight="1">
      <c r="F10" s="5"/>
      <c r="G10" s="5"/>
      <c r="H10" s="5"/>
      <c r="I10" s="5"/>
      <c r="J10" s="5"/>
      <c r="K10" s="5"/>
      <c r="L10" s="6"/>
      <c r="M10" s="6"/>
      <c r="N10" s="6"/>
      <c r="O10" s="6"/>
      <c r="P10" s="6"/>
      <c r="Q10" s="6"/>
      <c r="R10" s="6"/>
      <c r="S10" s="6"/>
      <c r="T10" s="6"/>
      <c r="U10" s="6"/>
      <c r="V10" s="6"/>
      <c r="W10" s="6"/>
      <c r="X10" s="6"/>
      <c r="Y10" s="6"/>
      <c r="Z10" s="6"/>
      <c r="AA10" s="6"/>
      <c r="AB10" s="6"/>
      <c r="AC10" s="6"/>
      <c r="AD10" s="6"/>
      <c r="AE10" s="6"/>
      <c r="AF10" s="6"/>
      <c r="AG10" s="6"/>
      <c r="AH10" s="6"/>
      <c r="AI10" s="6"/>
      <c r="AJ10" s="6"/>
    </row>
    <row r="11" spans="2:39">
      <c r="B11" s="7" t="s">
        <v>42</v>
      </c>
      <c r="D11" s="7" t="s">
        <v>813</v>
      </c>
      <c r="F11" s="5"/>
      <c r="G11" s="5"/>
      <c r="H11" s="5"/>
      <c r="I11" s="5"/>
      <c r="J11" s="5"/>
      <c r="K11" s="5"/>
      <c r="L11" s="6"/>
      <c r="M11" s="6"/>
      <c r="N11" s="6"/>
      <c r="O11" s="6"/>
      <c r="P11" s="6"/>
      <c r="Q11" s="6"/>
      <c r="R11" s="6"/>
      <c r="S11" s="6"/>
      <c r="T11" s="6"/>
      <c r="U11" s="13"/>
      <c r="V11" s="13"/>
      <c r="W11" s="6"/>
      <c r="X11" s="6"/>
      <c r="Y11" s="6"/>
      <c r="Z11" s="6"/>
      <c r="AA11" s="6"/>
      <c r="AB11" s="6"/>
      <c r="AC11" s="6"/>
      <c r="AD11" s="6"/>
      <c r="AE11" s="6"/>
      <c r="AF11" s="6"/>
      <c r="AG11" s="6"/>
      <c r="AH11" s="6"/>
      <c r="AI11" s="6"/>
      <c r="AJ11" s="6"/>
    </row>
    <row r="12" spans="2:39">
      <c r="B12" s="10" t="s">
        <v>871</v>
      </c>
      <c r="D12" s="10" t="s">
        <v>882</v>
      </c>
      <c r="F12" s="13">
        <v>0</v>
      </c>
      <c r="G12" s="13">
        <v>0</v>
      </c>
      <c r="H12" s="13">
        <v>0</v>
      </c>
      <c r="I12" s="13">
        <v>0</v>
      </c>
      <c r="J12" s="13">
        <v>0</v>
      </c>
      <c r="K12" s="13">
        <v>0</v>
      </c>
      <c r="L12" s="13">
        <v>0</v>
      </c>
      <c r="M12" s="13">
        <v>0</v>
      </c>
      <c r="N12" s="13">
        <v>0</v>
      </c>
      <c r="O12" s="13">
        <v>0</v>
      </c>
      <c r="P12" s="13">
        <v>0</v>
      </c>
      <c r="Q12" s="13">
        <v>0</v>
      </c>
      <c r="R12" s="13">
        <v>0</v>
      </c>
      <c r="S12" s="13">
        <v>0</v>
      </c>
      <c r="T12" s="13">
        <v>-37962</v>
      </c>
      <c r="U12" s="13">
        <v>-32749</v>
      </c>
      <c r="V12" s="13">
        <v>-70711</v>
      </c>
      <c r="W12" s="13">
        <v>0</v>
      </c>
      <c r="X12" s="13">
        <v>0</v>
      </c>
      <c r="Y12" s="13">
        <v>0</v>
      </c>
      <c r="Z12" s="13">
        <v>0</v>
      </c>
      <c r="AA12" s="13">
        <v>0</v>
      </c>
      <c r="AB12" s="13">
        <f>AC12-AA12</f>
        <v>0</v>
      </c>
      <c r="AC12" s="13">
        <v>0</v>
      </c>
      <c r="AD12" s="13">
        <v>0</v>
      </c>
      <c r="AE12" s="13">
        <v>0</v>
      </c>
      <c r="AF12" s="13">
        <v>0</v>
      </c>
      <c r="AG12" s="13">
        <v>0</v>
      </c>
      <c r="AH12" s="13">
        <v>0</v>
      </c>
      <c r="AI12" s="13">
        <v>0</v>
      </c>
      <c r="AJ12" s="13">
        <v>0</v>
      </c>
      <c r="AL12" s="171"/>
      <c r="AM12" s="171"/>
    </row>
    <row r="13" spans="2:39">
      <c r="B13" s="10" t="s">
        <v>1060</v>
      </c>
      <c r="D13" s="10" t="s">
        <v>1207</v>
      </c>
      <c r="F13" s="13">
        <v>-24763</v>
      </c>
      <c r="G13" s="13">
        <v>-31525</v>
      </c>
      <c r="H13" s="13">
        <v>-14882</v>
      </c>
      <c r="I13" s="13">
        <v>-8311</v>
      </c>
      <c r="J13" s="13">
        <v>-12384</v>
      </c>
      <c r="K13" s="13">
        <v>-11909</v>
      </c>
      <c r="L13" s="13">
        <v>-47486</v>
      </c>
      <c r="M13" s="13">
        <v>-11283</v>
      </c>
      <c r="N13" s="13">
        <v>-18188</v>
      </c>
      <c r="O13" s="13">
        <v>-11315</v>
      </c>
      <c r="P13" s="13">
        <v>-22058</v>
      </c>
      <c r="Q13" s="13">
        <v>-62844</v>
      </c>
      <c r="R13" s="13">
        <v>-21788</v>
      </c>
      <c r="S13" s="13">
        <v>-23913</v>
      </c>
      <c r="T13" s="13">
        <v>-29803</v>
      </c>
      <c r="U13" s="13">
        <v>-34873</v>
      </c>
      <c r="V13" s="13">
        <v>-110377</v>
      </c>
      <c r="W13" s="13">
        <v>-45840</v>
      </c>
      <c r="X13" s="13">
        <v>-35741</v>
      </c>
      <c r="Y13" s="13">
        <v>-81581</v>
      </c>
      <c r="Z13" s="13">
        <v>-48862</v>
      </c>
      <c r="AA13" s="13">
        <v>-130443</v>
      </c>
      <c r="AB13" s="13">
        <f>AC13-AA13</f>
        <v>-83622</v>
      </c>
      <c r="AC13" s="13">
        <v>-214065</v>
      </c>
      <c r="AD13" s="13">
        <v>-42618</v>
      </c>
      <c r="AE13" s="13">
        <v>-48331</v>
      </c>
      <c r="AF13" s="13">
        <v>-90949</v>
      </c>
      <c r="AG13" s="13">
        <v>-55612</v>
      </c>
      <c r="AH13" s="13">
        <v>-146561</v>
      </c>
      <c r="AI13" s="13">
        <v>0</v>
      </c>
      <c r="AJ13" s="13">
        <v>0</v>
      </c>
      <c r="AL13" s="171"/>
      <c r="AM13" s="171"/>
    </row>
    <row r="14" spans="2:39">
      <c r="B14" s="10" t="s">
        <v>43</v>
      </c>
      <c r="D14" s="10" t="s">
        <v>818</v>
      </c>
      <c r="F14" s="13">
        <v>2070</v>
      </c>
      <c r="G14" s="13">
        <v>5415</v>
      </c>
      <c r="H14" s="13">
        <v>-2</v>
      </c>
      <c r="I14" s="13">
        <v>565</v>
      </c>
      <c r="J14" s="13">
        <v>-2354</v>
      </c>
      <c r="K14" s="13">
        <v>3855.5785800000003</v>
      </c>
      <c r="L14" s="13">
        <v>2064.5785800000003</v>
      </c>
      <c r="M14" s="13">
        <v>-10827</v>
      </c>
      <c r="N14" s="13">
        <v>-1618</v>
      </c>
      <c r="O14" s="13">
        <v>-12888</v>
      </c>
      <c r="P14" s="13">
        <v>29</v>
      </c>
      <c r="Q14" s="13">
        <v>-25304</v>
      </c>
      <c r="R14" s="13">
        <v>-3016</v>
      </c>
      <c r="S14" s="13">
        <v>-4643</v>
      </c>
      <c r="T14" s="13">
        <v>-5483</v>
      </c>
      <c r="U14" s="13">
        <v>10903</v>
      </c>
      <c r="V14" s="13">
        <v>-2239</v>
      </c>
      <c r="W14" s="13">
        <v>-196</v>
      </c>
      <c r="X14" s="13">
        <v>24313</v>
      </c>
      <c r="Y14" s="13">
        <v>24117</v>
      </c>
      <c r="Z14" s="13">
        <v>-4272</v>
      </c>
      <c r="AA14" s="13">
        <v>19845</v>
      </c>
      <c r="AB14" s="9">
        <f>AC14-AA14</f>
        <v>-23663</v>
      </c>
      <c r="AC14" s="13">
        <v>-3818</v>
      </c>
      <c r="AD14" s="13">
        <v>-26779</v>
      </c>
      <c r="AE14" s="13">
        <v>-6867</v>
      </c>
      <c r="AF14" s="13">
        <v>-33646</v>
      </c>
      <c r="AG14" s="13">
        <v>6688</v>
      </c>
      <c r="AH14" s="13">
        <v>-26958</v>
      </c>
      <c r="AI14" s="13">
        <v>0</v>
      </c>
      <c r="AJ14" s="13">
        <v>0</v>
      </c>
      <c r="AL14" s="171"/>
      <c r="AM14" s="171"/>
    </row>
    <row r="15" spans="2:39" ht="4.5" customHeight="1" thickBot="1">
      <c r="B15" s="14" t="s">
        <v>9</v>
      </c>
      <c r="C15" s="1"/>
      <c r="D15" s="14" t="s">
        <v>700</v>
      </c>
      <c r="E15" s="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row>
    <row r="16" spans="2:39" ht="13.5" thickBot="1">
      <c r="B16" s="28" t="s">
        <v>48</v>
      </c>
      <c r="C16" s="27"/>
      <c r="D16" s="28" t="s">
        <v>720</v>
      </c>
      <c r="E16" s="27"/>
      <c r="F16" s="40">
        <v>-22693</v>
      </c>
      <c r="G16" s="40">
        <v>-26110</v>
      </c>
      <c r="H16" s="40">
        <v>-14884</v>
      </c>
      <c r="I16" s="40">
        <v>-7746</v>
      </c>
      <c r="J16" s="40">
        <v>-14738</v>
      </c>
      <c r="K16" s="40">
        <v>-8053.4214199999997</v>
      </c>
      <c r="L16" s="40">
        <v>-45421.421419999999</v>
      </c>
      <c r="M16" s="40">
        <v>-22110</v>
      </c>
      <c r="N16" s="40">
        <v>-19806</v>
      </c>
      <c r="O16" s="40">
        <v>-24203</v>
      </c>
      <c r="P16" s="40">
        <v>-22029</v>
      </c>
      <c r="Q16" s="40">
        <v>-88148</v>
      </c>
      <c r="R16" s="40">
        <v>-24804</v>
      </c>
      <c r="S16" s="40">
        <v>-28556</v>
      </c>
      <c r="T16" s="40">
        <f t="shared" ref="T16:Y16" si="2">SUM(T12:T14)</f>
        <v>-73248</v>
      </c>
      <c r="U16" s="40">
        <f t="shared" si="2"/>
        <v>-56719</v>
      </c>
      <c r="V16" s="40">
        <f t="shared" si="2"/>
        <v>-183327</v>
      </c>
      <c r="W16" s="40">
        <f t="shared" si="2"/>
        <v>-46036</v>
      </c>
      <c r="X16" s="40">
        <f t="shared" si="2"/>
        <v>-11428</v>
      </c>
      <c r="Y16" s="40">
        <f t="shared" si="2"/>
        <v>-57464</v>
      </c>
      <c r="Z16" s="40">
        <f>SUM(Z12:Z14)</f>
        <v>-53134</v>
      </c>
      <c r="AA16" s="40">
        <f>SUM(AA12:AA14)</f>
        <v>-110598</v>
      </c>
      <c r="AB16" s="40">
        <f>AC16-AA16</f>
        <v>-107285</v>
      </c>
      <c r="AC16" s="40">
        <f>SUM(AC12:AC14)</f>
        <v>-217883</v>
      </c>
      <c r="AD16" s="40">
        <f>SUM(AD12:AD14)</f>
        <v>-69397</v>
      </c>
      <c r="AE16" s="40">
        <f>SUM(AE12:AE14)</f>
        <v>-55198</v>
      </c>
      <c r="AF16" s="40">
        <f t="shared" ref="AF16:AJ16" si="3">SUM(AF12:AF14)</f>
        <v>-124595</v>
      </c>
      <c r="AG16" s="40">
        <f t="shared" si="3"/>
        <v>-48924</v>
      </c>
      <c r="AH16" s="40">
        <f t="shared" si="3"/>
        <v>-173519</v>
      </c>
      <c r="AI16" s="40">
        <f t="shared" si="3"/>
        <v>0</v>
      </c>
      <c r="AJ16" s="40">
        <f t="shared" si="3"/>
        <v>0</v>
      </c>
      <c r="AL16" s="171"/>
      <c r="AM16" s="171"/>
    </row>
    <row r="17" spans="2:39" ht="13.5" thickBot="1">
      <c r="B17" s="10"/>
      <c r="C17" s="1"/>
      <c r="D17" s="10"/>
      <c r="E17" s="1"/>
    </row>
    <row r="18" spans="2:39" s="1" customFormat="1" ht="13.5" thickBot="1">
      <c r="B18" s="28" t="s">
        <v>685</v>
      </c>
      <c r="C18" s="27"/>
      <c r="D18" s="28" t="s">
        <v>814</v>
      </c>
      <c r="E18" s="27"/>
      <c r="F18" s="41">
        <v>89588</v>
      </c>
      <c r="G18" s="41">
        <v>60446</v>
      </c>
      <c r="H18" s="41">
        <v>52059</v>
      </c>
      <c r="I18" s="41">
        <v>65860</v>
      </c>
      <c r="J18" s="41">
        <v>67054</v>
      </c>
      <c r="K18" s="41">
        <v>46847.000000000029</v>
      </c>
      <c r="L18" s="41">
        <v>231820.00000000003</v>
      </c>
      <c r="M18" s="41">
        <v>70580</v>
      </c>
      <c r="N18" s="41">
        <v>62973</v>
      </c>
      <c r="O18" s="41">
        <v>56938</v>
      </c>
      <c r="P18" s="41">
        <v>94115</v>
      </c>
      <c r="Q18" s="41">
        <v>284606</v>
      </c>
      <c r="R18" s="41">
        <v>344807</v>
      </c>
      <c r="S18" s="41">
        <v>294763</v>
      </c>
      <c r="T18" s="41">
        <f>T16+T9</f>
        <v>310853</v>
      </c>
      <c r="U18" s="41">
        <f t="shared" ref="U18:Z18" si="4">U9+U16</f>
        <v>307777</v>
      </c>
      <c r="V18" s="41">
        <f t="shared" si="4"/>
        <v>1258200</v>
      </c>
      <c r="W18" s="41">
        <f t="shared" si="4"/>
        <v>230913</v>
      </c>
      <c r="X18" s="41">
        <f t="shared" si="4"/>
        <v>174052</v>
      </c>
      <c r="Y18" s="41">
        <f t="shared" si="4"/>
        <v>404965</v>
      </c>
      <c r="Z18" s="41">
        <f t="shared" si="4"/>
        <v>194912</v>
      </c>
      <c r="AA18" s="41">
        <f>AA9+AA16</f>
        <v>599877</v>
      </c>
      <c r="AB18" s="41">
        <f>AC18-AA18</f>
        <v>79940</v>
      </c>
      <c r="AC18" s="41">
        <f>AC9+AC16</f>
        <v>679817</v>
      </c>
      <c r="AD18" s="41">
        <f>AD9+AD16</f>
        <v>199490</v>
      </c>
      <c r="AE18" s="41">
        <f>AE9+AE16</f>
        <v>269101</v>
      </c>
      <c r="AF18" s="41">
        <f t="shared" ref="AF18:AJ18" si="5">AF9+AF16</f>
        <v>468591</v>
      </c>
      <c r="AG18" s="41">
        <f t="shared" si="5"/>
        <v>236404</v>
      </c>
      <c r="AH18" s="41">
        <f t="shared" si="5"/>
        <v>704995</v>
      </c>
      <c r="AI18" s="41">
        <f t="shared" si="5"/>
        <v>0</v>
      </c>
      <c r="AJ18" s="41">
        <f t="shared" si="5"/>
        <v>0</v>
      </c>
      <c r="AL18" s="171"/>
      <c r="AM18" s="171"/>
    </row>
    <row r="19" spans="2:39">
      <c r="B19" s="10"/>
      <c r="C19" s="1"/>
      <c r="D19" s="10"/>
      <c r="E19" s="1"/>
    </row>
    <row r="20" spans="2:39">
      <c r="B20" s="7" t="s">
        <v>44</v>
      </c>
      <c r="C20" s="1"/>
      <c r="D20" s="7" t="s">
        <v>815</v>
      </c>
      <c r="E20" s="1"/>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row>
    <row r="21" spans="2:39">
      <c r="B21" s="10" t="s">
        <v>44</v>
      </c>
      <c r="C21" s="1"/>
      <c r="D21" s="10" t="s">
        <v>1103</v>
      </c>
      <c r="E21" s="1"/>
      <c r="F21" s="50">
        <v>-894</v>
      </c>
      <c r="G21" s="50">
        <v>11392</v>
      </c>
      <c r="H21" s="50">
        <v>-256891</v>
      </c>
      <c r="I21" s="50">
        <v>-85454</v>
      </c>
      <c r="J21" s="50">
        <v>-53788</v>
      </c>
      <c r="K21" s="50">
        <v>46676</v>
      </c>
      <c r="L21" s="50">
        <v>-349457</v>
      </c>
      <c r="M21" s="50">
        <v>-94785</v>
      </c>
      <c r="N21" s="50">
        <v>63670</v>
      </c>
      <c r="O21" s="50">
        <v>-21140</v>
      </c>
      <c r="P21" s="13">
        <v>1266</v>
      </c>
      <c r="Q21" s="50">
        <v>-50989</v>
      </c>
      <c r="R21" s="50">
        <v>185855</v>
      </c>
      <c r="S21" s="50">
        <v>-126853</v>
      </c>
      <c r="T21" s="13">
        <v>-45488</v>
      </c>
      <c r="U21" s="13">
        <v>52886</v>
      </c>
      <c r="V21" s="13">
        <v>66400</v>
      </c>
      <c r="W21" s="13">
        <v>6301</v>
      </c>
      <c r="X21" s="13">
        <v>55392</v>
      </c>
      <c r="Y21" s="13">
        <v>61693</v>
      </c>
      <c r="Z21" s="13">
        <v>-48395</v>
      </c>
      <c r="AA21" s="13">
        <v>13298</v>
      </c>
      <c r="AB21" s="13">
        <v>34785</v>
      </c>
      <c r="AC21" s="13">
        <v>49012</v>
      </c>
      <c r="AD21" s="13">
        <v>-70978</v>
      </c>
      <c r="AE21" s="13">
        <v>-216252</v>
      </c>
      <c r="AF21" s="13">
        <v>-287230</v>
      </c>
      <c r="AG21" s="13">
        <v>-40324</v>
      </c>
      <c r="AH21" s="13">
        <v>-327554</v>
      </c>
      <c r="AI21" s="13">
        <v>0</v>
      </c>
      <c r="AJ21" s="13">
        <v>0</v>
      </c>
      <c r="AL21" s="171"/>
      <c r="AM21" s="171"/>
    </row>
    <row r="22" spans="2:39" ht="13.5" thickBot="1">
      <c r="F22" s="13"/>
      <c r="G22" s="13"/>
      <c r="H22" s="13"/>
      <c r="I22" s="13"/>
      <c r="J22" s="13"/>
      <c r="K22" s="13"/>
      <c r="L22" s="13"/>
      <c r="M22" s="13"/>
      <c r="N22" s="13"/>
      <c r="O22" s="13"/>
      <c r="P22" s="13"/>
      <c r="Q22" s="13"/>
      <c r="R22" s="13"/>
      <c r="S22" s="13"/>
      <c r="T22" s="13"/>
      <c r="W22" s="13"/>
      <c r="X22" s="13"/>
      <c r="Y22" s="13"/>
      <c r="Z22" s="13"/>
      <c r="AA22" s="13"/>
      <c r="AB22" s="13"/>
      <c r="AC22" s="13"/>
      <c r="AD22" s="13"/>
      <c r="AE22" s="13"/>
      <c r="AF22" s="13"/>
      <c r="AG22" s="13"/>
      <c r="AH22" s="13"/>
      <c r="AI22" s="13"/>
      <c r="AJ22" s="13"/>
    </row>
    <row r="23" spans="2:39" ht="13.5" thickBot="1">
      <c r="B23" s="28" t="s">
        <v>49</v>
      </c>
      <c r="C23" s="27"/>
      <c r="D23" s="28" t="s">
        <v>724</v>
      </c>
      <c r="E23" s="27"/>
      <c r="F23" s="41">
        <v>88694</v>
      </c>
      <c r="G23" s="41">
        <v>71838</v>
      </c>
      <c r="H23" s="41">
        <v>-204832</v>
      </c>
      <c r="I23" s="41">
        <v>-19594</v>
      </c>
      <c r="J23" s="41">
        <v>13266</v>
      </c>
      <c r="K23" s="41">
        <v>93523.000000000029</v>
      </c>
      <c r="L23" s="41">
        <v>-117636.99999999997</v>
      </c>
      <c r="M23" s="41">
        <v>-24205</v>
      </c>
      <c r="N23" s="41">
        <v>126643</v>
      </c>
      <c r="O23" s="41">
        <v>35798</v>
      </c>
      <c r="P23" s="41">
        <v>95381</v>
      </c>
      <c r="Q23" s="41">
        <v>233617</v>
      </c>
      <c r="R23" s="41">
        <v>530662</v>
      </c>
      <c r="S23" s="41">
        <v>167910</v>
      </c>
      <c r="T23" s="41">
        <f>T21+T18</f>
        <v>265365</v>
      </c>
      <c r="U23" s="41">
        <f t="shared" ref="U23:AA23" si="6">U18+U21</f>
        <v>360663</v>
      </c>
      <c r="V23" s="41">
        <f t="shared" si="6"/>
        <v>1324600</v>
      </c>
      <c r="W23" s="41">
        <f t="shared" si="6"/>
        <v>237214</v>
      </c>
      <c r="X23" s="41">
        <f t="shared" si="6"/>
        <v>229444</v>
      </c>
      <c r="Y23" s="41">
        <f t="shared" si="6"/>
        <v>466658</v>
      </c>
      <c r="Z23" s="41">
        <f t="shared" si="6"/>
        <v>146517</v>
      </c>
      <c r="AA23" s="41">
        <f t="shared" si="6"/>
        <v>613175</v>
      </c>
      <c r="AB23" s="41">
        <f>AC23-AA23</f>
        <v>115654</v>
      </c>
      <c r="AC23" s="41">
        <f>AC18+AC21</f>
        <v>728829</v>
      </c>
      <c r="AD23" s="41">
        <f>AD18+AD21</f>
        <v>128512</v>
      </c>
      <c r="AE23" s="41">
        <f>AE18+AE21</f>
        <v>52849</v>
      </c>
      <c r="AF23" s="41">
        <f t="shared" ref="AF23:AJ23" si="7">AF18+AF21</f>
        <v>181361</v>
      </c>
      <c r="AG23" s="41">
        <f t="shared" si="7"/>
        <v>196080</v>
      </c>
      <c r="AH23" s="41">
        <f t="shared" si="7"/>
        <v>377441</v>
      </c>
      <c r="AI23" s="41">
        <f t="shared" si="7"/>
        <v>0</v>
      </c>
      <c r="AJ23" s="41">
        <f t="shared" si="7"/>
        <v>0</v>
      </c>
      <c r="AL23" s="171"/>
      <c r="AM23" s="171"/>
    </row>
    <row r="24" spans="2:39" s="38" customFormat="1">
      <c r="B24" s="34"/>
      <c r="C24" s="36"/>
      <c r="D24" s="34"/>
      <c r="E24" s="36"/>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row>
    <row r="25" spans="2:39">
      <c r="B25" s="7" t="s">
        <v>54</v>
      </c>
      <c r="C25" s="1"/>
      <c r="D25" s="7" t="s">
        <v>725</v>
      </c>
      <c r="E25" s="1"/>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row>
    <row r="26" spans="2:39">
      <c r="B26" s="10" t="s">
        <v>51</v>
      </c>
      <c r="C26" s="1"/>
      <c r="D26" s="10" t="s">
        <v>726</v>
      </c>
      <c r="E26" s="1"/>
      <c r="F26" s="13">
        <v>-17649</v>
      </c>
      <c r="G26" s="13">
        <v>-14519</v>
      </c>
      <c r="H26" s="13">
        <v>-7354</v>
      </c>
      <c r="I26" s="13">
        <v>-5316</v>
      </c>
      <c r="J26" s="13">
        <v>-2783</v>
      </c>
      <c r="K26" s="13">
        <v>172</v>
      </c>
      <c r="L26" s="13">
        <v>-15281</v>
      </c>
      <c r="M26" s="13">
        <v>-2163</v>
      </c>
      <c r="N26" s="13">
        <v>-17986</v>
      </c>
      <c r="O26" s="13">
        <v>-13669</v>
      </c>
      <c r="P26" s="13">
        <v>-12835</v>
      </c>
      <c r="Q26" s="13">
        <v>-46653</v>
      </c>
      <c r="R26" s="13">
        <v>-51087</v>
      </c>
      <c r="S26" s="13">
        <v>-44422</v>
      </c>
      <c r="T26" s="13">
        <v>-81140</v>
      </c>
      <c r="U26" s="13">
        <v>47403</v>
      </c>
      <c r="V26" s="13">
        <v>-129246</v>
      </c>
      <c r="W26" s="13">
        <v>-45468</v>
      </c>
      <c r="X26" s="13">
        <v>6819</v>
      </c>
      <c r="Y26" s="13">
        <v>-38649</v>
      </c>
      <c r="Z26" s="13">
        <v>31622</v>
      </c>
      <c r="AA26" s="13">
        <v>-7027</v>
      </c>
      <c r="AB26" s="13">
        <v>-25641</v>
      </c>
      <c r="AC26" s="13">
        <v>-32666</v>
      </c>
      <c r="AD26" s="13">
        <v>-8061</v>
      </c>
      <c r="AE26" s="13">
        <v>4621</v>
      </c>
      <c r="AF26" s="13">
        <v>-3440</v>
      </c>
      <c r="AG26" s="13">
        <v>-4316</v>
      </c>
      <c r="AH26" s="13">
        <v>-7756</v>
      </c>
      <c r="AI26" s="13">
        <v>0</v>
      </c>
      <c r="AJ26" s="13">
        <v>0</v>
      </c>
    </row>
    <row r="27" spans="2:39">
      <c r="B27" s="10" t="s">
        <v>52</v>
      </c>
      <c r="C27" s="1"/>
      <c r="D27" s="10" t="s">
        <v>727</v>
      </c>
      <c r="E27" s="1"/>
      <c r="F27" s="13">
        <v>1904</v>
      </c>
      <c r="G27" s="13">
        <v>6363</v>
      </c>
      <c r="H27" s="13">
        <v>76145</v>
      </c>
      <c r="I27" s="13">
        <v>9754</v>
      </c>
      <c r="J27" s="13">
        <v>-4141</v>
      </c>
      <c r="K27" s="13">
        <v>-30599</v>
      </c>
      <c r="L27" s="13">
        <v>51159</v>
      </c>
      <c r="M27" s="13">
        <v>13478</v>
      </c>
      <c r="N27" s="13">
        <v>-14091</v>
      </c>
      <c r="O27" s="13">
        <v>797</v>
      </c>
      <c r="P27" s="13">
        <v>-10249</v>
      </c>
      <c r="Q27" s="13">
        <v>-10065</v>
      </c>
      <c r="R27" s="13">
        <v>-77737</v>
      </c>
      <c r="S27" s="13">
        <v>7543</v>
      </c>
      <c r="T27" s="13">
        <v>27658</v>
      </c>
      <c r="U27" s="13">
        <v>573</v>
      </c>
      <c r="V27" s="13">
        <v>-41963</v>
      </c>
      <c r="W27" s="13">
        <v>7767</v>
      </c>
      <c r="X27" s="13">
        <v>-58622</v>
      </c>
      <c r="Y27" s="13">
        <v>-50855</v>
      </c>
      <c r="Z27" s="13">
        <v>-33042</v>
      </c>
      <c r="AA27" s="13">
        <v>-83897</v>
      </c>
      <c r="AB27" s="13">
        <f>AC27-AA27</f>
        <v>96672</v>
      </c>
      <c r="AC27" s="13">
        <v>12775</v>
      </c>
      <c r="AD27" s="13">
        <v>-10418</v>
      </c>
      <c r="AE27" s="13">
        <v>78711</v>
      </c>
      <c r="AF27" s="13">
        <v>68293</v>
      </c>
      <c r="AG27" s="13">
        <v>-32924</v>
      </c>
      <c r="AH27" s="13">
        <v>35369</v>
      </c>
      <c r="AI27" s="13">
        <v>0</v>
      </c>
      <c r="AJ27" s="13">
        <v>0</v>
      </c>
    </row>
    <row r="28" spans="2:39" ht="4.5" customHeight="1" thickBot="1">
      <c r="B28" s="10"/>
      <c r="C28" s="1"/>
      <c r="D28" s="10"/>
      <c r="E28" s="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row>
    <row r="29" spans="2:39" ht="13.5" thickBot="1">
      <c r="B29" s="28" t="s">
        <v>53</v>
      </c>
      <c r="C29" s="27"/>
      <c r="D29" s="28" t="s">
        <v>728</v>
      </c>
      <c r="E29" s="27"/>
      <c r="F29" s="40">
        <v>-15745</v>
      </c>
      <c r="G29" s="40">
        <v>-8156</v>
      </c>
      <c r="H29" s="40">
        <v>68791</v>
      </c>
      <c r="I29" s="40">
        <v>4438</v>
      </c>
      <c r="J29" s="40">
        <v>-6924</v>
      </c>
      <c r="K29" s="40">
        <v>-30427</v>
      </c>
      <c r="L29" s="40">
        <v>35878</v>
      </c>
      <c r="M29" s="40">
        <v>11315</v>
      </c>
      <c r="N29" s="40">
        <v>-32077</v>
      </c>
      <c r="O29" s="40">
        <v>-12872</v>
      </c>
      <c r="P29" s="40">
        <v>-23084</v>
      </c>
      <c r="Q29" s="40">
        <v>-56718</v>
      </c>
      <c r="R29" s="40">
        <v>-128824</v>
      </c>
      <c r="S29" s="40">
        <v>-36879</v>
      </c>
      <c r="T29" s="40">
        <f t="shared" ref="T29:AA29" si="8">SUM(T26:T27)</f>
        <v>-53482</v>
      </c>
      <c r="U29" s="40">
        <f t="shared" si="8"/>
        <v>47976</v>
      </c>
      <c r="V29" s="40">
        <f t="shared" si="8"/>
        <v>-171209</v>
      </c>
      <c r="W29" s="40">
        <f t="shared" si="8"/>
        <v>-37701</v>
      </c>
      <c r="X29" s="40">
        <f t="shared" si="8"/>
        <v>-51803</v>
      </c>
      <c r="Y29" s="40">
        <f t="shared" si="8"/>
        <v>-89504</v>
      </c>
      <c r="Z29" s="40">
        <f t="shared" si="8"/>
        <v>-1420</v>
      </c>
      <c r="AA29" s="40">
        <f t="shared" si="8"/>
        <v>-90924</v>
      </c>
      <c r="AB29" s="40">
        <f>AC29-AA29</f>
        <v>71033</v>
      </c>
      <c r="AC29" s="40">
        <f>SUM(AC26:AC27)</f>
        <v>-19891</v>
      </c>
      <c r="AD29" s="40">
        <f>SUM(AD26:AD27)</f>
        <v>-18479</v>
      </c>
      <c r="AE29" s="40">
        <f>SUM(AE26:AE27)</f>
        <v>83332</v>
      </c>
      <c r="AF29" s="40">
        <f t="shared" ref="AF29:AJ29" si="9">SUM(AF26:AF27)</f>
        <v>64853</v>
      </c>
      <c r="AG29" s="40">
        <f t="shared" si="9"/>
        <v>-37240</v>
      </c>
      <c r="AH29" s="40">
        <f t="shared" si="9"/>
        <v>27613</v>
      </c>
      <c r="AI29" s="40">
        <f t="shared" si="9"/>
        <v>0</v>
      </c>
      <c r="AJ29" s="40">
        <f t="shared" si="9"/>
        <v>0</v>
      </c>
      <c r="AL29" s="171"/>
      <c r="AM29" s="171"/>
    </row>
    <row r="30" spans="2:39" ht="13.5" thickBot="1">
      <c r="B30" s="10"/>
      <c r="C30" s="1"/>
      <c r="D30" s="10"/>
      <c r="E30" s="1"/>
    </row>
    <row r="31" spans="2:39" ht="13.5" thickBot="1">
      <c r="B31" s="28" t="s">
        <v>686</v>
      </c>
      <c r="C31" s="33"/>
      <c r="D31" s="28" t="s">
        <v>729</v>
      </c>
      <c r="E31" s="33"/>
      <c r="F31" s="41">
        <v>72949</v>
      </c>
      <c r="G31" s="41">
        <v>63682</v>
      </c>
      <c r="H31" s="41">
        <v>-136041</v>
      </c>
      <c r="I31" s="41">
        <v>-15156</v>
      </c>
      <c r="J31" s="41">
        <v>6342</v>
      </c>
      <c r="K31" s="41">
        <v>63096.000000000029</v>
      </c>
      <c r="L31" s="41">
        <v>-81758.999999999971</v>
      </c>
      <c r="M31" s="41">
        <v>-12890</v>
      </c>
      <c r="N31" s="41">
        <v>94566</v>
      </c>
      <c r="O31" s="41">
        <v>22926</v>
      </c>
      <c r="P31" s="41">
        <v>72297</v>
      </c>
      <c r="Q31" s="41">
        <v>176899</v>
      </c>
      <c r="R31" s="41">
        <v>401838</v>
      </c>
      <c r="S31" s="41">
        <v>131031</v>
      </c>
      <c r="T31" s="41">
        <f t="shared" ref="T31:AA31" si="10">T23+T29</f>
        <v>211883</v>
      </c>
      <c r="U31" s="41">
        <f t="shared" si="10"/>
        <v>408639</v>
      </c>
      <c r="V31" s="41">
        <f t="shared" si="10"/>
        <v>1153391</v>
      </c>
      <c r="W31" s="41">
        <f t="shared" si="10"/>
        <v>199513</v>
      </c>
      <c r="X31" s="41">
        <f t="shared" si="10"/>
        <v>177641</v>
      </c>
      <c r="Y31" s="41">
        <f t="shared" si="10"/>
        <v>377154</v>
      </c>
      <c r="Z31" s="41">
        <f t="shared" si="10"/>
        <v>145097</v>
      </c>
      <c r="AA31" s="41">
        <f t="shared" si="10"/>
        <v>522251</v>
      </c>
      <c r="AB31" s="41">
        <f>AC31-AA31</f>
        <v>186687</v>
      </c>
      <c r="AC31" s="41">
        <f>AC23+AC29</f>
        <v>708938</v>
      </c>
      <c r="AD31" s="41">
        <f>AD23+AD29</f>
        <v>110033</v>
      </c>
      <c r="AE31" s="41">
        <f>AE23+AE29</f>
        <v>136181</v>
      </c>
      <c r="AF31" s="41">
        <f t="shared" ref="AF31:AJ31" si="11">AF23+AF29</f>
        <v>246214</v>
      </c>
      <c r="AG31" s="41">
        <f t="shared" si="11"/>
        <v>158840</v>
      </c>
      <c r="AH31" s="41">
        <f t="shared" si="11"/>
        <v>405054</v>
      </c>
      <c r="AI31" s="41">
        <f t="shared" si="11"/>
        <v>0</v>
      </c>
      <c r="AJ31" s="41">
        <f t="shared" si="11"/>
        <v>0</v>
      </c>
      <c r="AL31" s="171"/>
      <c r="AM31" s="171"/>
    </row>
    <row r="32" spans="2:39">
      <c r="P32" s="13"/>
    </row>
    <row r="33" spans="16:16">
      <c r="P33" s="13"/>
    </row>
    <row r="34" spans="16:16">
      <c r="P34" s="13"/>
    </row>
    <row r="35" spans="16:16">
      <c r="P35" s="13"/>
    </row>
    <row r="36" spans="16:16">
      <c r="P36" s="13"/>
    </row>
    <row r="37" spans="16:16">
      <c r="P37" s="13"/>
    </row>
    <row r="49" spans="16:16">
      <c r="P49" s="13"/>
    </row>
    <row r="50" spans="16:16">
      <c r="P50" s="13"/>
    </row>
    <row r="51" spans="16:16">
      <c r="P51" s="13"/>
    </row>
    <row r="52" spans="16:16">
      <c r="P52" s="13"/>
    </row>
  </sheetData>
  <pageMargins left="0.511811024" right="0.511811024" top="0.78740157499999996" bottom="0.78740157499999996" header="0.31496062000000002" footer="0.31496062000000002"/>
  <pageSetup paperSize="9" orientation="portrait" r:id="rId1"/>
  <ignoredErrors>
    <ignoredError sqref="AB9:AB31"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A9167-47D3-47F4-ACC6-8AF617EA8224}">
  <dimension ref="B1:AO74"/>
  <sheetViews>
    <sheetView showGridLines="0" zoomScaleNormal="100" workbookViewId="0">
      <pane xSplit="4" ySplit="4" topLeftCell="AA5" activePane="bottomRight" state="frozen"/>
      <selection activeCell="AE15" sqref="AE15"/>
      <selection pane="topRight" activeCell="AE15" sqref="AE15"/>
      <selection pane="bottomLeft" activeCell="AE15" sqref="AE15"/>
      <selection pane="bottomRight" activeCell="AH23" sqref="AH23"/>
    </sheetView>
  </sheetViews>
  <sheetFormatPr defaultColWidth="9.140625" defaultRowHeight="12.75" outlineLevelCol="1"/>
  <cols>
    <col min="1" max="1" width="3" style="3" customWidth="1"/>
    <col min="2" max="2" width="38.5703125" style="3" customWidth="1"/>
    <col min="3" max="3" width="1.42578125" style="3" customWidth="1"/>
    <col min="4" max="4" width="42.42578125" style="3" bestFit="1" customWidth="1"/>
    <col min="5" max="5" width="1.42578125" style="3" customWidth="1"/>
    <col min="6" max="6" width="12" style="3" bestFit="1" customWidth="1"/>
    <col min="7" max="7" width="12.7109375" style="3" bestFit="1" customWidth="1"/>
    <col min="8" max="11" width="12.7109375" style="3" hidden="1" customWidth="1" outlineLevel="1"/>
    <col min="12" max="12" width="13.42578125" style="3" customWidth="1" collapsed="1"/>
    <col min="13" max="16" width="12.7109375" style="3" hidden="1" customWidth="1" outlineLevel="1"/>
    <col min="17" max="17" width="12.7109375" style="3" customWidth="1" collapsed="1"/>
    <col min="18" max="21" width="12.7109375" style="3" hidden="1" customWidth="1" outlineLevel="1"/>
    <col min="22" max="22" width="12.7109375" style="3" customWidth="1" collapsed="1"/>
    <col min="23" max="28" width="12.7109375" style="3" customWidth="1" outlineLevel="1"/>
    <col min="29" max="29" width="12.7109375" style="3" customWidth="1"/>
    <col min="30" max="36" width="12.7109375" style="3" customWidth="1" outlineLevel="1"/>
    <col min="37" max="37" width="2.28515625" style="3" customWidth="1"/>
    <col min="38" max="38" width="4.140625" style="3" bestFit="1" customWidth="1"/>
    <col min="39" max="39" width="10.5703125" style="3" bestFit="1" customWidth="1"/>
    <col min="40" max="16384" width="9.140625" style="3"/>
  </cols>
  <sheetData>
    <row r="1" spans="2:40">
      <c r="G1" s="18"/>
      <c r="H1" s="18"/>
      <c r="I1" s="18"/>
      <c r="J1" s="18"/>
      <c r="K1" s="18"/>
      <c r="M1" s="18"/>
      <c r="N1" s="18"/>
      <c r="O1" s="18"/>
      <c r="P1" s="18"/>
      <c r="Q1" s="18"/>
      <c r="R1" s="18"/>
      <c r="S1" s="18"/>
      <c r="T1" s="18"/>
      <c r="U1" s="18"/>
      <c r="V1" s="18"/>
      <c r="W1" s="18"/>
      <c r="X1" s="18"/>
      <c r="Y1" s="18"/>
      <c r="Z1" s="18"/>
      <c r="AA1" s="18"/>
      <c r="AB1" s="18"/>
      <c r="AC1" s="18"/>
      <c r="AD1" s="18"/>
      <c r="AE1" s="18"/>
      <c r="AF1" s="18"/>
      <c r="AG1" s="18"/>
      <c r="AH1" s="18"/>
      <c r="AI1" s="18"/>
      <c r="AJ1" s="18"/>
    </row>
    <row r="2" spans="2:40" ht="18.75">
      <c r="D2" s="182" t="s">
        <v>737</v>
      </c>
      <c r="F2" s="17"/>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row>
    <row r="4" spans="2:40" ht="17.25">
      <c r="B4" s="23" t="s">
        <v>27</v>
      </c>
      <c r="C4" s="1"/>
      <c r="D4" s="23" t="s">
        <v>688</v>
      </c>
      <c r="E4" s="1"/>
      <c r="F4" s="2">
        <v>2018</v>
      </c>
      <c r="G4" s="2">
        <v>2019</v>
      </c>
      <c r="H4" s="22" t="s">
        <v>730</v>
      </c>
      <c r="I4" s="22" t="s">
        <v>731</v>
      </c>
      <c r="J4" s="22" t="s">
        <v>732</v>
      </c>
      <c r="K4" s="22" t="s">
        <v>733</v>
      </c>
      <c r="L4" s="2">
        <v>2020</v>
      </c>
      <c r="M4" s="22" t="s">
        <v>691</v>
      </c>
      <c r="N4" s="22" t="s">
        <v>734</v>
      </c>
      <c r="O4" s="22" t="s">
        <v>735</v>
      </c>
      <c r="P4" s="22" t="s">
        <v>736</v>
      </c>
      <c r="Q4" s="22">
        <v>2021</v>
      </c>
      <c r="R4" s="22" t="s">
        <v>694</v>
      </c>
      <c r="S4" s="22" t="s">
        <v>834</v>
      </c>
      <c r="T4" s="22" t="s">
        <v>859</v>
      </c>
      <c r="U4" s="22" t="s">
        <v>923</v>
      </c>
      <c r="V4" s="22">
        <v>2022</v>
      </c>
      <c r="W4" s="22" t="s">
        <v>933</v>
      </c>
      <c r="X4" s="22" t="s">
        <v>981</v>
      </c>
      <c r="Y4" s="22" t="s">
        <v>837</v>
      </c>
      <c r="Z4" s="22" t="s">
        <v>1058</v>
      </c>
      <c r="AA4" s="22" t="s">
        <v>1059</v>
      </c>
      <c r="AB4" s="22" t="s">
        <v>1102</v>
      </c>
      <c r="AC4" s="22">
        <v>2023</v>
      </c>
      <c r="AD4" s="22" t="s">
        <v>1206</v>
      </c>
      <c r="AE4" s="22" t="s">
        <v>1240</v>
      </c>
      <c r="AF4" s="22" t="s">
        <v>1241</v>
      </c>
      <c r="AG4" s="22" t="s">
        <v>1242</v>
      </c>
      <c r="AH4" s="22" t="s">
        <v>1243</v>
      </c>
      <c r="AI4" s="22" t="s">
        <v>1244</v>
      </c>
      <c r="AJ4" s="22">
        <v>2024</v>
      </c>
    </row>
    <row r="5" spans="2:40" ht="6.75" customHeight="1">
      <c r="B5" s="1"/>
      <c r="C5" s="1"/>
      <c r="D5" s="1"/>
      <c r="E5" s="1"/>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row>
    <row r="6" spans="2:40">
      <c r="B6" s="3" t="s">
        <v>942</v>
      </c>
      <c r="C6" s="1"/>
      <c r="D6" s="3" t="s">
        <v>952</v>
      </c>
      <c r="E6" s="1"/>
      <c r="F6" s="13"/>
      <c r="G6" s="13"/>
      <c r="H6" s="13"/>
      <c r="I6" s="100"/>
      <c r="J6" s="100"/>
      <c r="K6" s="100"/>
      <c r="L6" s="100"/>
      <c r="M6" s="100"/>
      <c r="N6" s="100"/>
      <c r="O6" s="100"/>
      <c r="P6" s="100"/>
      <c r="Q6" s="13"/>
      <c r="R6" s="13">
        <v>635161</v>
      </c>
      <c r="S6" s="13">
        <v>699277</v>
      </c>
      <c r="T6" s="13">
        <v>702849</v>
      </c>
      <c r="U6" s="13">
        <v>621677</v>
      </c>
      <c r="V6" s="13">
        <v>2658964</v>
      </c>
      <c r="W6" s="13">
        <v>578678</v>
      </c>
      <c r="X6" s="13">
        <v>594264</v>
      </c>
      <c r="Y6" s="13">
        <v>1172942</v>
      </c>
      <c r="Z6" s="13">
        <v>596705</v>
      </c>
      <c r="AA6" s="13">
        <v>1769647</v>
      </c>
      <c r="AB6" s="13">
        <v>560729</v>
      </c>
      <c r="AC6" s="13">
        <v>2330376</v>
      </c>
      <c r="AD6" s="13">
        <v>570687</v>
      </c>
      <c r="AE6" s="13">
        <v>622591</v>
      </c>
      <c r="AF6" s="13">
        <v>1193278</v>
      </c>
      <c r="AG6" s="13">
        <v>621530</v>
      </c>
      <c r="AH6" s="13">
        <v>1814808</v>
      </c>
      <c r="AI6" s="13">
        <v>0</v>
      </c>
      <c r="AJ6" s="13">
        <v>0</v>
      </c>
      <c r="AM6" s="252"/>
      <c r="AN6" s="171"/>
    </row>
    <row r="7" spans="2:40">
      <c r="B7" s="3" t="s">
        <v>943</v>
      </c>
      <c r="C7" s="1"/>
      <c r="D7" s="3" t="s">
        <v>953</v>
      </c>
      <c r="E7" s="1"/>
      <c r="F7" s="13"/>
      <c r="G7" s="13"/>
      <c r="H7" s="13"/>
      <c r="I7" s="100"/>
      <c r="J7" s="100"/>
      <c r="K7" s="100"/>
      <c r="L7" s="100"/>
      <c r="M7" s="100"/>
      <c r="N7" s="100"/>
      <c r="O7" s="100"/>
      <c r="P7" s="100"/>
      <c r="Q7" s="13"/>
      <c r="R7" s="195">
        <v>326134</v>
      </c>
      <c r="S7" s="195">
        <v>329303</v>
      </c>
      <c r="T7" s="195">
        <v>443029</v>
      </c>
      <c r="U7" s="195">
        <v>449608</v>
      </c>
      <c r="V7" s="195">
        <v>1548074</v>
      </c>
      <c r="W7" s="195">
        <v>382777</v>
      </c>
      <c r="X7" s="195">
        <v>282286</v>
      </c>
      <c r="Y7" s="195">
        <v>665063</v>
      </c>
      <c r="Z7" s="195">
        <v>314195</v>
      </c>
      <c r="AA7" s="195">
        <v>979258</v>
      </c>
      <c r="AB7" s="195">
        <v>273287</v>
      </c>
      <c r="AC7" s="195">
        <v>1252545</v>
      </c>
      <c r="AD7" s="195">
        <v>368683</v>
      </c>
      <c r="AE7" s="195">
        <v>374445</v>
      </c>
      <c r="AF7" s="195">
        <v>743128</v>
      </c>
      <c r="AG7" s="195">
        <v>379143</v>
      </c>
      <c r="AH7" s="195">
        <v>1122271</v>
      </c>
      <c r="AI7" s="195">
        <v>0</v>
      </c>
      <c r="AJ7" s="195">
        <v>0</v>
      </c>
      <c r="AM7" s="252"/>
      <c r="AN7" s="171"/>
    </row>
    <row r="8" spans="2:40">
      <c r="B8" s="3" t="s">
        <v>944</v>
      </c>
      <c r="C8" s="1"/>
      <c r="D8" s="3" t="s">
        <v>945</v>
      </c>
      <c r="E8" s="1"/>
      <c r="F8" s="13">
        <v>9746</v>
      </c>
      <c r="G8" s="13">
        <v>28020.558000000001</v>
      </c>
      <c r="H8" s="13">
        <v>113907</v>
      </c>
      <c r="I8" s="13">
        <v>78824</v>
      </c>
      <c r="J8" s="13">
        <v>132038.5</v>
      </c>
      <c r="K8" s="13">
        <v>111834.65000000002</v>
      </c>
      <c r="L8" s="13">
        <v>436604.15</v>
      </c>
      <c r="M8" s="13">
        <v>229753</v>
      </c>
      <c r="N8" s="13">
        <v>244527</v>
      </c>
      <c r="O8" s="13">
        <v>283903</v>
      </c>
      <c r="P8" s="13">
        <v>342669.5</v>
      </c>
      <c r="Q8" s="13">
        <v>1109774</v>
      </c>
      <c r="R8" s="13">
        <v>961295</v>
      </c>
      <c r="S8" s="171">
        <v>1028580</v>
      </c>
      <c r="T8" s="171">
        <f>SUM(T6:T7)</f>
        <v>1145878</v>
      </c>
      <c r="U8" s="13">
        <v>1071285</v>
      </c>
      <c r="V8" s="13">
        <f t="shared" ref="V8:AC8" si="0">SUM(V6:V7)</f>
        <v>4207038</v>
      </c>
      <c r="W8" s="13">
        <f t="shared" si="0"/>
        <v>961455</v>
      </c>
      <c r="X8" s="13">
        <f t="shared" si="0"/>
        <v>876550</v>
      </c>
      <c r="Y8" s="13">
        <f t="shared" si="0"/>
        <v>1838005</v>
      </c>
      <c r="Z8" s="13">
        <f>SUM(Z6:Z7)</f>
        <v>910900</v>
      </c>
      <c r="AA8" s="13">
        <f t="shared" si="0"/>
        <v>2748905</v>
      </c>
      <c r="AB8" s="13">
        <f t="shared" si="0"/>
        <v>834016</v>
      </c>
      <c r="AC8" s="13">
        <f t="shared" si="0"/>
        <v>3582921</v>
      </c>
      <c r="AD8" s="13">
        <f>SUM(AD6:AD7)</f>
        <v>939370</v>
      </c>
      <c r="AE8" s="13">
        <v>997036</v>
      </c>
      <c r="AF8" s="13">
        <v>1936406</v>
      </c>
      <c r="AG8" s="13">
        <v>1000673</v>
      </c>
      <c r="AH8" s="13">
        <v>2937079</v>
      </c>
      <c r="AI8" s="13">
        <v>0</v>
      </c>
      <c r="AJ8" s="13">
        <v>0</v>
      </c>
      <c r="AM8" s="252"/>
      <c r="AN8" s="171"/>
    </row>
    <row r="9" spans="2:40">
      <c r="B9" s="3" t="s">
        <v>1208</v>
      </c>
      <c r="C9" s="1"/>
      <c r="D9" s="3" t="s">
        <v>954</v>
      </c>
      <c r="E9" s="1"/>
      <c r="F9" s="13">
        <v>314296</v>
      </c>
      <c r="G9" s="13">
        <v>329447</v>
      </c>
      <c r="H9" s="13">
        <v>85074</v>
      </c>
      <c r="I9" s="13">
        <v>49265</v>
      </c>
      <c r="J9" s="13">
        <v>56767.5</v>
      </c>
      <c r="K9" s="13">
        <v>91207.5</v>
      </c>
      <c r="L9" s="13">
        <v>282314</v>
      </c>
      <c r="M9" s="13">
        <v>79768</v>
      </c>
      <c r="N9" s="13">
        <v>78341</v>
      </c>
      <c r="O9" s="13">
        <v>92202</v>
      </c>
      <c r="P9" s="13">
        <v>103625.5</v>
      </c>
      <c r="Q9" s="13">
        <v>353937</v>
      </c>
      <c r="R9" s="13">
        <v>0</v>
      </c>
      <c r="S9" s="13">
        <v>0</v>
      </c>
      <c r="T9" s="13">
        <v>0</v>
      </c>
      <c r="U9" s="13">
        <v>0</v>
      </c>
      <c r="V9" s="13">
        <v>0</v>
      </c>
      <c r="W9" s="13">
        <v>0</v>
      </c>
      <c r="X9" s="13">
        <v>0</v>
      </c>
      <c r="Y9" s="13">
        <f>SUM(W9:X9)</f>
        <v>0</v>
      </c>
      <c r="Z9" s="13">
        <f>AA9-Y9</f>
        <v>0</v>
      </c>
      <c r="AA9" s="13">
        <v>0</v>
      </c>
      <c r="AB9" s="13">
        <v>0</v>
      </c>
      <c r="AC9" s="13">
        <v>0</v>
      </c>
      <c r="AD9" s="13">
        <v>1081</v>
      </c>
      <c r="AE9" s="13">
        <v>8677</v>
      </c>
      <c r="AF9" s="13">
        <v>9956</v>
      </c>
      <c r="AG9" s="13">
        <v>28067</v>
      </c>
      <c r="AH9" s="13">
        <v>38023</v>
      </c>
      <c r="AI9" s="13">
        <v>0</v>
      </c>
      <c r="AJ9" s="13">
        <v>0</v>
      </c>
    </row>
    <row r="10" spans="2:40">
      <c r="B10" s="3" t="s">
        <v>84</v>
      </c>
      <c r="C10" s="1"/>
      <c r="D10" s="3" t="s">
        <v>738</v>
      </c>
      <c r="E10" s="1"/>
      <c r="F10" s="13">
        <v>0</v>
      </c>
      <c r="G10" s="13">
        <v>14569.441999999999</v>
      </c>
      <c r="H10" s="13">
        <v>30334</v>
      </c>
      <c r="I10" s="13">
        <v>78827</v>
      </c>
      <c r="J10" s="13">
        <v>46103</v>
      </c>
      <c r="K10" s="13">
        <v>41730.849999999977</v>
      </c>
      <c r="L10" s="13">
        <v>196994.85</v>
      </c>
      <c r="M10" s="13">
        <v>-4743</v>
      </c>
      <c r="N10" s="13">
        <v>-3540</v>
      </c>
      <c r="O10" s="13">
        <v>-39637</v>
      </c>
      <c r="P10" s="13">
        <v>-69939</v>
      </c>
      <c r="Q10" s="13">
        <v>-126780</v>
      </c>
      <c r="R10" s="13">
        <v>-85230</v>
      </c>
      <c r="S10" s="13">
        <v>-130361</v>
      </c>
      <c r="T10" s="13">
        <v>-127316</v>
      </c>
      <c r="U10" s="13">
        <v>-98724</v>
      </c>
      <c r="V10" s="13">
        <v>-441631</v>
      </c>
      <c r="W10" s="13">
        <v>-71468</v>
      </c>
      <c r="X10" s="13">
        <v>-60286</v>
      </c>
      <c r="Y10" s="13">
        <v>-131754</v>
      </c>
      <c r="Z10" s="13">
        <v>-70610</v>
      </c>
      <c r="AA10" s="13">
        <v>-202364</v>
      </c>
      <c r="AB10" s="13">
        <v>-65845</v>
      </c>
      <c r="AC10" s="13">
        <v>-268209</v>
      </c>
      <c r="AD10" s="13">
        <v>-59170</v>
      </c>
      <c r="AE10" s="13">
        <v>-32073</v>
      </c>
      <c r="AF10" s="13">
        <v>-91243</v>
      </c>
      <c r="AG10" s="13">
        <v>-30735</v>
      </c>
      <c r="AH10" s="13">
        <v>-121978</v>
      </c>
      <c r="AI10" s="13">
        <v>0</v>
      </c>
      <c r="AJ10" s="13">
        <v>0</v>
      </c>
    </row>
    <row r="11" spans="2:40" ht="3.75" customHeight="1" thickBot="1">
      <c r="C11" s="1"/>
      <c r="E11" s="1"/>
      <c r="F11" s="13"/>
      <c r="G11" s="13"/>
      <c r="H11" s="13"/>
      <c r="I11" s="13"/>
      <c r="J11" s="100"/>
      <c r="K11" s="13"/>
      <c r="L11" s="13"/>
      <c r="M11" s="13"/>
      <c r="N11" s="13"/>
      <c r="O11" s="13"/>
      <c r="P11" s="13"/>
      <c r="R11" s="13"/>
      <c r="S11" s="13"/>
      <c r="T11" s="13"/>
      <c r="U11" s="13"/>
      <c r="V11" s="13"/>
      <c r="W11" s="13"/>
      <c r="X11" s="13"/>
      <c r="Y11" s="13"/>
      <c r="Z11" s="13"/>
      <c r="AA11" s="13"/>
      <c r="AB11" s="13"/>
      <c r="AC11" s="13"/>
      <c r="AD11" s="13"/>
      <c r="AE11" s="13"/>
      <c r="AF11" s="13"/>
      <c r="AG11" s="13"/>
      <c r="AH11" s="13"/>
      <c r="AI11" s="13"/>
      <c r="AJ11" s="13"/>
    </row>
    <row r="12" spans="2:40" ht="13.5" thickBot="1">
      <c r="B12" s="28" t="s">
        <v>85</v>
      </c>
      <c r="C12" s="27"/>
      <c r="D12" s="28" t="s">
        <v>812</v>
      </c>
      <c r="E12" s="27"/>
      <c r="F12" s="40">
        <v>324042</v>
      </c>
      <c r="G12" s="40">
        <v>372037</v>
      </c>
      <c r="H12" s="40">
        <v>229315</v>
      </c>
      <c r="I12" s="40">
        <v>206916</v>
      </c>
      <c r="J12" s="40">
        <v>234909</v>
      </c>
      <c r="K12" s="40">
        <v>244773</v>
      </c>
      <c r="L12" s="40">
        <v>915913</v>
      </c>
      <c r="M12" s="40">
        <v>304778</v>
      </c>
      <c r="N12" s="40">
        <v>319328</v>
      </c>
      <c r="O12" s="40">
        <v>336468</v>
      </c>
      <c r="P12" s="40">
        <v>376356</v>
      </c>
      <c r="Q12" s="40">
        <v>1336931</v>
      </c>
      <c r="R12" s="40">
        <v>876065</v>
      </c>
      <c r="S12" s="40">
        <v>898219</v>
      </c>
      <c r="T12" s="40">
        <f t="shared" ref="T12:Y12" si="1">SUM(T8:T10)</f>
        <v>1018562</v>
      </c>
      <c r="U12" s="40">
        <f>SUM(U8:U10)</f>
        <v>972561</v>
      </c>
      <c r="V12" s="40">
        <f t="shared" si="1"/>
        <v>3765407</v>
      </c>
      <c r="W12" s="40">
        <f t="shared" si="1"/>
        <v>889987</v>
      </c>
      <c r="X12" s="40">
        <f t="shared" si="1"/>
        <v>816264</v>
      </c>
      <c r="Y12" s="40">
        <f t="shared" si="1"/>
        <v>1706251</v>
      </c>
      <c r="Z12" s="40">
        <f t="shared" ref="Z12:AE12" si="2">SUM(Z8:Z10)</f>
        <v>840290</v>
      </c>
      <c r="AA12" s="40">
        <f t="shared" si="2"/>
        <v>2546541</v>
      </c>
      <c r="AB12" s="40">
        <f t="shared" si="2"/>
        <v>768171</v>
      </c>
      <c r="AC12" s="40">
        <f t="shared" si="2"/>
        <v>3314712</v>
      </c>
      <c r="AD12" s="40">
        <f t="shared" si="2"/>
        <v>881281</v>
      </c>
      <c r="AE12" s="40">
        <f t="shared" si="2"/>
        <v>973640</v>
      </c>
      <c r="AF12" s="40">
        <f t="shared" ref="AF12:AJ12" si="3">SUM(AF8:AF10)</f>
        <v>1855119</v>
      </c>
      <c r="AG12" s="40">
        <f t="shared" si="3"/>
        <v>998005</v>
      </c>
      <c r="AH12" s="40">
        <f t="shared" si="3"/>
        <v>2853124</v>
      </c>
      <c r="AI12" s="40">
        <f t="shared" si="3"/>
        <v>0</v>
      </c>
      <c r="AJ12" s="40">
        <f t="shared" si="3"/>
        <v>0</v>
      </c>
    </row>
    <row r="13" spans="2:40" ht="6" customHeight="1">
      <c r="F13" s="5"/>
      <c r="G13" s="5"/>
      <c r="H13" s="5"/>
      <c r="I13" s="5"/>
      <c r="J13" s="5"/>
      <c r="K13" s="5"/>
      <c r="L13" s="6"/>
      <c r="M13" s="13"/>
      <c r="N13" s="13"/>
      <c r="O13" s="13"/>
      <c r="P13" s="6"/>
      <c r="R13" s="13"/>
      <c r="S13" s="13"/>
      <c r="T13" s="13"/>
      <c r="U13" s="13"/>
      <c r="V13" s="13"/>
      <c r="W13" s="13"/>
      <c r="X13" s="13"/>
      <c r="Y13" s="13"/>
      <c r="Z13" s="13"/>
      <c r="AA13" s="13"/>
      <c r="AB13" s="13"/>
      <c r="AC13" s="13"/>
      <c r="AD13" s="13"/>
      <c r="AE13" s="13"/>
      <c r="AF13" s="13"/>
      <c r="AG13" s="13"/>
      <c r="AH13" s="13"/>
      <c r="AI13" s="13"/>
      <c r="AJ13" s="13"/>
    </row>
    <row r="14" spans="2:40">
      <c r="B14" s="3" t="s">
        <v>948</v>
      </c>
      <c r="D14" s="3" t="s">
        <v>950</v>
      </c>
      <c r="F14" s="5"/>
      <c r="G14" s="5"/>
      <c r="H14" s="5"/>
      <c r="I14" s="5"/>
      <c r="J14" s="5"/>
      <c r="K14" s="5"/>
      <c r="L14" s="6"/>
      <c r="M14" s="13"/>
      <c r="N14" s="13"/>
      <c r="O14" s="13"/>
      <c r="P14" s="6"/>
      <c r="R14" s="13">
        <v>-100040.449344375</v>
      </c>
      <c r="S14" s="13">
        <v>-139519.36046877503</v>
      </c>
      <c r="T14" s="13">
        <v>-124762.657339725</v>
      </c>
      <c r="U14" s="50">
        <f>-109597+2</f>
        <v>-109595</v>
      </c>
      <c r="V14" s="13">
        <v>-473916.77146512503</v>
      </c>
      <c r="W14" s="13">
        <v>-98669.192727000001</v>
      </c>
      <c r="X14" s="13">
        <v>-102389.90430159998</v>
      </c>
      <c r="Y14" s="13">
        <v>-201059.09702859999</v>
      </c>
      <c r="Z14" s="13">
        <v>-25916.541571400012</v>
      </c>
      <c r="AA14" s="13">
        <f>-226975.6386</f>
        <v>-226975.63860000001</v>
      </c>
      <c r="AB14" s="13">
        <v>-22324.72052000009</v>
      </c>
      <c r="AC14" s="13">
        <v>-249300.3591200001</v>
      </c>
      <c r="AD14" s="13">
        <v>-52745.217310000007</v>
      </c>
      <c r="AE14" s="13">
        <v>-57638.598819999992</v>
      </c>
      <c r="AF14" s="13">
        <v>-110383.81612999999</v>
      </c>
      <c r="AG14" s="13">
        <v>-56276.844479999985</v>
      </c>
      <c r="AH14" s="13">
        <v>-166660.66060999996</v>
      </c>
      <c r="AI14" s="13">
        <v>0</v>
      </c>
      <c r="AJ14" s="13">
        <v>0</v>
      </c>
    </row>
    <row r="15" spans="2:40">
      <c r="B15" s="3" t="s">
        <v>949</v>
      </c>
      <c r="D15" s="3" t="s">
        <v>951</v>
      </c>
      <c r="F15" s="5"/>
      <c r="G15" s="5"/>
      <c r="H15" s="5"/>
      <c r="I15" s="5"/>
      <c r="J15" s="5"/>
      <c r="K15" s="5"/>
      <c r="L15" s="6"/>
      <c r="M15" s="13"/>
      <c r="N15" s="13"/>
      <c r="O15" s="13"/>
      <c r="P15" s="6"/>
      <c r="R15" s="9">
        <v>-72548.550655625004</v>
      </c>
      <c r="S15" s="9">
        <v>-67690.639531224966</v>
      </c>
      <c r="T15" s="9">
        <v>-88951.342660274997</v>
      </c>
      <c r="U15" s="300">
        <f>-86358-2</f>
        <v>-86360</v>
      </c>
      <c r="V15" s="9">
        <v>-315551.22853487497</v>
      </c>
      <c r="W15" s="9">
        <v>-72105.807272999999</v>
      </c>
      <c r="X15" s="9">
        <v>-55560.095698400022</v>
      </c>
      <c r="Y15" s="9">
        <v>-127665.90297140002</v>
      </c>
      <c r="Z15" s="9">
        <v>-66544.458428599974</v>
      </c>
      <c r="AA15" s="9">
        <f>AA17-AA14</f>
        <v>-194210.36139999999</v>
      </c>
      <c r="AB15" s="9">
        <v>-56839.993410400057</v>
      </c>
      <c r="AC15" s="9">
        <v>-251050.35481040005</v>
      </c>
      <c r="AD15" s="9">
        <v>-83800.980319999988</v>
      </c>
      <c r="AE15" s="9">
        <v>-88526.554450000011</v>
      </c>
      <c r="AF15" s="9">
        <v>-172327.53477</v>
      </c>
      <c r="AG15" s="9">
        <v>-87539.465230000002</v>
      </c>
      <c r="AH15" s="9">
        <v>-259867</v>
      </c>
      <c r="AI15" s="9">
        <v>0</v>
      </c>
      <c r="AJ15" s="9">
        <v>0</v>
      </c>
    </row>
    <row r="16" spans="2:40">
      <c r="F16" s="5"/>
      <c r="G16" s="5"/>
      <c r="H16" s="5"/>
      <c r="I16" s="5"/>
      <c r="J16" s="5"/>
      <c r="K16" s="5"/>
      <c r="L16" s="6"/>
      <c r="M16" s="13"/>
      <c r="N16" s="13"/>
      <c r="O16" s="13"/>
      <c r="P16" s="6"/>
      <c r="R16" s="9">
        <v>0</v>
      </c>
      <c r="S16" s="9">
        <v>0</v>
      </c>
      <c r="T16" s="9">
        <v>0</v>
      </c>
      <c r="U16" s="300">
        <v>0</v>
      </c>
      <c r="V16" s="9">
        <v>0</v>
      </c>
      <c r="W16" s="9">
        <v>0</v>
      </c>
      <c r="X16" s="9">
        <v>0</v>
      </c>
      <c r="Y16" s="9">
        <v>0</v>
      </c>
      <c r="Z16" s="9">
        <v>0</v>
      </c>
      <c r="AA16" s="9">
        <v>0</v>
      </c>
      <c r="AB16" s="9">
        <v>0</v>
      </c>
      <c r="AC16" s="9">
        <v>0</v>
      </c>
      <c r="AD16" s="9">
        <v>0</v>
      </c>
      <c r="AE16" s="9">
        <v>0</v>
      </c>
      <c r="AF16" s="9">
        <v>0</v>
      </c>
      <c r="AG16" s="9">
        <v>0</v>
      </c>
      <c r="AH16" s="9">
        <v>0</v>
      </c>
      <c r="AI16" s="9">
        <v>0</v>
      </c>
      <c r="AJ16" s="9">
        <v>0</v>
      </c>
    </row>
    <row r="17" spans="2:41">
      <c r="B17" s="3" t="s">
        <v>86</v>
      </c>
      <c r="C17" s="1"/>
      <c r="D17" s="3" t="s">
        <v>817</v>
      </c>
      <c r="E17" s="1"/>
      <c r="F17" s="13">
        <v>-24374</v>
      </c>
      <c r="G17" s="13">
        <v>-32114</v>
      </c>
      <c r="H17" s="13">
        <v>-33767</v>
      </c>
      <c r="I17" s="13">
        <v>-21428</v>
      </c>
      <c r="J17" s="13">
        <v>-34732</v>
      </c>
      <c r="K17" s="13">
        <v>-38145</v>
      </c>
      <c r="L17" s="13">
        <v>-128072</v>
      </c>
      <c r="M17" s="13">
        <v>-58990</v>
      </c>
      <c r="N17" s="13">
        <v>-70218</v>
      </c>
      <c r="O17" s="13">
        <v>-76125</v>
      </c>
      <c r="P17" s="13">
        <v>-90994</v>
      </c>
      <c r="Q17" s="13">
        <v>-296327</v>
      </c>
      <c r="R17" s="301">
        <v>-172589</v>
      </c>
      <c r="S17" s="301">
        <v>-207210</v>
      </c>
      <c r="T17" s="302">
        <v>-213714</v>
      </c>
      <c r="U17" s="301">
        <v>-195955</v>
      </c>
      <c r="V17" s="301">
        <v>-789468</v>
      </c>
      <c r="W17" s="301">
        <v>-170775</v>
      </c>
      <c r="X17" s="301">
        <f>SUM(X14:X15)</f>
        <v>-157950</v>
      </c>
      <c r="Y17" s="301">
        <f>SUM(Y14:Y15)</f>
        <v>-328725</v>
      </c>
      <c r="Z17" s="301">
        <v>-92461</v>
      </c>
      <c r="AA17" s="301">
        <v>-421186</v>
      </c>
      <c r="AB17" s="301">
        <f>AC17-AA17</f>
        <v>-79165</v>
      </c>
      <c r="AC17" s="301">
        <v>-500351</v>
      </c>
      <c r="AD17" s="301">
        <v>-136744</v>
      </c>
      <c r="AE17" s="301">
        <v>-147386.20178</v>
      </c>
      <c r="AF17" s="301">
        <v>-284130.39940999995</v>
      </c>
      <c r="AG17" s="301">
        <v>-147815.60058999999</v>
      </c>
      <c r="AH17" s="301">
        <v>-431945.99999999994</v>
      </c>
      <c r="AI17" s="301">
        <v>0</v>
      </c>
      <c r="AJ17" s="301">
        <v>0</v>
      </c>
    </row>
    <row r="18" spans="2:41">
      <c r="C18" s="1"/>
      <c r="E18" s="1"/>
      <c r="F18" s="13"/>
      <c r="G18" s="13"/>
      <c r="H18" s="13"/>
      <c r="I18" s="13"/>
      <c r="J18" s="13"/>
      <c r="K18" s="13"/>
      <c r="L18" s="13"/>
      <c r="M18" s="13"/>
      <c r="N18" s="13"/>
      <c r="O18" s="13"/>
      <c r="P18" s="13"/>
      <c r="Q18" s="13"/>
      <c r="R18" s="253"/>
      <c r="S18" s="253"/>
      <c r="T18" s="253"/>
      <c r="U18" s="253"/>
      <c r="V18" s="253"/>
      <c r="W18" s="253"/>
      <c r="X18" s="253"/>
      <c r="Y18" s="253"/>
      <c r="Z18" s="253"/>
      <c r="AA18" s="253"/>
      <c r="AB18" s="253"/>
      <c r="AC18" s="253"/>
      <c r="AD18" s="253"/>
      <c r="AE18" s="253"/>
      <c r="AF18" s="253"/>
      <c r="AG18" s="253"/>
      <c r="AH18" s="253"/>
      <c r="AI18" s="253"/>
      <c r="AJ18" s="253"/>
      <c r="AK18" s="13"/>
      <c r="AL18" s="13"/>
    </row>
    <row r="19" spans="2:41">
      <c r="B19" s="3" t="s">
        <v>946</v>
      </c>
      <c r="C19" s="1"/>
      <c r="D19" s="3" t="s">
        <v>955</v>
      </c>
      <c r="E19" s="1"/>
      <c r="F19" s="13"/>
      <c r="G19" s="13"/>
      <c r="H19" s="13"/>
      <c r="I19" s="13"/>
      <c r="J19" s="13"/>
      <c r="K19" s="13"/>
      <c r="L19" s="13"/>
      <c r="M19" s="13"/>
      <c r="N19" s="13"/>
      <c r="O19" s="13"/>
      <c r="P19" s="13"/>
      <c r="Q19" s="13"/>
      <c r="R19" s="13">
        <f t="shared" ref="R19:X19" si="4">R6+R10+R14</f>
        <v>449890.550655625</v>
      </c>
      <c r="S19" s="13">
        <f t="shared" si="4"/>
        <v>429396.63953122497</v>
      </c>
      <c r="T19" s="13">
        <f t="shared" si="4"/>
        <v>450770.342660275</v>
      </c>
      <c r="U19" s="13">
        <f t="shared" si="4"/>
        <v>413358</v>
      </c>
      <c r="V19" s="13">
        <f t="shared" si="4"/>
        <v>1743416.228534875</v>
      </c>
      <c r="W19" s="13">
        <f t="shared" si="4"/>
        <v>408540.80727300001</v>
      </c>
      <c r="X19" s="13">
        <f t="shared" si="4"/>
        <v>431588.09569840005</v>
      </c>
      <c r="Y19" s="13">
        <v>840128.90297139995</v>
      </c>
      <c r="Z19" s="13">
        <f>Z6+Z14+Z10</f>
        <v>500178.45842859999</v>
      </c>
      <c r="AA19" s="13">
        <f>AA6+AA14+AA10</f>
        <v>1340307.3614000001</v>
      </c>
      <c r="AB19" s="13">
        <f>AB6+AB14+AB10</f>
        <v>472559.27947999991</v>
      </c>
      <c r="AC19" s="13">
        <f>AC6+AC14+AC10</f>
        <v>1812866.6408799998</v>
      </c>
      <c r="AD19" s="13">
        <f>AD6+AD10+AD14</f>
        <v>458771.78269000002</v>
      </c>
      <c r="AE19" s="13">
        <v>532879.40118000004</v>
      </c>
      <c r="AF19" s="13">
        <v>991651.18387000007</v>
      </c>
      <c r="AG19" s="13">
        <v>534518.15552000003</v>
      </c>
      <c r="AH19" s="13">
        <v>1526169.3393900001</v>
      </c>
      <c r="AI19" s="13">
        <v>0</v>
      </c>
      <c r="AJ19" s="13">
        <v>0</v>
      </c>
      <c r="AK19" s="13"/>
      <c r="AL19" s="13"/>
    </row>
    <row r="20" spans="2:41">
      <c r="B20" s="3" t="s">
        <v>947</v>
      </c>
      <c r="C20" s="1"/>
      <c r="D20" s="3" t="s">
        <v>956</v>
      </c>
      <c r="E20" s="1"/>
      <c r="F20" s="13"/>
      <c r="G20" s="13"/>
      <c r="H20" s="13"/>
      <c r="I20" s="13"/>
      <c r="J20" s="13"/>
      <c r="K20" s="13"/>
      <c r="L20" s="13"/>
      <c r="M20" s="13"/>
      <c r="N20" s="13"/>
      <c r="O20" s="13"/>
      <c r="P20" s="13"/>
      <c r="Q20" s="13"/>
      <c r="R20" s="13">
        <f t="shared" ref="R20:X20" si="5">R7+R15</f>
        <v>253585.449344375</v>
      </c>
      <c r="S20" s="13">
        <f t="shared" si="5"/>
        <v>261612.36046877503</v>
      </c>
      <c r="T20" s="13">
        <f t="shared" si="5"/>
        <v>354077.657339725</v>
      </c>
      <c r="U20" s="13">
        <f t="shared" si="5"/>
        <v>363248</v>
      </c>
      <c r="V20" s="13">
        <f t="shared" si="5"/>
        <v>1232522.771465125</v>
      </c>
      <c r="W20" s="13">
        <f t="shared" si="5"/>
        <v>310671.19272699999</v>
      </c>
      <c r="X20" s="13">
        <f t="shared" si="5"/>
        <v>226725.90430159998</v>
      </c>
      <c r="Y20" s="13">
        <v>537397.09702859994</v>
      </c>
      <c r="Z20" s="13">
        <f>Z7+Z15</f>
        <v>247650.54157140001</v>
      </c>
      <c r="AA20" s="13">
        <f>AA7+AA15</f>
        <v>785047.63859999995</v>
      </c>
      <c r="AB20" s="13">
        <f>AB7+AB15</f>
        <v>216447.00658959994</v>
      </c>
      <c r="AC20" s="13">
        <f>AC7+AC15</f>
        <v>1001494.6451895999</v>
      </c>
      <c r="AD20" s="13">
        <f>AD7+AD15</f>
        <v>284882.01968000003</v>
      </c>
      <c r="AE20" s="13">
        <v>285918.44555</v>
      </c>
      <c r="AF20" s="13">
        <v>570800.46522999997</v>
      </c>
      <c r="AG20" s="13">
        <v>291603.53477000003</v>
      </c>
      <c r="AH20" s="13">
        <v>862404</v>
      </c>
      <c r="AI20" s="13">
        <v>0</v>
      </c>
      <c r="AJ20" s="13">
        <v>0</v>
      </c>
      <c r="AK20" s="13"/>
      <c r="AL20" s="13"/>
    </row>
    <row r="21" spans="2:41" ht="13.5" thickBot="1">
      <c r="B21" s="3" t="s">
        <v>1209</v>
      </c>
      <c r="C21" s="1"/>
      <c r="E21" s="1"/>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f>AD9+AD16</f>
        <v>1081</v>
      </c>
      <c r="AE21" s="13">
        <v>7455.9514899999995</v>
      </c>
      <c r="AF21" s="13">
        <v>8536.9514899999995</v>
      </c>
      <c r="AG21" s="13">
        <v>24067.70912</v>
      </c>
      <c r="AH21" s="13">
        <v>32604.660609999999</v>
      </c>
      <c r="AI21" s="13">
        <v>0</v>
      </c>
      <c r="AJ21" s="13">
        <v>0</v>
      </c>
      <c r="AK21" s="13"/>
      <c r="AL21" s="13"/>
    </row>
    <row r="22" spans="2:41" ht="13.5" thickBot="1">
      <c r="B22" s="28" t="s">
        <v>93</v>
      </c>
      <c r="C22" s="27"/>
      <c r="D22" s="28" t="s">
        <v>719</v>
      </c>
      <c r="E22" s="27"/>
      <c r="F22" s="40">
        <v>299668</v>
      </c>
      <c r="G22" s="40">
        <v>339923</v>
      </c>
      <c r="H22" s="40">
        <v>195548</v>
      </c>
      <c r="I22" s="40">
        <v>185488</v>
      </c>
      <c r="J22" s="40">
        <v>200177</v>
      </c>
      <c r="K22" s="40">
        <v>206628</v>
      </c>
      <c r="L22" s="40">
        <v>787841</v>
      </c>
      <c r="M22" s="40">
        <v>245788</v>
      </c>
      <c r="N22" s="40">
        <v>249110</v>
      </c>
      <c r="O22" s="40">
        <v>260344</v>
      </c>
      <c r="P22" s="40">
        <v>285362</v>
      </c>
      <c r="Q22" s="40">
        <v>1040604</v>
      </c>
      <c r="R22" s="40">
        <v>703476</v>
      </c>
      <c r="S22" s="40">
        <v>691009</v>
      </c>
      <c r="T22" s="40">
        <v>804848</v>
      </c>
      <c r="U22" s="40">
        <v>776606</v>
      </c>
      <c r="V22" s="40">
        <v>2975939</v>
      </c>
      <c r="W22" s="40">
        <f t="shared" ref="W22:AC22" si="6">W12+W17</f>
        <v>719212</v>
      </c>
      <c r="X22" s="40">
        <f t="shared" si="6"/>
        <v>658314</v>
      </c>
      <c r="Y22" s="40">
        <f t="shared" si="6"/>
        <v>1377526</v>
      </c>
      <c r="Z22" s="40">
        <f t="shared" si="6"/>
        <v>747829</v>
      </c>
      <c r="AA22" s="40">
        <f t="shared" si="6"/>
        <v>2125355</v>
      </c>
      <c r="AB22" s="40">
        <f t="shared" si="6"/>
        <v>689006</v>
      </c>
      <c r="AC22" s="40">
        <f t="shared" si="6"/>
        <v>2814361</v>
      </c>
      <c r="AD22" s="40">
        <f>SUM(AD19:AD21)</f>
        <v>744734.80237000005</v>
      </c>
      <c r="AE22" s="40">
        <f>SUM(AE19:AE21)</f>
        <v>826253.79822000011</v>
      </c>
      <c r="AF22" s="40">
        <f t="shared" ref="AF22:AJ22" si="7">SUM(AF19:AF21)</f>
        <v>1570988.6005899999</v>
      </c>
      <c r="AG22" s="40">
        <f t="shared" si="7"/>
        <v>850189.39941000007</v>
      </c>
      <c r="AH22" s="40">
        <f t="shared" si="7"/>
        <v>2421178.0000000005</v>
      </c>
      <c r="AI22" s="40">
        <f t="shared" si="7"/>
        <v>0</v>
      </c>
      <c r="AJ22" s="40">
        <f t="shared" si="7"/>
        <v>0</v>
      </c>
      <c r="AM22" s="6"/>
    </row>
    <row r="23" spans="2:41">
      <c r="F23" s="5"/>
      <c r="G23" s="5"/>
      <c r="H23" s="5"/>
      <c r="I23" s="5"/>
      <c r="J23" s="5"/>
      <c r="K23" s="5"/>
      <c r="L23" s="5"/>
      <c r="M23" s="5"/>
      <c r="N23" s="5"/>
      <c r="O23" s="5"/>
      <c r="P23" s="5"/>
      <c r="Q23" s="5"/>
      <c r="R23" s="5"/>
      <c r="S23" s="5"/>
      <c r="T23" s="5"/>
      <c r="U23" s="268"/>
      <c r="V23" s="268"/>
      <c r="W23" s="5"/>
      <c r="X23" s="5"/>
      <c r="Y23" s="5"/>
      <c r="Z23" s="5"/>
      <c r="AA23" s="5"/>
      <c r="AB23" s="5"/>
      <c r="AC23" s="268"/>
      <c r="AD23" s="5"/>
      <c r="AE23" s="5"/>
      <c r="AF23" s="5"/>
      <c r="AG23" s="5"/>
      <c r="AH23" s="5"/>
      <c r="AI23" s="5"/>
      <c r="AJ23" s="5"/>
    </row>
    <row r="24" spans="2:41">
      <c r="B24" s="7" t="s">
        <v>89</v>
      </c>
      <c r="C24" s="1"/>
      <c r="D24" s="7" t="s">
        <v>739</v>
      </c>
      <c r="E24" s="1"/>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row>
    <row r="25" spans="2:41" ht="15">
      <c r="B25" s="3" t="s">
        <v>87</v>
      </c>
      <c r="C25" s="1"/>
      <c r="D25" s="3" t="s">
        <v>744</v>
      </c>
      <c r="E25" s="1"/>
      <c r="F25" s="13">
        <v>-44940</v>
      </c>
      <c r="G25" s="13">
        <v>-55201</v>
      </c>
      <c r="H25" s="13">
        <v>-21692</v>
      </c>
      <c r="I25" s="13">
        <v>-18386</v>
      </c>
      <c r="J25" s="13">
        <v>-18260</v>
      </c>
      <c r="K25" s="13">
        <v>-23799</v>
      </c>
      <c r="L25" s="13">
        <v>-82137</v>
      </c>
      <c r="M25" s="13">
        <v>-25614</v>
      </c>
      <c r="N25" s="13">
        <v>-30937</v>
      </c>
      <c r="O25" s="13">
        <v>-29444</v>
      </c>
      <c r="P25" s="13">
        <v>-42273</v>
      </c>
      <c r="Q25" s="13">
        <v>-128268</v>
      </c>
      <c r="R25" s="13">
        <v>-48037</v>
      </c>
      <c r="S25" s="13">
        <v>-54872</v>
      </c>
      <c r="T25" s="13">
        <v>-62667</v>
      </c>
      <c r="U25" s="13">
        <v>-62448</v>
      </c>
      <c r="V25" s="13">
        <v>-228024</v>
      </c>
      <c r="W25" s="13">
        <v>-65988</v>
      </c>
      <c r="X25" s="13">
        <v>-66633</v>
      </c>
      <c r="Y25" s="13">
        <v>-132621</v>
      </c>
      <c r="Z25" s="13">
        <v>-62901</v>
      </c>
      <c r="AA25" s="13">
        <v>-195522</v>
      </c>
      <c r="AB25" s="13">
        <v>-79753</v>
      </c>
      <c r="AC25" s="13">
        <v>-275275</v>
      </c>
      <c r="AD25" s="50">
        <v>-58408</v>
      </c>
      <c r="AE25" s="50">
        <v>-72003</v>
      </c>
      <c r="AF25" s="50">
        <v>-130411</v>
      </c>
      <c r="AG25" s="50">
        <v>-74291</v>
      </c>
      <c r="AH25" s="50">
        <v>-204702</v>
      </c>
      <c r="AI25" s="50">
        <v>0</v>
      </c>
      <c r="AJ25" s="50">
        <v>0</v>
      </c>
      <c r="AK25" s="48"/>
      <c r="AL25" s="48"/>
    </row>
    <row r="26" spans="2:41" ht="15">
      <c r="B26" s="3" t="s">
        <v>934</v>
      </c>
      <c r="C26" s="1"/>
      <c r="D26" s="3" t="s">
        <v>935</v>
      </c>
      <c r="E26" s="1"/>
      <c r="F26" s="13">
        <v>-62157</v>
      </c>
      <c r="G26" s="13">
        <v>-80718</v>
      </c>
      <c r="H26" s="13">
        <v>-31095</v>
      </c>
      <c r="I26" s="13">
        <v>-21629</v>
      </c>
      <c r="J26" s="13">
        <v>-26794</v>
      </c>
      <c r="K26" s="13">
        <v>-36449</v>
      </c>
      <c r="L26" s="13">
        <v>-115967</v>
      </c>
      <c r="M26" s="13">
        <v>-37317</v>
      </c>
      <c r="N26" s="13">
        <v>-35193</v>
      </c>
      <c r="O26" s="13">
        <v>-45093</v>
      </c>
      <c r="P26" s="13">
        <v>-44229</v>
      </c>
      <c r="Q26" s="13">
        <v>-161832</v>
      </c>
      <c r="R26" s="13">
        <v>-59955</v>
      </c>
      <c r="S26" s="13">
        <v>-65115</v>
      </c>
      <c r="T26" s="13">
        <v>-60543</v>
      </c>
      <c r="U26" s="13">
        <v>-69012</v>
      </c>
      <c r="V26" s="13">
        <v>-254625</v>
      </c>
      <c r="W26" s="13">
        <v>-94436</v>
      </c>
      <c r="X26" s="13">
        <v>-99298</v>
      </c>
      <c r="Y26" s="13">
        <v>-193734</v>
      </c>
      <c r="Z26" s="13">
        <v>-82691</v>
      </c>
      <c r="AA26" s="13">
        <v>-276425</v>
      </c>
      <c r="AB26" s="13">
        <v>-119485</v>
      </c>
      <c r="AC26" s="13">
        <v>-395910</v>
      </c>
      <c r="AD26" s="50">
        <v>-108629</v>
      </c>
      <c r="AE26" s="50">
        <v>-117957</v>
      </c>
      <c r="AF26" s="50">
        <v>-226586</v>
      </c>
      <c r="AG26" s="50">
        <v>-151932</v>
      </c>
      <c r="AH26" s="50">
        <v>-378518</v>
      </c>
      <c r="AI26" s="50">
        <v>0</v>
      </c>
      <c r="AJ26" s="50">
        <v>0</v>
      </c>
      <c r="AK26" s="48"/>
      <c r="AL26" s="48"/>
    </row>
    <row r="27" spans="2:41" ht="15">
      <c r="B27" s="3" t="s">
        <v>92</v>
      </c>
      <c r="C27" s="1"/>
      <c r="D27" s="3" t="s">
        <v>740</v>
      </c>
      <c r="E27" s="1"/>
      <c r="F27" s="13">
        <v>-30966</v>
      </c>
      <c r="G27" s="13">
        <v>-38618</v>
      </c>
      <c r="H27" s="13">
        <v>-13995</v>
      </c>
      <c r="I27" s="13">
        <v>-10402</v>
      </c>
      <c r="J27" s="13">
        <v>-10098</v>
      </c>
      <c r="K27" s="13">
        <v>-11337</v>
      </c>
      <c r="L27" s="13">
        <v>-45832</v>
      </c>
      <c r="M27" s="13">
        <v>-12195</v>
      </c>
      <c r="N27" s="13">
        <v>-12689</v>
      </c>
      <c r="O27" s="13">
        <v>-14188</v>
      </c>
      <c r="P27" s="13">
        <v>-17796</v>
      </c>
      <c r="Q27" s="13">
        <v>-56868</v>
      </c>
      <c r="R27" s="13">
        <v>-19048</v>
      </c>
      <c r="S27" s="13">
        <v>-15963</v>
      </c>
      <c r="T27" s="13">
        <v>-19014</v>
      </c>
      <c r="U27" s="13">
        <v>-19852</v>
      </c>
      <c r="V27" s="13">
        <v>-73877</v>
      </c>
      <c r="W27" s="13">
        <v>-19133</v>
      </c>
      <c r="X27" s="13">
        <v>-20081</v>
      </c>
      <c r="Y27" s="13">
        <v>-39214</v>
      </c>
      <c r="Z27" s="13">
        <v>-21087</v>
      </c>
      <c r="AA27" s="13">
        <v>-60301</v>
      </c>
      <c r="AB27" s="13">
        <v>-16929</v>
      </c>
      <c r="AC27" s="13">
        <v>-77230</v>
      </c>
      <c r="AD27" s="50">
        <v>-18296</v>
      </c>
      <c r="AE27" s="50">
        <v>-17160</v>
      </c>
      <c r="AF27" s="50">
        <v>-35456</v>
      </c>
      <c r="AG27" s="50">
        <v>-18441</v>
      </c>
      <c r="AH27" s="50">
        <v>-53897</v>
      </c>
      <c r="AI27" s="50">
        <v>0</v>
      </c>
      <c r="AJ27" s="50">
        <v>0</v>
      </c>
      <c r="AK27" s="48"/>
      <c r="AL27" s="48"/>
    </row>
    <row r="28" spans="2:41" ht="15">
      <c r="B28" s="139" t="s">
        <v>1069</v>
      </c>
      <c r="C28" s="1"/>
      <c r="D28" s="3" t="s">
        <v>1070</v>
      </c>
      <c r="E28" s="1"/>
      <c r="F28" s="13">
        <v>0</v>
      </c>
      <c r="G28" s="13">
        <v>0</v>
      </c>
      <c r="H28" s="13">
        <v>0</v>
      </c>
      <c r="I28" s="13">
        <v>0</v>
      </c>
      <c r="J28" s="13">
        <v>0</v>
      </c>
      <c r="K28" s="13">
        <v>0</v>
      </c>
      <c r="L28" s="13">
        <v>0</v>
      </c>
      <c r="M28" s="13">
        <v>0</v>
      </c>
      <c r="N28" s="13">
        <v>0</v>
      </c>
      <c r="O28" s="13">
        <v>0</v>
      </c>
      <c r="P28" s="13">
        <v>0</v>
      </c>
      <c r="Q28" s="13">
        <v>0</v>
      </c>
      <c r="R28" s="13">
        <v>0</v>
      </c>
      <c r="S28" s="13">
        <v>0</v>
      </c>
      <c r="T28" s="13">
        <v>0</v>
      </c>
      <c r="U28" s="13">
        <v>0</v>
      </c>
      <c r="V28" s="13">
        <v>0</v>
      </c>
      <c r="W28" s="13">
        <v>0</v>
      </c>
      <c r="X28" s="13">
        <v>0</v>
      </c>
      <c r="Y28" s="13">
        <v>0</v>
      </c>
      <c r="Z28" s="13">
        <v>-8856</v>
      </c>
      <c r="AA28" s="13">
        <v>-8856</v>
      </c>
      <c r="AB28" s="13">
        <v>-31639</v>
      </c>
      <c r="AC28" s="13">
        <v>-40495</v>
      </c>
      <c r="AD28" s="50">
        <v>-892</v>
      </c>
      <c r="AE28" s="50">
        <v>0</v>
      </c>
      <c r="AF28" s="50">
        <v>-892</v>
      </c>
      <c r="AG28" s="50">
        <v>-3048</v>
      </c>
      <c r="AH28" s="50">
        <v>-3940</v>
      </c>
      <c r="AI28" s="50">
        <v>0</v>
      </c>
      <c r="AJ28" s="50">
        <v>0</v>
      </c>
      <c r="AK28" s="48"/>
      <c r="AL28" s="48"/>
    </row>
    <row r="29" spans="2:41" ht="15">
      <c r="B29" s="3" t="s">
        <v>88</v>
      </c>
      <c r="C29" s="1"/>
      <c r="D29" s="3" t="s">
        <v>742</v>
      </c>
      <c r="E29" s="1"/>
      <c r="F29" s="13">
        <v>-8755</v>
      </c>
      <c r="G29" s="13">
        <v>-6327</v>
      </c>
      <c r="H29" s="13">
        <v>-12547</v>
      </c>
      <c r="I29" s="13">
        <v>-8224</v>
      </c>
      <c r="J29" s="13">
        <v>-12591</v>
      </c>
      <c r="K29" s="13">
        <v>10728</v>
      </c>
      <c r="L29" s="13">
        <v>-22634</v>
      </c>
      <c r="M29" s="13">
        <v>-18451</v>
      </c>
      <c r="N29" s="13">
        <v>-14753</v>
      </c>
      <c r="O29" s="13">
        <v>-9371</v>
      </c>
      <c r="P29" s="13">
        <v>-12274</v>
      </c>
      <c r="Q29" s="13">
        <v>-54850</v>
      </c>
      <c r="R29" s="13">
        <v>-9960</v>
      </c>
      <c r="S29" s="13">
        <v>-16066</v>
      </c>
      <c r="T29" s="13">
        <v>-18130</v>
      </c>
      <c r="U29" s="13">
        <v>-8338</v>
      </c>
      <c r="V29" s="13">
        <v>-52494</v>
      </c>
      <c r="W29" s="13">
        <v>-13112</v>
      </c>
      <c r="X29" s="13">
        <v>16856</v>
      </c>
      <c r="Y29" s="13">
        <v>3744</v>
      </c>
      <c r="Z29" s="13">
        <v>-11341</v>
      </c>
      <c r="AA29" s="13">
        <v>-7597</v>
      </c>
      <c r="AB29" s="13">
        <v>-28486</v>
      </c>
      <c r="AC29" s="13">
        <v>-36083</v>
      </c>
      <c r="AD29" s="13">
        <v>-41708.802370000049</v>
      </c>
      <c r="AE29" s="13">
        <v>-12455</v>
      </c>
      <c r="AF29" s="13">
        <v>-54163.802370000049</v>
      </c>
      <c r="AG29" s="13">
        <v>-2139</v>
      </c>
      <c r="AH29" s="13">
        <v>-56302.802370000049</v>
      </c>
      <c r="AI29" s="13">
        <v>0</v>
      </c>
      <c r="AJ29" s="13">
        <v>0</v>
      </c>
      <c r="AK29" s="48"/>
      <c r="AL29" s="48"/>
    </row>
    <row r="30" spans="2:41" ht="15">
      <c r="B30" s="139" t="s">
        <v>1068</v>
      </c>
      <c r="C30" s="1"/>
      <c r="D30" s="3" t="s">
        <v>977</v>
      </c>
      <c r="E30" s="1"/>
      <c r="F30" s="13">
        <v>0</v>
      </c>
      <c r="G30" s="13">
        <v>0</v>
      </c>
      <c r="H30" s="13">
        <v>0</v>
      </c>
      <c r="I30" s="13">
        <v>0</v>
      </c>
      <c r="J30" s="13">
        <v>0</v>
      </c>
      <c r="K30" s="13">
        <v>0</v>
      </c>
      <c r="L30" s="13">
        <v>0</v>
      </c>
      <c r="M30" s="13">
        <v>0</v>
      </c>
      <c r="N30" s="13">
        <v>0</v>
      </c>
      <c r="O30" s="13">
        <v>0</v>
      </c>
      <c r="P30" s="13">
        <v>0</v>
      </c>
      <c r="Q30" s="13">
        <v>0</v>
      </c>
      <c r="R30" s="13">
        <v>-34458</v>
      </c>
      <c r="S30" s="13">
        <v>-34133</v>
      </c>
      <c r="T30" s="13">
        <v>-57296</v>
      </c>
      <c r="U30" s="13">
        <v>-78208</v>
      </c>
      <c r="V30" s="13">
        <v>-204095</v>
      </c>
      <c r="W30" s="13">
        <v>-58476</v>
      </c>
      <c r="X30" s="13">
        <v>-15881</v>
      </c>
      <c r="Y30" s="13">
        <v>-74357</v>
      </c>
      <c r="Z30" s="13">
        <v>-4291</v>
      </c>
      <c r="AA30" s="13">
        <v>-78648</v>
      </c>
      <c r="AB30" s="13">
        <v>-19546</v>
      </c>
      <c r="AC30" s="13">
        <v>-98194</v>
      </c>
      <c r="AD30" s="50">
        <v>-12625</v>
      </c>
      <c r="AE30" s="50">
        <v>-13169</v>
      </c>
      <c r="AF30" s="50">
        <v>-25794</v>
      </c>
      <c r="AG30" s="50">
        <v>-17075</v>
      </c>
      <c r="AH30" s="50">
        <v>-42869</v>
      </c>
      <c r="AI30" s="50">
        <v>0</v>
      </c>
      <c r="AJ30" s="50">
        <v>0</v>
      </c>
      <c r="AK30" s="48"/>
      <c r="AL30" s="48"/>
    </row>
    <row r="31" spans="2:41" ht="15">
      <c r="B31" s="139" t="s">
        <v>936</v>
      </c>
      <c r="C31" s="1"/>
      <c r="D31" s="3" t="s">
        <v>978</v>
      </c>
      <c r="E31" s="1"/>
      <c r="F31" s="13">
        <v>0</v>
      </c>
      <c r="G31" s="13">
        <v>0</v>
      </c>
      <c r="H31" s="13">
        <v>0</v>
      </c>
      <c r="I31" s="13">
        <v>0</v>
      </c>
      <c r="J31" s="13">
        <v>0</v>
      </c>
      <c r="K31" s="13">
        <v>0</v>
      </c>
      <c r="L31" s="13">
        <v>0</v>
      </c>
      <c r="M31" s="13">
        <v>0</v>
      </c>
      <c r="N31" s="13">
        <v>0</v>
      </c>
      <c r="O31" s="13">
        <v>0</v>
      </c>
      <c r="P31" s="13">
        <v>0</v>
      </c>
      <c r="Q31" s="13">
        <v>0</v>
      </c>
      <c r="R31" s="13">
        <v>-2420</v>
      </c>
      <c r="S31" s="13">
        <v>-2580</v>
      </c>
      <c r="T31" s="13">
        <v>-3164</v>
      </c>
      <c r="U31" s="13">
        <v>-3318</v>
      </c>
      <c r="V31" s="13">
        <v>-11482</v>
      </c>
      <c r="W31" s="13">
        <v>-4195</v>
      </c>
      <c r="X31" s="13">
        <v>-6828</v>
      </c>
      <c r="Y31" s="13">
        <v>-11023</v>
      </c>
      <c r="Z31" s="13">
        <v>-7670</v>
      </c>
      <c r="AA31" s="13">
        <v>-18693</v>
      </c>
      <c r="AB31" s="13">
        <v>-5203</v>
      </c>
      <c r="AC31" s="13">
        <v>-23896</v>
      </c>
      <c r="AD31" s="50">
        <v>-6360</v>
      </c>
      <c r="AE31" s="50">
        <v>-4853</v>
      </c>
      <c r="AF31" s="50">
        <v>-11213</v>
      </c>
      <c r="AG31" s="50">
        <v>-3957</v>
      </c>
      <c r="AH31" s="50">
        <v>-15170</v>
      </c>
      <c r="AI31" s="50">
        <v>0</v>
      </c>
      <c r="AJ31" s="50">
        <v>0</v>
      </c>
      <c r="AK31" s="48"/>
      <c r="AL31" s="48"/>
      <c r="AO31" s="171"/>
    </row>
    <row r="32" spans="2:41" ht="15">
      <c r="B32" s="139" t="s">
        <v>937</v>
      </c>
      <c r="C32" s="1"/>
      <c r="D32" s="3" t="s">
        <v>979</v>
      </c>
      <c r="E32" s="1"/>
      <c r="F32" s="13">
        <v>0</v>
      </c>
      <c r="G32" s="13">
        <v>0</v>
      </c>
      <c r="H32" s="13">
        <v>0</v>
      </c>
      <c r="I32" s="13">
        <v>0</v>
      </c>
      <c r="J32" s="13">
        <v>0</v>
      </c>
      <c r="K32" s="13">
        <v>0</v>
      </c>
      <c r="L32" s="13">
        <v>0</v>
      </c>
      <c r="M32" s="13">
        <v>0</v>
      </c>
      <c r="N32" s="13">
        <v>0</v>
      </c>
      <c r="O32" s="13">
        <v>0</v>
      </c>
      <c r="P32" s="13">
        <v>0</v>
      </c>
      <c r="Q32" s="13">
        <v>0</v>
      </c>
      <c r="R32" s="13">
        <v>-21672</v>
      </c>
      <c r="S32" s="13">
        <v>-24127</v>
      </c>
      <c r="T32" s="13">
        <v>-27436</v>
      </c>
      <c r="U32" s="13">
        <v>-28920</v>
      </c>
      <c r="V32" s="13">
        <v>-102155</v>
      </c>
      <c r="W32" s="13">
        <v>-37188</v>
      </c>
      <c r="X32" s="13">
        <v>-48835</v>
      </c>
      <c r="Y32" s="13">
        <v>-86023</v>
      </c>
      <c r="Z32" s="13">
        <v>-54594</v>
      </c>
      <c r="AA32" s="13">
        <v>-140617</v>
      </c>
      <c r="AB32" s="13">
        <v>-42535</v>
      </c>
      <c r="AC32" s="13">
        <v>-183152</v>
      </c>
      <c r="AD32" s="50">
        <v>-61036</v>
      </c>
      <c r="AE32" s="50">
        <v>-58346</v>
      </c>
      <c r="AF32" s="50">
        <v>-119382</v>
      </c>
      <c r="AG32" s="50">
        <v>-52073</v>
      </c>
      <c r="AH32" s="50">
        <v>-171455</v>
      </c>
      <c r="AI32" s="50">
        <v>0</v>
      </c>
      <c r="AJ32" s="50">
        <v>0</v>
      </c>
      <c r="AK32" s="48"/>
      <c r="AL32" s="48"/>
    </row>
    <row r="33" spans="2:40" ht="15">
      <c r="B33" s="139" t="s">
        <v>938</v>
      </c>
      <c r="C33" s="1"/>
      <c r="D33" s="3" t="s">
        <v>980</v>
      </c>
      <c r="E33" s="1"/>
      <c r="F33" s="13">
        <v>0</v>
      </c>
      <c r="G33" s="13">
        <v>0</v>
      </c>
      <c r="H33" s="13">
        <v>0</v>
      </c>
      <c r="I33" s="13">
        <v>0</v>
      </c>
      <c r="J33" s="13">
        <v>0</v>
      </c>
      <c r="K33" s="13">
        <v>0</v>
      </c>
      <c r="L33" s="13">
        <v>0</v>
      </c>
      <c r="M33" s="13">
        <v>0</v>
      </c>
      <c r="N33" s="13">
        <v>0</v>
      </c>
      <c r="O33" s="13">
        <v>0</v>
      </c>
      <c r="P33" s="13">
        <v>0</v>
      </c>
      <c r="Q33" s="13">
        <v>0</v>
      </c>
      <c r="R33" s="13">
        <v>-30029</v>
      </c>
      <c r="S33" s="13">
        <v>-33506</v>
      </c>
      <c r="T33" s="13">
        <v>-33706</v>
      </c>
      <c r="U33" s="13">
        <v>-30939</v>
      </c>
      <c r="V33" s="13">
        <v>-128180</v>
      </c>
      <c r="W33" s="13">
        <v>-42502</v>
      </c>
      <c r="X33" s="13">
        <v>-35425</v>
      </c>
      <c r="Y33" s="13">
        <v>-77927</v>
      </c>
      <c r="Z33" s="13">
        <v>-48793</v>
      </c>
      <c r="AA33" s="13">
        <v>-126720</v>
      </c>
      <c r="AB33" s="13">
        <v>-41422</v>
      </c>
      <c r="AC33" s="13">
        <v>-168142</v>
      </c>
      <c r="AD33" s="50">
        <v>-30644</v>
      </c>
      <c r="AE33" s="50">
        <v>-31293</v>
      </c>
      <c r="AF33" s="50">
        <v>-61937</v>
      </c>
      <c r="AG33" s="50">
        <v>-29438</v>
      </c>
      <c r="AH33" s="50">
        <v>-91375</v>
      </c>
      <c r="AI33" s="50">
        <v>0</v>
      </c>
      <c r="AJ33" s="50">
        <v>0</v>
      </c>
      <c r="AK33" s="48"/>
      <c r="AL33" s="48"/>
    </row>
    <row r="34" spans="2:40" ht="15">
      <c r="B34" s="3" t="s">
        <v>82</v>
      </c>
      <c r="C34" s="1"/>
      <c r="D34" s="3" t="s">
        <v>82</v>
      </c>
      <c r="E34" s="1"/>
      <c r="F34" s="13">
        <v>-958</v>
      </c>
      <c r="G34" s="13">
        <v>-3234</v>
      </c>
      <c r="H34" s="13">
        <v>-10890</v>
      </c>
      <c r="I34" s="13">
        <v>-7880</v>
      </c>
      <c r="J34" s="13">
        <v>-13519</v>
      </c>
      <c r="K34" s="13">
        <v>-14577</v>
      </c>
      <c r="L34" s="13">
        <v>-46866</v>
      </c>
      <c r="M34" s="13">
        <v>-20579</v>
      </c>
      <c r="N34" s="13">
        <v>-24184</v>
      </c>
      <c r="O34" s="13">
        <v>-27649</v>
      </c>
      <c r="P34" s="13">
        <v>-31568</v>
      </c>
      <c r="Q34" s="13">
        <v>-103980</v>
      </c>
      <c r="R34" s="13">
        <v>-63158</v>
      </c>
      <c r="S34" s="13">
        <v>-64776</v>
      </c>
      <c r="T34" s="13">
        <v>-61497</v>
      </c>
      <c r="U34" s="13">
        <v>-51445</v>
      </c>
      <c r="V34" s="13">
        <v>-240876</v>
      </c>
      <c r="W34" s="13">
        <v>-49346</v>
      </c>
      <c r="X34" s="13">
        <v>-62951</v>
      </c>
      <c r="Y34" s="13">
        <v>-112297</v>
      </c>
      <c r="Z34" s="13">
        <v>-68271</v>
      </c>
      <c r="AA34" s="13">
        <v>-180568</v>
      </c>
      <c r="AB34" s="13">
        <v>-57272</v>
      </c>
      <c r="AC34" s="13">
        <v>-237840</v>
      </c>
      <c r="AD34" s="50">
        <v>-52784</v>
      </c>
      <c r="AE34" s="50">
        <v>-51703</v>
      </c>
      <c r="AF34" s="50">
        <v>-104487</v>
      </c>
      <c r="AG34" s="50">
        <v>-58393</v>
      </c>
      <c r="AH34" s="50">
        <v>-162880</v>
      </c>
      <c r="AI34" s="50">
        <v>0</v>
      </c>
      <c r="AJ34" s="50">
        <v>0</v>
      </c>
      <c r="AK34" s="48"/>
      <c r="AL34" s="48"/>
      <c r="AM34" s="196"/>
    </row>
    <row r="35" spans="2:40" ht="15">
      <c r="B35" s="3" t="s">
        <v>871</v>
      </c>
      <c r="C35" s="1"/>
      <c r="D35" s="3" t="s">
        <v>882</v>
      </c>
      <c r="E35" s="1"/>
      <c r="F35" s="13">
        <v>0</v>
      </c>
      <c r="G35" s="13">
        <v>0</v>
      </c>
      <c r="H35" s="13">
        <v>0</v>
      </c>
      <c r="I35" s="13">
        <v>0</v>
      </c>
      <c r="J35" s="13">
        <v>0</v>
      </c>
      <c r="K35" s="13">
        <v>0</v>
      </c>
      <c r="L35" s="13">
        <v>0</v>
      </c>
      <c r="M35" s="13">
        <v>0</v>
      </c>
      <c r="N35" s="13">
        <v>0</v>
      </c>
      <c r="O35" s="13">
        <v>0</v>
      </c>
      <c r="P35" s="13">
        <v>0</v>
      </c>
      <c r="Q35" s="13">
        <v>0</v>
      </c>
      <c r="R35" s="13">
        <v>0</v>
      </c>
      <c r="S35" s="13">
        <v>0</v>
      </c>
      <c r="T35" s="13">
        <v>-37962</v>
      </c>
      <c r="U35" s="13">
        <v>-32749</v>
      </c>
      <c r="V35" s="13">
        <v>-70711</v>
      </c>
      <c r="W35" s="13">
        <v>0</v>
      </c>
      <c r="X35" s="13">
        <v>0</v>
      </c>
      <c r="Y35" s="13">
        <v>0</v>
      </c>
      <c r="Z35" s="13">
        <v>0</v>
      </c>
      <c r="AA35" s="13">
        <v>0</v>
      </c>
      <c r="AB35" s="13">
        <v>0</v>
      </c>
      <c r="AC35" s="13">
        <v>0</v>
      </c>
      <c r="AD35" s="13">
        <v>0</v>
      </c>
      <c r="AE35" s="13">
        <v>0</v>
      </c>
      <c r="AF35" s="13">
        <v>0</v>
      </c>
      <c r="AG35" s="13">
        <v>0</v>
      </c>
      <c r="AH35" s="13">
        <v>0</v>
      </c>
      <c r="AI35" s="13">
        <v>0</v>
      </c>
      <c r="AJ35" s="13">
        <v>0</v>
      </c>
      <c r="AK35" s="48"/>
      <c r="AL35" s="48"/>
    </row>
    <row r="36" spans="2:40" ht="3.75" customHeight="1" thickBot="1">
      <c r="C36" s="1"/>
      <c r="E36" s="1"/>
      <c r="F36" s="13"/>
      <c r="G36" s="13"/>
      <c r="H36" s="13"/>
      <c r="I36" s="13"/>
      <c r="J36" s="13"/>
      <c r="K36" s="13"/>
      <c r="L36" s="13"/>
      <c r="M36" s="13"/>
      <c r="N36" s="13"/>
      <c r="O36" s="13"/>
      <c r="P36" s="13"/>
      <c r="Q36" s="13"/>
      <c r="R36" s="13"/>
      <c r="S36" s="13"/>
      <c r="V36" s="13"/>
      <c r="W36" s="13"/>
      <c r="X36" s="13"/>
      <c r="Y36" s="13"/>
      <c r="Z36" s="13"/>
      <c r="AA36" s="13"/>
      <c r="AB36" s="13"/>
      <c r="AC36" s="13"/>
      <c r="AD36" s="13"/>
      <c r="AE36" s="13"/>
      <c r="AF36" s="13"/>
      <c r="AG36" s="13"/>
      <c r="AH36" s="13"/>
      <c r="AI36" s="13"/>
      <c r="AJ36" s="13"/>
    </row>
    <row r="37" spans="2:40" ht="13.5" thickBot="1">
      <c r="B37" s="28" t="s">
        <v>91</v>
      </c>
      <c r="C37" s="27"/>
      <c r="D37" s="28" t="s">
        <v>743</v>
      </c>
      <c r="E37" s="27"/>
      <c r="F37" s="40">
        <v>-147776</v>
      </c>
      <c r="G37" s="40">
        <v>-184098</v>
      </c>
      <c r="H37" s="40">
        <v>-90219</v>
      </c>
      <c r="I37" s="40">
        <v>-66521</v>
      </c>
      <c r="J37" s="40">
        <v>-81262</v>
      </c>
      <c r="K37" s="40">
        <v>-75434</v>
      </c>
      <c r="L37" s="40">
        <v>-313436</v>
      </c>
      <c r="M37" s="40">
        <v>-114156</v>
      </c>
      <c r="N37" s="40">
        <v>-117756</v>
      </c>
      <c r="O37" s="40">
        <v>-125745</v>
      </c>
      <c r="P37" s="40">
        <v>-148140</v>
      </c>
      <c r="Q37" s="40">
        <v>-505798</v>
      </c>
      <c r="R37" s="40">
        <v>-288737</v>
      </c>
      <c r="S37" s="40">
        <v>-311138</v>
      </c>
      <c r="T37" s="40">
        <v>-381415</v>
      </c>
      <c r="U37" s="40">
        <v>-385229</v>
      </c>
      <c r="V37" s="40">
        <v>-1366519</v>
      </c>
      <c r="W37" s="40">
        <f t="shared" ref="W37:AE37" si="8">SUM(W25:W35)</f>
        <v>-384376</v>
      </c>
      <c r="X37" s="40">
        <f t="shared" si="8"/>
        <v>-339076</v>
      </c>
      <c r="Y37" s="40">
        <f t="shared" si="8"/>
        <v>-723452</v>
      </c>
      <c r="Z37" s="40">
        <f t="shared" si="8"/>
        <v>-370495</v>
      </c>
      <c r="AA37" s="40">
        <f t="shared" si="8"/>
        <v>-1093947</v>
      </c>
      <c r="AB37" s="40">
        <f t="shared" si="8"/>
        <v>-442270</v>
      </c>
      <c r="AC37" s="40">
        <f t="shared" si="8"/>
        <v>-1536217</v>
      </c>
      <c r="AD37" s="40">
        <f t="shared" si="8"/>
        <v>-391382.80237000005</v>
      </c>
      <c r="AE37" s="40">
        <f t="shared" si="8"/>
        <v>-378939</v>
      </c>
      <c r="AF37" s="40">
        <f t="shared" ref="AF37:AJ37" si="9">SUM(AF25:AF35)</f>
        <v>-770321.80237000005</v>
      </c>
      <c r="AG37" s="40">
        <f t="shared" si="9"/>
        <v>-410787</v>
      </c>
      <c r="AH37" s="40">
        <f t="shared" si="9"/>
        <v>-1181108.8023700002</v>
      </c>
      <c r="AI37" s="40">
        <f t="shared" si="9"/>
        <v>0</v>
      </c>
      <c r="AJ37" s="40">
        <f t="shared" si="9"/>
        <v>0</v>
      </c>
    </row>
    <row r="38" spans="2:40" ht="6.75" customHeight="1" thickBot="1">
      <c r="F38" s="5"/>
      <c r="G38" s="5"/>
      <c r="H38" s="5"/>
      <c r="I38" s="5"/>
      <c r="J38" s="5"/>
      <c r="K38" s="5"/>
      <c r="L38" s="6"/>
      <c r="M38" s="53"/>
      <c r="N38" s="6"/>
      <c r="O38" s="6"/>
      <c r="P38" s="6"/>
      <c r="Q38" s="6"/>
      <c r="R38" s="53"/>
      <c r="S38" s="53"/>
      <c r="T38" s="53"/>
      <c r="U38" s="53"/>
      <c r="V38" s="53"/>
      <c r="W38" s="53"/>
      <c r="X38" s="53"/>
      <c r="Y38" s="53"/>
      <c r="Z38" s="53"/>
      <c r="AA38" s="53"/>
      <c r="AB38" s="53"/>
      <c r="AC38" s="53"/>
      <c r="AD38" s="53"/>
      <c r="AE38" s="53"/>
      <c r="AF38" s="53"/>
      <c r="AG38" s="53"/>
      <c r="AH38" s="53"/>
      <c r="AI38" s="53"/>
      <c r="AJ38" s="53"/>
    </row>
    <row r="39" spans="2:40" s="1" customFormat="1" ht="13.5" thickBot="1">
      <c r="B39" s="28" t="s">
        <v>90</v>
      </c>
      <c r="C39" s="27"/>
      <c r="D39" s="28" t="s">
        <v>90</v>
      </c>
      <c r="E39" s="27"/>
      <c r="F39" s="41">
        <v>151892</v>
      </c>
      <c r="G39" s="41">
        <v>155825</v>
      </c>
      <c r="H39" s="41">
        <v>105329</v>
      </c>
      <c r="I39" s="41">
        <v>118967</v>
      </c>
      <c r="J39" s="41">
        <v>118915</v>
      </c>
      <c r="K39" s="41">
        <v>131194</v>
      </c>
      <c r="L39" s="41">
        <v>474405</v>
      </c>
      <c r="M39" s="41">
        <v>131632</v>
      </c>
      <c r="N39" s="41">
        <v>131354</v>
      </c>
      <c r="O39" s="41">
        <v>134599</v>
      </c>
      <c r="P39" s="41">
        <v>137222</v>
      </c>
      <c r="Q39" s="41">
        <v>534806</v>
      </c>
      <c r="R39" s="41">
        <v>414739</v>
      </c>
      <c r="S39" s="41">
        <v>379871</v>
      </c>
      <c r="T39" s="41">
        <f>T22+T37</f>
        <v>423433</v>
      </c>
      <c r="U39" s="41">
        <f t="shared" ref="U39:AE39" si="10">U37+U22</f>
        <v>391377</v>
      </c>
      <c r="V39" s="41">
        <f t="shared" si="10"/>
        <v>1609420</v>
      </c>
      <c r="W39" s="41">
        <f t="shared" si="10"/>
        <v>334836</v>
      </c>
      <c r="X39" s="41">
        <f t="shared" si="10"/>
        <v>319238</v>
      </c>
      <c r="Y39" s="41">
        <f t="shared" si="10"/>
        <v>654074</v>
      </c>
      <c r="Z39" s="41">
        <f t="shared" si="10"/>
        <v>377334</v>
      </c>
      <c r="AA39" s="41">
        <f t="shared" si="10"/>
        <v>1031408</v>
      </c>
      <c r="AB39" s="41">
        <f t="shared" si="10"/>
        <v>246736</v>
      </c>
      <c r="AC39" s="41">
        <f t="shared" si="10"/>
        <v>1278144</v>
      </c>
      <c r="AD39" s="41">
        <f t="shared" si="10"/>
        <v>353352</v>
      </c>
      <c r="AE39" s="41">
        <f t="shared" si="10"/>
        <v>447314.79822000011</v>
      </c>
      <c r="AF39" s="41">
        <f t="shared" ref="AF39:AJ39" si="11">AF37+AF22</f>
        <v>800666.79821999988</v>
      </c>
      <c r="AG39" s="41">
        <f t="shared" si="11"/>
        <v>439402.39941000007</v>
      </c>
      <c r="AH39" s="41">
        <f t="shared" si="11"/>
        <v>1240069.1976300003</v>
      </c>
      <c r="AI39" s="41">
        <f t="shared" si="11"/>
        <v>0</v>
      </c>
      <c r="AJ39" s="41">
        <f t="shared" si="11"/>
        <v>0</v>
      </c>
      <c r="AM39" s="3"/>
    </row>
    <row r="40" spans="2:40">
      <c r="F40" s="5"/>
      <c r="G40" s="5"/>
      <c r="H40" s="5"/>
      <c r="I40" s="5"/>
      <c r="J40" s="5"/>
      <c r="K40" s="5"/>
      <c r="L40" s="6"/>
      <c r="M40" s="6"/>
      <c r="N40" s="6"/>
      <c r="O40" s="6"/>
      <c r="P40" s="6"/>
      <c r="Q40" s="6"/>
      <c r="R40" s="6"/>
      <c r="S40" s="6"/>
      <c r="T40" s="6"/>
      <c r="U40" s="6"/>
      <c r="V40" s="6"/>
      <c r="W40" s="6"/>
      <c r="X40" s="6"/>
      <c r="Y40" s="6"/>
      <c r="Z40" s="6"/>
      <c r="AA40" s="6"/>
      <c r="AB40" s="6"/>
      <c r="AC40" s="6"/>
      <c r="AD40" s="6"/>
      <c r="AE40" s="6"/>
      <c r="AF40" s="6"/>
      <c r="AG40" s="6"/>
      <c r="AH40" s="6"/>
      <c r="AI40" s="6"/>
      <c r="AJ40" s="6"/>
    </row>
    <row r="41" spans="2:40">
      <c r="B41" s="3" t="s">
        <v>83</v>
      </c>
      <c r="C41" s="1"/>
      <c r="D41" s="3" t="s">
        <v>745</v>
      </c>
      <c r="E41" s="1"/>
      <c r="F41" s="13">
        <v>-62304</v>
      </c>
      <c r="G41" s="13">
        <v>-95379</v>
      </c>
      <c r="H41" s="13">
        <v>-53270</v>
      </c>
      <c r="I41" s="13">
        <v>-53107</v>
      </c>
      <c r="J41" s="13">
        <v>-51861</v>
      </c>
      <c r="K41" s="13">
        <v>-84347</v>
      </c>
      <c r="L41" s="13">
        <v>-242585</v>
      </c>
      <c r="M41" s="13">
        <v>-61052</v>
      </c>
      <c r="N41" s="13">
        <v>-68381</v>
      </c>
      <c r="O41" s="13">
        <v>-77661</v>
      </c>
      <c r="P41" s="13">
        <v>-43107</v>
      </c>
      <c r="Q41" s="13">
        <v>-250200</v>
      </c>
      <c r="R41" s="13">
        <v>-69932</v>
      </c>
      <c r="S41" s="13">
        <v>-85108</v>
      </c>
      <c r="T41" s="13">
        <v>-112580</v>
      </c>
      <c r="U41" s="13">
        <v>-83600</v>
      </c>
      <c r="V41" s="13">
        <v>-351220</v>
      </c>
      <c r="W41" s="13">
        <v>-103923</v>
      </c>
      <c r="X41" s="13">
        <v>-145186</v>
      </c>
      <c r="Y41" s="13">
        <v>-249109</v>
      </c>
      <c r="Z41" s="13">
        <v>-182422</v>
      </c>
      <c r="AA41" s="13">
        <v>-431531</v>
      </c>
      <c r="AB41" s="13">
        <f>AC41-AA41</f>
        <v>-166796</v>
      </c>
      <c r="AC41" s="13">
        <v>-598327</v>
      </c>
      <c r="AD41" s="13">
        <v>-153862</v>
      </c>
      <c r="AE41" s="13">
        <v>-178214</v>
      </c>
      <c r="AF41" s="13">
        <v>-332076</v>
      </c>
      <c r="AG41" s="13">
        <v>-202998</v>
      </c>
      <c r="AH41" s="13">
        <v>-535074</v>
      </c>
      <c r="AI41" s="13">
        <v>0</v>
      </c>
      <c r="AJ41" s="13">
        <v>0</v>
      </c>
      <c r="AM41" s="13"/>
      <c r="AN41" s="171"/>
    </row>
    <row r="42" spans="2:40" ht="4.5" customHeight="1" thickBot="1">
      <c r="B42" s="10"/>
      <c r="C42" s="1"/>
      <c r="D42" s="10"/>
      <c r="E42" s="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row>
    <row r="43" spans="2:40" s="1" customFormat="1" ht="13.5" thickBot="1">
      <c r="B43" s="28" t="s">
        <v>685</v>
      </c>
      <c r="C43" s="27"/>
      <c r="D43" s="28" t="s">
        <v>746</v>
      </c>
      <c r="E43" s="27"/>
      <c r="F43" s="41">
        <v>89588</v>
      </c>
      <c r="G43" s="41">
        <v>60446</v>
      </c>
      <c r="H43" s="41">
        <v>52059</v>
      </c>
      <c r="I43" s="41">
        <v>65860</v>
      </c>
      <c r="J43" s="41">
        <v>67054</v>
      </c>
      <c r="K43" s="41">
        <v>46847</v>
      </c>
      <c r="L43" s="41">
        <v>231820</v>
      </c>
      <c r="M43" s="41">
        <v>70580</v>
      </c>
      <c r="N43" s="41">
        <v>62973</v>
      </c>
      <c r="O43" s="41">
        <v>56938</v>
      </c>
      <c r="P43" s="41">
        <v>94115</v>
      </c>
      <c r="Q43" s="41">
        <v>284606</v>
      </c>
      <c r="R43" s="41">
        <v>344807</v>
      </c>
      <c r="S43" s="41">
        <v>294763</v>
      </c>
      <c r="T43" s="41">
        <f t="shared" ref="T43:Y43" si="12">T39+T41</f>
        <v>310853</v>
      </c>
      <c r="U43" s="41">
        <f t="shared" si="12"/>
        <v>307777</v>
      </c>
      <c r="V43" s="41">
        <f t="shared" si="12"/>
        <v>1258200</v>
      </c>
      <c r="W43" s="41">
        <f t="shared" si="12"/>
        <v>230913</v>
      </c>
      <c r="X43" s="41">
        <f t="shared" si="12"/>
        <v>174052</v>
      </c>
      <c r="Y43" s="41">
        <f t="shared" si="12"/>
        <v>404965</v>
      </c>
      <c r="Z43" s="41">
        <f>Z39+Z41</f>
        <v>194912</v>
      </c>
      <c r="AA43" s="41">
        <f>AA39+AA41</f>
        <v>599877</v>
      </c>
      <c r="AB43" s="41">
        <f>AB39+AB41</f>
        <v>79940</v>
      </c>
      <c r="AC43" s="41">
        <f>AC39+AC41</f>
        <v>679817</v>
      </c>
      <c r="AD43" s="41">
        <f>AD39+AD41</f>
        <v>199490</v>
      </c>
      <c r="AE43" s="41">
        <f t="shared" ref="AE43" si="13">AE39+AE41</f>
        <v>269100.79822000011</v>
      </c>
      <c r="AF43" s="41">
        <f t="shared" ref="AF43:AJ43" si="14">AF39+AF41</f>
        <v>468590.79821999988</v>
      </c>
      <c r="AG43" s="41">
        <f t="shared" si="14"/>
        <v>236404.39941000007</v>
      </c>
      <c r="AH43" s="41">
        <f t="shared" si="14"/>
        <v>704995.1976300003</v>
      </c>
      <c r="AI43" s="41">
        <f t="shared" si="14"/>
        <v>0</v>
      </c>
      <c r="AJ43" s="41">
        <f t="shared" si="14"/>
        <v>0</v>
      </c>
      <c r="AM43" s="51"/>
    </row>
    <row r="44" spans="2:40" ht="15">
      <c r="B44" s="10"/>
      <c r="C44" s="1"/>
      <c r="D44" s="10"/>
      <c r="E44" s="1"/>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M44" s="52"/>
      <c r="AN44"/>
    </row>
    <row r="45" spans="2:40">
      <c r="B45" s="7" t="s">
        <v>44</v>
      </c>
      <c r="C45" s="1"/>
      <c r="D45" s="7" t="s">
        <v>815</v>
      </c>
      <c r="E45" s="1"/>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row>
    <row r="46" spans="2:40">
      <c r="B46" s="10" t="s">
        <v>45</v>
      </c>
      <c r="C46" s="1"/>
      <c r="D46" s="10" t="s">
        <v>721</v>
      </c>
      <c r="E46" s="1"/>
      <c r="F46" s="13">
        <v>2920</v>
      </c>
      <c r="G46" s="13">
        <v>1785</v>
      </c>
      <c r="H46" s="13">
        <v>402</v>
      </c>
      <c r="I46" s="13">
        <v>4035</v>
      </c>
      <c r="J46" s="13">
        <v>5330</v>
      </c>
      <c r="K46" s="13">
        <v>-8978</v>
      </c>
      <c r="L46" s="13">
        <v>789</v>
      </c>
      <c r="M46" s="13">
        <v>15543</v>
      </c>
      <c r="N46" s="13">
        <v>5335</v>
      </c>
      <c r="O46" s="13">
        <v>5228</v>
      </c>
      <c r="P46" s="13">
        <v>5246</v>
      </c>
      <c r="Q46" s="13">
        <v>31352</v>
      </c>
      <c r="R46" s="13">
        <v>4287</v>
      </c>
      <c r="S46" s="13">
        <v>6335</v>
      </c>
      <c r="T46" s="13">
        <v>7489</v>
      </c>
      <c r="U46" s="13">
        <v>10924</v>
      </c>
      <c r="V46" s="13">
        <v>29035</v>
      </c>
      <c r="W46" s="13">
        <v>10888</v>
      </c>
      <c r="X46" s="13">
        <v>14872</v>
      </c>
      <c r="Y46" s="13">
        <v>25760</v>
      </c>
      <c r="Z46" s="13">
        <v>20463</v>
      </c>
      <c r="AA46" s="50">
        <v>46223</v>
      </c>
      <c r="AB46" s="13">
        <f>AC46-AA46</f>
        <v>19726</v>
      </c>
      <c r="AC46" s="50">
        <v>65949</v>
      </c>
      <c r="AD46" s="13">
        <v>10619</v>
      </c>
      <c r="AE46" s="13">
        <v>15674</v>
      </c>
      <c r="AF46" s="13">
        <v>26249</v>
      </c>
      <c r="AG46" s="13">
        <v>12304</v>
      </c>
      <c r="AH46" s="13">
        <v>38553</v>
      </c>
      <c r="AI46" s="13">
        <v>0</v>
      </c>
      <c r="AJ46" s="13">
        <v>0</v>
      </c>
    </row>
    <row r="47" spans="2:40">
      <c r="B47" s="10" t="s">
        <v>46</v>
      </c>
      <c r="C47" s="1"/>
      <c r="D47" s="10" t="s">
        <v>722</v>
      </c>
      <c r="E47" s="1"/>
      <c r="F47" s="13">
        <v>-3569</v>
      </c>
      <c r="G47" s="13">
        <v>-9685</v>
      </c>
      <c r="H47" s="13">
        <v>-28179</v>
      </c>
      <c r="I47" s="13">
        <v>-33412</v>
      </c>
      <c r="J47" s="13">
        <v>-33518</v>
      </c>
      <c r="K47" s="13">
        <v>-22053</v>
      </c>
      <c r="L47" s="13">
        <v>-117162</v>
      </c>
      <c r="M47" s="13">
        <v>-23061</v>
      </c>
      <c r="N47" s="13">
        <v>-30962</v>
      </c>
      <c r="O47" s="13">
        <v>-22148</v>
      </c>
      <c r="P47" s="13">
        <v>-17776</v>
      </c>
      <c r="Q47" s="13">
        <v>-93947</v>
      </c>
      <c r="R47" s="13">
        <v>-23182</v>
      </c>
      <c r="S47" s="13">
        <v>-26210</v>
      </c>
      <c r="T47" s="13">
        <v>-44024</v>
      </c>
      <c r="U47" s="13">
        <v>-19218</v>
      </c>
      <c r="V47" s="13">
        <v>-109445</v>
      </c>
      <c r="W47" s="13">
        <v>-24454</v>
      </c>
      <c r="X47" s="13">
        <v>-21116</v>
      </c>
      <c r="Y47" s="13">
        <v>-45570</v>
      </c>
      <c r="Z47" s="13">
        <v>-33073</v>
      </c>
      <c r="AA47" s="50">
        <v>-78644</v>
      </c>
      <c r="AB47" s="13">
        <f>AC47-AA47</f>
        <v>-30229</v>
      </c>
      <c r="AC47" s="50">
        <v>-108873</v>
      </c>
      <c r="AD47" s="13">
        <v>-49186</v>
      </c>
      <c r="AE47" s="13">
        <v>-43505</v>
      </c>
      <c r="AF47" s="13">
        <v>-81244</v>
      </c>
      <c r="AG47" s="13">
        <v>-70989</v>
      </c>
      <c r="AH47" s="13">
        <v>-152233</v>
      </c>
      <c r="AI47" s="13">
        <v>0</v>
      </c>
      <c r="AJ47" s="13">
        <v>0</v>
      </c>
    </row>
    <row r="48" spans="2:40" ht="15" customHeight="1">
      <c r="B48" s="10" t="s">
        <v>47</v>
      </c>
      <c r="C48" s="1"/>
      <c r="D48" s="10" t="s">
        <v>723</v>
      </c>
      <c r="E48" s="1"/>
      <c r="F48" s="13">
        <v>-245</v>
      </c>
      <c r="G48" s="13">
        <v>19292</v>
      </c>
      <c r="H48" s="13">
        <v>-229114</v>
      </c>
      <c r="I48" s="13">
        <v>-56077</v>
      </c>
      <c r="J48" s="13">
        <v>-25600</v>
      </c>
      <c r="K48" s="13">
        <v>77707</v>
      </c>
      <c r="L48" s="13">
        <v>-233084</v>
      </c>
      <c r="M48" s="13">
        <v>-87267</v>
      </c>
      <c r="N48" s="13">
        <v>89297</v>
      </c>
      <c r="O48" s="13">
        <v>-4220</v>
      </c>
      <c r="P48" s="13">
        <v>13796</v>
      </c>
      <c r="Q48" s="13">
        <v>11606</v>
      </c>
      <c r="R48" s="13">
        <v>204750</v>
      </c>
      <c r="S48" s="13">
        <v>-106978</v>
      </c>
      <c r="T48" s="13">
        <v>-8953</v>
      </c>
      <c r="U48" s="13">
        <v>61180</v>
      </c>
      <c r="V48" s="13">
        <v>146810</v>
      </c>
      <c r="W48" s="13">
        <v>19867</v>
      </c>
      <c r="X48" s="13">
        <v>61636</v>
      </c>
      <c r="Y48" s="13">
        <v>81503</v>
      </c>
      <c r="Z48" s="13">
        <v>-35785</v>
      </c>
      <c r="AA48" s="13">
        <v>45719</v>
      </c>
      <c r="AB48" s="13">
        <f>AC48-AA48</f>
        <v>46217</v>
      </c>
      <c r="AC48" s="13">
        <v>91936</v>
      </c>
      <c r="AD48" s="13">
        <v>-32411</v>
      </c>
      <c r="AE48" s="13">
        <v>-55233</v>
      </c>
      <c r="AF48" s="13">
        <v>-87644</v>
      </c>
      <c r="AG48" s="13">
        <v>10427</v>
      </c>
      <c r="AH48" s="13">
        <v>-77217</v>
      </c>
      <c r="AI48" s="13">
        <v>0</v>
      </c>
      <c r="AJ48" s="13">
        <v>0</v>
      </c>
    </row>
    <row r="49" spans="2:40" ht="15" customHeight="1">
      <c r="B49" s="10"/>
      <c r="C49" s="1"/>
      <c r="D49" s="10"/>
      <c r="E49" s="1"/>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row>
    <row r="50" spans="2:40" ht="15" customHeight="1">
      <c r="B50" s="10" t="s">
        <v>1283</v>
      </c>
      <c r="C50" s="1"/>
      <c r="D50" s="10"/>
      <c r="E50" s="1"/>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v>-135529</v>
      </c>
      <c r="AF50" s="13">
        <v>-135529</v>
      </c>
      <c r="AG50" s="13">
        <v>-7354</v>
      </c>
      <c r="AH50" s="13">
        <v>-142883</v>
      </c>
      <c r="AI50" s="13"/>
      <c r="AJ50" s="13"/>
    </row>
    <row r="51" spans="2:40" ht="15" customHeight="1">
      <c r="B51" s="10" t="s">
        <v>1284</v>
      </c>
      <c r="C51" s="1"/>
      <c r="D51" s="10"/>
      <c r="E51" s="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3">
        <v>2341</v>
      </c>
      <c r="AF51" s="13">
        <v>-9062</v>
      </c>
      <c r="AG51" s="13">
        <v>15288</v>
      </c>
      <c r="AH51" s="13">
        <v>6226</v>
      </c>
      <c r="AI51" s="11"/>
      <c r="AJ51" s="11"/>
    </row>
    <row r="52" spans="2:40" ht="16.5" customHeight="1">
      <c r="B52" s="10"/>
      <c r="C52" s="1"/>
      <c r="D52" s="10"/>
      <c r="E52" s="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3"/>
      <c r="AG52" s="11"/>
      <c r="AH52" s="11"/>
      <c r="AI52" s="11"/>
      <c r="AJ52" s="11"/>
    </row>
    <row r="53" spans="2:40" ht="16.5" customHeight="1" thickBot="1">
      <c r="B53" s="341" t="s">
        <v>1285</v>
      </c>
      <c r="C53" s="341"/>
      <c r="D53" s="341"/>
      <c r="E53" s="341"/>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41"/>
      <c r="AD53" s="341"/>
      <c r="AE53" s="342">
        <v>-133188</v>
      </c>
      <c r="AF53" s="342">
        <v>-144591</v>
      </c>
      <c r="AG53" s="342">
        <v>7934</v>
      </c>
      <c r="AH53" s="342">
        <v>-136657</v>
      </c>
      <c r="AI53" s="341"/>
      <c r="AJ53" s="11"/>
    </row>
    <row r="54" spans="2:40" ht="13.5" thickBot="1">
      <c r="B54" s="28" t="s">
        <v>50</v>
      </c>
      <c r="C54" s="27"/>
      <c r="D54" s="28" t="s">
        <v>816</v>
      </c>
      <c r="E54" s="27"/>
      <c r="F54" s="40">
        <v>-894</v>
      </c>
      <c r="G54" s="40">
        <v>11392</v>
      </c>
      <c r="H54" s="40">
        <v>-256891</v>
      </c>
      <c r="I54" s="40">
        <v>-85454</v>
      </c>
      <c r="J54" s="40">
        <v>-53788</v>
      </c>
      <c r="K54" s="40">
        <v>46676</v>
      </c>
      <c r="L54" s="40">
        <v>-349457</v>
      </c>
      <c r="M54" s="40">
        <v>-94785</v>
      </c>
      <c r="N54" s="40">
        <v>63670</v>
      </c>
      <c r="O54" s="40">
        <v>-21140</v>
      </c>
      <c r="P54" s="40">
        <v>1266</v>
      </c>
      <c r="Q54" s="40">
        <v>-50989</v>
      </c>
      <c r="R54" s="40">
        <v>185855</v>
      </c>
      <c r="S54" s="40">
        <v>-126853</v>
      </c>
      <c r="T54" s="40">
        <f t="shared" ref="T54:Y54" si="15">SUM(T46:T48)</f>
        <v>-45488</v>
      </c>
      <c r="U54" s="40">
        <f t="shared" si="15"/>
        <v>52886</v>
      </c>
      <c r="V54" s="40">
        <f t="shared" si="15"/>
        <v>66400</v>
      </c>
      <c r="W54" s="40">
        <f t="shared" si="15"/>
        <v>6301</v>
      </c>
      <c r="X54" s="40">
        <f t="shared" si="15"/>
        <v>55392</v>
      </c>
      <c r="Y54" s="40">
        <f t="shared" si="15"/>
        <v>61693</v>
      </c>
      <c r="Z54" s="40">
        <f>SUM(Z46:Z48)</f>
        <v>-48395</v>
      </c>
      <c r="AA54" s="40">
        <f>SUM(AA46:AA48)</f>
        <v>13298</v>
      </c>
      <c r="AB54" s="40">
        <f>SUM(AB46:AB48)</f>
        <v>35714</v>
      </c>
      <c r="AC54" s="40">
        <f>SUM(AC46:AC48)</f>
        <v>49012</v>
      </c>
      <c r="AD54" s="40">
        <f>SUM(AD46:AD48)</f>
        <v>-70978</v>
      </c>
      <c r="AE54" s="40">
        <f>SUM(AE46:AE48,AE53)</f>
        <v>-216252</v>
      </c>
      <c r="AF54" s="40">
        <f>SUM(AF46:AF48,AF53)</f>
        <v>-287230</v>
      </c>
      <c r="AG54" s="40">
        <f>SUM(AG46:AG48,AG53)</f>
        <v>-40324</v>
      </c>
      <c r="AH54" s="40">
        <f>SUM(AH46:AH48,AH53)</f>
        <v>-327554</v>
      </c>
      <c r="AI54" s="40">
        <f t="shared" ref="AI54:AJ54" si="16">SUM(AI46:AI48)</f>
        <v>0</v>
      </c>
      <c r="AJ54" s="40">
        <f t="shared" si="16"/>
        <v>0</v>
      </c>
      <c r="AM54" s="52"/>
      <c r="AN54" s="171"/>
    </row>
    <row r="55" spans="2:40" ht="13.5" thickBot="1"/>
    <row r="56" spans="2:40" ht="13.5" thickBot="1">
      <c r="B56" s="28" t="s">
        <v>192</v>
      </c>
      <c r="C56" s="27"/>
      <c r="D56" s="28" t="s">
        <v>724</v>
      </c>
      <c r="E56" s="27"/>
      <c r="F56" s="41">
        <v>88694</v>
      </c>
      <c r="G56" s="41">
        <v>71838</v>
      </c>
      <c r="H56" s="41">
        <v>-204832</v>
      </c>
      <c r="I56" s="41">
        <v>-19594</v>
      </c>
      <c r="J56" s="41">
        <v>13266</v>
      </c>
      <c r="K56" s="41">
        <v>93523</v>
      </c>
      <c r="L56" s="41">
        <v>-117637</v>
      </c>
      <c r="M56" s="41">
        <v>-24205</v>
      </c>
      <c r="N56" s="41">
        <v>126643</v>
      </c>
      <c r="O56" s="41">
        <v>35798</v>
      </c>
      <c r="P56" s="41">
        <v>95381</v>
      </c>
      <c r="Q56" s="41">
        <v>233617</v>
      </c>
      <c r="R56" s="41">
        <v>530662</v>
      </c>
      <c r="S56" s="41">
        <v>167910</v>
      </c>
      <c r="T56" s="41">
        <f t="shared" ref="T56:Y56" si="17">T43+T54</f>
        <v>265365</v>
      </c>
      <c r="U56" s="41">
        <f t="shared" si="17"/>
        <v>360663</v>
      </c>
      <c r="V56" s="41">
        <f t="shared" si="17"/>
        <v>1324600</v>
      </c>
      <c r="W56" s="41">
        <f t="shared" si="17"/>
        <v>237214</v>
      </c>
      <c r="X56" s="41">
        <f t="shared" si="17"/>
        <v>229444</v>
      </c>
      <c r="Y56" s="41">
        <f t="shared" si="17"/>
        <v>466658</v>
      </c>
      <c r="Z56" s="41">
        <f>Z43+Z54</f>
        <v>146517</v>
      </c>
      <c r="AA56" s="41">
        <f>AA43+AA54</f>
        <v>613175</v>
      </c>
      <c r="AB56" s="41">
        <f>AB43+AB54</f>
        <v>115654</v>
      </c>
      <c r="AC56" s="41">
        <f>AC43+AC54</f>
        <v>728829</v>
      </c>
      <c r="AD56" s="41">
        <f>AD43+AD54</f>
        <v>128512</v>
      </c>
      <c r="AE56" s="41">
        <f t="shared" ref="AE56" si="18">AE43+AE54</f>
        <v>52848.798220000113</v>
      </c>
      <c r="AF56" s="41">
        <f t="shared" ref="AF56:AJ56" si="19">AF43+AF54</f>
        <v>181360.79821999988</v>
      </c>
      <c r="AG56" s="41">
        <f t="shared" si="19"/>
        <v>196080.39941000007</v>
      </c>
      <c r="AH56" s="41">
        <f t="shared" si="19"/>
        <v>377441.1976300003</v>
      </c>
      <c r="AI56" s="41">
        <f t="shared" si="19"/>
        <v>0</v>
      </c>
      <c r="AJ56" s="41">
        <f t="shared" si="19"/>
        <v>0</v>
      </c>
    </row>
    <row r="57" spans="2:40" s="38" customFormat="1">
      <c r="B57" s="34"/>
      <c r="C57" s="36"/>
      <c r="D57" s="34"/>
      <c r="E57" s="36"/>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row>
    <row r="58" spans="2:40">
      <c r="B58" s="7" t="s">
        <v>54</v>
      </c>
      <c r="C58" s="1"/>
      <c r="D58" s="7" t="s">
        <v>725</v>
      </c>
      <c r="E58" s="1"/>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row>
    <row r="59" spans="2:40">
      <c r="B59" s="10" t="s">
        <v>51</v>
      </c>
      <c r="C59" s="1"/>
      <c r="D59" s="10" t="s">
        <v>726</v>
      </c>
      <c r="E59" s="1"/>
      <c r="F59" s="13">
        <v>-35290</v>
      </c>
      <c r="G59" s="13">
        <v>-22793</v>
      </c>
      <c r="H59" s="13">
        <v>-7384</v>
      </c>
      <c r="I59" s="13">
        <v>-5286</v>
      </c>
      <c r="J59" s="13">
        <v>-2783</v>
      </c>
      <c r="K59" s="13">
        <v>172</v>
      </c>
      <c r="L59" s="13">
        <v>-15281</v>
      </c>
      <c r="M59" s="13">
        <v>-4459</v>
      </c>
      <c r="N59" s="13">
        <v>-32958</v>
      </c>
      <c r="O59" s="13">
        <v>-14826</v>
      </c>
      <c r="P59" s="13">
        <v>-21930</v>
      </c>
      <c r="Q59" s="13">
        <v>-74173</v>
      </c>
      <c r="R59" s="13">
        <v>-88112</v>
      </c>
      <c r="S59" s="13">
        <v>-71837</v>
      </c>
      <c r="T59" s="13">
        <v>-122224</v>
      </c>
      <c r="U59" s="13">
        <v>-46968</v>
      </c>
      <c r="V59" s="13">
        <v>-329141</v>
      </c>
      <c r="W59" s="13">
        <v>-90439</v>
      </c>
      <c r="X59" s="13">
        <v>-8518</v>
      </c>
      <c r="Y59" s="13">
        <v>-98957</v>
      </c>
      <c r="Z59" s="13">
        <v>-11876</v>
      </c>
      <c r="AA59" s="13">
        <v>-110833</v>
      </c>
      <c r="AB59" s="13">
        <v>34671</v>
      </c>
      <c r="AC59" s="13">
        <v>-76162</v>
      </c>
      <c r="AD59" s="13">
        <v>-8061</v>
      </c>
      <c r="AE59" s="13">
        <v>4621</v>
      </c>
      <c r="AF59" s="13">
        <f>AE59+AD59</f>
        <v>-3440</v>
      </c>
      <c r="AG59" s="13">
        <v>-4316</v>
      </c>
      <c r="AH59" s="13">
        <v>-7756</v>
      </c>
      <c r="AI59" s="13">
        <v>0</v>
      </c>
      <c r="AJ59" s="13">
        <v>0</v>
      </c>
    </row>
    <row r="60" spans="2:40">
      <c r="B60" s="10" t="s">
        <v>52</v>
      </c>
      <c r="C60" s="1"/>
      <c r="D60" s="10" t="s">
        <v>727</v>
      </c>
      <c r="E60" s="1"/>
      <c r="F60" s="13">
        <v>1904</v>
      </c>
      <c r="G60" s="13">
        <v>6363</v>
      </c>
      <c r="H60" s="13">
        <v>76145</v>
      </c>
      <c r="I60" s="13">
        <v>9754</v>
      </c>
      <c r="J60" s="13">
        <v>-4141</v>
      </c>
      <c r="K60" s="13">
        <v>-30599</v>
      </c>
      <c r="L60" s="13">
        <v>51159</v>
      </c>
      <c r="M60" s="13">
        <v>13478</v>
      </c>
      <c r="N60" s="13">
        <v>-14091</v>
      </c>
      <c r="O60" s="13">
        <v>797</v>
      </c>
      <c r="P60" s="13">
        <v>-10249</v>
      </c>
      <c r="Q60" s="13">
        <v>-10065</v>
      </c>
      <c r="R60" s="13">
        <v>-77737</v>
      </c>
      <c r="S60" s="13">
        <v>7543</v>
      </c>
      <c r="T60" s="13">
        <v>27658</v>
      </c>
      <c r="U60" s="13">
        <v>573</v>
      </c>
      <c r="V60" s="13">
        <v>-41963</v>
      </c>
      <c r="W60" s="13">
        <v>7767</v>
      </c>
      <c r="X60" s="13">
        <v>-58622</v>
      </c>
      <c r="Y60" s="13">
        <v>-50855</v>
      </c>
      <c r="Z60" s="13">
        <v>-33042</v>
      </c>
      <c r="AA60" s="13">
        <v>-83897</v>
      </c>
      <c r="AB60" s="13">
        <v>96672</v>
      </c>
      <c r="AC60" s="13">
        <v>12775</v>
      </c>
      <c r="AD60" s="13">
        <v>-10418</v>
      </c>
      <c r="AE60" s="13">
        <v>78711</v>
      </c>
      <c r="AF60" s="13">
        <f>AE60+AD60</f>
        <v>68293</v>
      </c>
      <c r="AG60" s="13">
        <v>-32924</v>
      </c>
      <c r="AH60" s="13">
        <v>35369</v>
      </c>
      <c r="AI60" s="13">
        <v>0</v>
      </c>
      <c r="AJ60" s="13">
        <v>0</v>
      </c>
    </row>
    <row r="61" spans="2:40">
      <c r="B61" s="10"/>
      <c r="C61" s="1"/>
      <c r="D61" s="10"/>
      <c r="E61" s="1"/>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row>
    <row r="62" spans="2:40" ht="4.5" customHeight="1" thickBot="1">
      <c r="B62" s="10"/>
      <c r="C62" s="1"/>
      <c r="D62" s="10"/>
      <c r="E62" s="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row>
    <row r="63" spans="2:40" ht="13.5" thickBot="1">
      <c r="B63" s="28" t="s">
        <v>191</v>
      </c>
      <c r="C63" s="27"/>
      <c r="D63" s="28" t="s">
        <v>728</v>
      </c>
      <c r="E63" s="27"/>
      <c r="F63" s="40">
        <v>-15745</v>
      </c>
      <c r="G63" s="40">
        <v>-8156</v>
      </c>
      <c r="H63" s="40">
        <v>68791</v>
      </c>
      <c r="I63" s="40">
        <v>4438</v>
      </c>
      <c r="J63" s="40">
        <v>-6924</v>
      </c>
      <c r="K63" s="40">
        <v>-30427</v>
      </c>
      <c r="L63" s="40">
        <v>35878</v>
      </c>
      <c r="M63" s="40">
        <v>11315</v>
      </c>
      <c r="N63" s="40">
        <v>-32077</v>
      </c>
      <c r="O63" s="40">
        <v>-12872</v>
      </c>
      <c r="P63" s="40">
        <v>-23084</v>
      </c>
      <c r="Q63" s="40">
        <v>-56718</v>
      </c>
      <c r="R63" s="40">
        <v>-128824</v>
      </c>
      <c r="S63" s="40">
        <v>-36879</v>
      </c>
      <c r="T63" s="40">
        <f t="shared" ref="T63:Y63" si="20">SUM(T59:T61)</f>
        <v>-94566</v>
      </c>
      <c r="U63" s="40">
        <f t="shared" si="20"/>
        <v>-46395</v>
      </c>
      <c r="V63" s="40">
        <f t="shared" si="20"/>
        <v>-371104</v>
      </c>
      <c r="W63" s="40">
        <f t="shared" si="20"/>
        <v>-82672</v>
      </c>
      <c r="X63" s="40">
        <f t="shared" si="20"/>
        <v>-67140</v>
      </c>
      <c r="Y63" s="40">
        <f t="shared" si="20"/>
        <v>-149812</v>
      </c>
      <c r="Z63" s="40">
        <f>SUM(Z59:Z61)</f>
        <v>-44918</v>
      </c>
      <c r="AA63" s="40">
        <f>SUM(AA59:AA61)</f>
        <v>-194730</v>
      </c>
      <c r="AB63" s="40">
        <f>SUM(AB59:AB61)</f>
        <v>131343</v>
      </c>
      <c r="AC63" s="40">
        <f>SUM(AC59:AC61)</f>
        <v>-63387</v>
      </c>
      <c r="AD63" s="40">
        <f>SUM(AD59:AD61)</f>
        <v>-18479</v>
      </c>
      <c r="AE63" s="40">
        <f t="shared" ref="AE63" si="21">SUM(AE59:AE61)</f>
        <v>83332</v>
      </c>
      <c r="AF63" s="40">
        <f t="shared" ref="AF63:AJ63" si="22">SUM(AF59:AF61)</f>
        <v>64853</v>
      </c>
      <c r="AG63" s="40">
        <f t="shared" si="22"/>
        <v>-37240</v>
      </c>
      <c r="AH63" s="40">
        <f t="shared" si="22"/>
        <v>27613</v>
      </c>
      <c r="AI63" s="40">
        <f t="shared" si="22"/>
        <v>0</v>
      </c>
      <c r="AJ63" s="40">
        <f t="shared" si="22"/>
        <v>0</v>
      </c>
    </row>
    <row r="64" spans="2:40" ht="13.5" thickBot="1">
      <c r="B64" s="10"/>
      <c r="C64" s="1"/>
      <c r="D64" s="10"/>
      <c r="E64" s="1"/>
    </row>
    <row r="65" spans="2:36" ht="13.5" thickBot="1">
      <c r="B65" s="28" t="s">
        <v>686</v>
      </c>
      <c r="C65" s="33"/>
      <c r="D65" s="28" t="s">
        <v>729</v>
      </c>
      <c r="E65" s="33"/>
      <c r="F65" s="41">
        <v>72949</v>
      </c>
      <c r="G65" s="41">
        <v>63682</v>
      </c>
      <c r="H65" s="41">
        <v>-136041</v>
      </c>
      <c r="I65" s="41">
        <v>-15156</v>
      </c>
      <c r="J65" s="41">
        <v>6342</v>
      </c>
      <c r="K65" s="41">
        <v>63096</v>
      </c>
      <c r="L65" s="41">
        <v>-81759</v>
      </c>
      <c r="M65" s="41">
        <v>-12890</v>
      </c>
      <c r="N65" s="41">
        <v>94566</v>
      </c>
      <c r="O65" s="41">
        <v>22926</v>
      </c>
      <c r="P65" s="41">
        <v>72297</v>
      </c>
      <c r="Q65" s="41">
        <v>176899</v>
      </c>
      <c r="R65" s="41">
        <v>401838</v>
      </c>
      <c r="S65" s="41">
        <v>131031</v>
      </c>
      <c r="T65" s="41">
        <f t="shared" ref="T65:Y65" si="23">T56+T63</f>
        <v>170799</v>
      </c>
      <c r="U65" s="41">
        <f t="shared" si="23"/>
        <v>314268</v>
      </c>
      <c r="V65" s="41">
        <f t="shared" si="23"/>
        <v>953496</v>
      </c>
      <c r="W65" s="41">
        <f t="shared" si="23"/>
        <v>154542</v>
      </c>
      <c r="X65" s="41">
        <f t="shared" si="23"/>
        <v>162304</v>
      </c>
      <c r="Y65" s="41">
        <f t="shared" si="23"/>
        <v>316846</v>
      </c>
      <c r="Z65" s="41">
        <f>Z56+Z63</f>
        <v>101599</v>
      </c>
      <c r="AA65" s="41">
        <f>AA56+AA63</f>
        <v>418445</v>
      </c>
      <c r="AB65" s="41">
        <f>AB56+AB63</f>
        <v>246997</v>
      </c>
      <c r="AC65" s="41">
        <f>AC56+AC63</f>
        <v>665442</v>
      </c>
      <c r="AD65" s="41">
        <f>AD56+AD63</f>
        <v>110033</v>
      </c>
      <c r="AE65" s="41">
        <f t="shared" ref="AE65" si="24">AE56+AE63</f>
        <v>136180.79822000011</v>
      </c>
      <c r="AF65" s="41">
        <f t="shared" ref="AF65:AJ65" si="25">AF56+AF63</f>
        <v>246213.79821999988</v>
      </c>
      <c r="AG65" s="41">
        <f t="shared" si="25"/>
        <v>158840.39941000007</v>
      </c>
      <c r="AH65" s="41">
        <f t="shared" si="25"/>
        <v>405054.1976300003</v>
      </c>
      <c r="AI65" s="41">
        <f t="shared" si="25"/>
        <v>0</v>
      </c>
      <c r="AJ65" s="41">
        <f t="shared" si="25"/>
        <v>0</v>
      </c>
    </row>
    <row r="66" spans="2:36" hidden="1">
      <c r="B66" s="10"/>
      <c r="C66" s="1"/>
      <c r="E66" s="1"/>
      <c r="F66" s="13">
        <v>0</v>
      </c>
      <c r="G66" s="13">
        <v>0</v>
      </c>
      <c r="H66" s="13">
        <v>0</v>
      </c>
      <c r="I66" s="13">
        <v>0</v>
      </c>
      <c r="J66" s="13">
        <v>0</v>
      </c>
      <c r="K66" s="13">
        <v>0</v>
      </c>
      <c r="L66" s="13">
        <v>0</v>
      </c>
      <c r="M66" s="13">
        <v>0</v>
      </c>
      <c r="N66" s="13">
        <v>0</v>
      </c>
      <c r="O66" s="13">
        <v>0</v>
      </c>
      <c r="P66" s="13">
        <v>0</v>
      </c>
      <c r="Q66" s="13">
        <v>0</v>
      </c>
      <c r="R66" s="13">
        <v>0</v>
      </c>
      <c r="S66" s="13">
        <v>0</v>
      </c>
      <c r="T66" s="13">
        <v>0</v>
      </c>
      <c r="U66" s="13">
        <v>0</v>
      </c>
      <c r="V66" s="13">
        <v>0</v>
      </c>
      <c r="W66" s="13">
        <v>0</v>
      </c>
      <c r="X66" s="303">
        <v>0</v>
      </c>
      <c r="Y66" s="303">
        <v>0</v>
      </c>
      <c r="Z66" s="303">
        <v>0</v>
      </c>
      <c r="AA66" s="303">
        <v>0</v>
      </c>
      <c r="AB66" s="303">
        <v>0</v>
      </c>
      <c r="AC66" s="303">
        <v>0</v>
      </c>
      <c r="AD66" s="303">
        <v>0</v>
      </c>
      <c r="AE66" s="303"/>
      <c r="AF66" s="303"/>
      <c r="AG66" s="303"/>
      <c r="AH66" s="303"/>
      <c r="AI66" s="303"/>
      <c r="AJ66" s="303"/>
    </row>
    <row r="67" spans="2:36">
      <c r="B67" s="1"/>
      <c r="F67" s="13"/>
      <c r="G67" s="13"/>
      <c r="H67" s="13"/>
      <c r="I67" s="13"/>
      <c r="J67" s="13"/>
      <c r="K67" s="13"/>
      <c r="L67" s="13"/>
      <c r="M67" s="13"/>
      <c r="N67" s="13"/>
      <c r="O67" s="13"/>
      <c r="P67" s="13"/>
      <c r="Q67" s="16"/>
      <c r="R67" s="13"/>
      <c r="S67" s="13"/>
      <c r="T67" s="13"/>
      <c r="U67" s="13"/>
      <c r="V67" s="13"/>
      <c r="W67" s="13"/>
      <c r="X67" s="13"/>
      <c r="Y67" s="13"/>
      <c r="Z67" s="13"/>
      <c r="AA67" s="13"/>
      <c r="AB67" s="13"/>
      <c r="AC67" s="13"/>
      <c r="AD67" s="13"/>
      <c r="AE67" s="13"/>
      <c r="AF67" s="13"/>
      <c r="AG67" s="13"/>
      <c r="AH67" s="13"/>
      <c r="AI67" s="13"/>
      <c r="AJ67" s="13"/>
    </row>
    <row r="68" spans="2:36">
      <c r="B68" s="1"/>
      <c r="F68" s="16"/>
      <c r="G68" s="16"/>
      <c r="H68" s="16"/>
      <c r="I68" s="16"/>
      <c r="J68" s="16"/>
      <c r="K68" s="16"/>
      <c r="L68" s="16"/>
      <c r="M68" s="16"/>
      <c r="N68" s="16"/>
      <c r="O68" s="16"/>
      <c r="P68" s="16"/>
      <c r="Q68" s="16"/>
      <c r="R68" s="13"/>
      <c r="S68" s="13"/>
      <c r="T68" s="13"/>
      <c r="U68" s="13"/>
      <c r="V68" s="13"/>
      <c r="W68" s="13"/>
      <c r="X68" s="13"/>
      <c r="Y68" s="13"/>
      <c r="Z68" s="13"/>
      <c r="AA68" s="13"/>
      <c r="AB68" s="13"/>
      <c r="AC68" s="13"/>
      <c r="AD68" s="13"/>
      <c r="AE68" s="13"/>
      <c r="AF68" s="13"/>
      <c r="AG68" s="13"/>
      <c r="AH68" s="13"/>
      <c r="AI68" s="13"/>
      <c r="AJ68" s="13"/>
    </row>
    <row r="69" spans="2:36">
      <c r="B69" s="1"/>
      <c r="L69" s="269"/>
      <c r="M69" s="269"/>
      <c r="N69" s="269"/>
      <c r="O69" s="269"/>
      <c r="P69" s="269"/>
      <c r="Q69" s="269"/>
      <c r="R69" s="269"/>
      <c r="S69" s="269"/>
      <c r="T69" s="269"/>
      <c r="U69" s="269"/>
      <c r="V69" s="269"/>
      <c r="W69" s="269"/>
      <c r="X69" s="269"/>
      <c r="Y69" s="269"/>
      <c r="Z69" s="269"/>
      <c r="AA69" s="269"/>
      <c r="AB69" s="269"/>
      <c r="AC69" s="269"/>
      <c r="AD69" s="269"/>
      <c r="AE69" s="269"/>
      <c r="AF69" s="269"/>
      <c r="AG69" s="269"/>
      <c r="AH69" s="269"/>
      <c r="AI69" s="269"/>
      <c r="AJ69" s="269"/>
    </row>
    <row r="70" spans="2:36">
      <c r="B70" s="1"/>
      <c r="L70" s="269"/>
      <c r="M70" s="269"/>
      <c r="N70" s="269"/>
      <c r="O70" s="269"/>
      <c r="P70" s="269"/>
      <c r="Q70" s="269"/>
      <c r="R70" s="269"/>
      <c r="S70" s="269"/>
      <c r="T70" s="269"/>
      <c r="U70" s="269"/>
      <c r="V70" s="269"/>
      <c r="W70" s="269"/>
      <c r="X70" s="269"/>
      <c r="Y70" s="10"/>
      <c r="AA70" s="269"/>
      <c r="AB70" s="269"/>
      <c r="AC70" s="269"/>
      <c r="AD70" s="269"/>
      <c r="AE70" s="269"/>
      <c r="AF70" s="269"/>
      <c r="AG70" s="269"/>
      <c r="AH70" s="269"/>
      <c r="AI70" s="269"/>
      <c r="AJ70" s="269"/>
    </row>
    <row r="71" spans="2:36">
      <c r="B71" s="1"/>
      <c r="L71" s="269"/>
      <c r="M71" s="269"/>
      <c r="N71" s="269"/>
      <c r="O71" s="269"/>
      <c r="P71" s="269"/>
      <c r="Q71" s="269"/>
      <c r="R71" s="269"/>
      <c r="S71" s="269"/>
      <c r="T71" s="269"/>
      <c r="U71" s="269"/>
      <c r="V71" s="269"/>
      <c r="W71" s="269"/>
      <c r="X71" s="269"/>
      <c r="Y71" s="10"/>
      <c r="AA71" s="269"/>
      <c r="AB71" s="269"/>
      <c r="AC71" s="269"/>
      <c r="AD71" s="269"/>
      <c r="AE71" s="269"/>
      <c r="AF71" s="269"/>
      <c r="AG71" s="269"/>
      <c r="AH71" s="269"/>
      <c r="AI71" s="269"/>
      <c r="AJ71" s="269"/>
    </row>
    <row r="72" spans="2:36">
      <c r="B72" s="1"/>
      <c r="L72" s="269"/>
      <c r="M72" s="269"/>
      <c r="N72" s="269"/>
      <c r="O72" s="269"/>
      <c r="P72" s="269"/>
      <c r="Q72" s="269"/>
      <c r="R72" s="269"/>
      <c r="S72" s="269"/>
      <c r="T72" s="269"/>
      <c r="U72" s="269"/>
      <c r="V72" s="269"/>
      <c r="W72" s="269"/>
      <c r="X72" s="269"/>
      <c r="Y72" s="10"/>
      <c r="AA72" s="269"/>
      <c r="AB72" s="269"/>
      <c r="AC72" s="269"/>
      <c r="AD72" s="269"/>
      <c r="AE72" s="269"/>
      <c r="AF72" s="269"/>
      <c r="AG72" s="269"/>
      <c r="AH72" s="269"/>
      <c r="AI72" s="269"/>
      <c r="AJ72" s="269"/>
    </row>
    <row r="73" spans="2:36">
      <c r="B73" s="1"/>
      <c r="L73" s="269"/>
      <c r="M73" s="269"/>
      <c r="N73" s="269"/>
      <c r="O73" s="269"/>
      <c r="P73" s="269"/>
      <c r="Q73" s="269"/>
      <c r="R73" s="269"/>
      <c r="S73" s="269"/>
      <c r="T73" s="269"/>
      <c r="U73" s="269"/>
      <c r="V73" s="269"/>
      <c r="W73" s="269"/>
      <c r="X73" s="269"/>
      <c r="Y73" s="269"/>
      <c r="Z73" s="269"/>
      <c r="AA73" s="269"/>
      <c r="AB73" s="269"/>
      <c r="AC73" s="269"/>
      <c r="AD73" s="269"/>
      <c r="AE73" s="269"/>
      <c r="AF73" s="269"/>
      <c r="AG73" s="269"/>
      <c r="AH73" s="269"/>
      <c r="AI73" s="269"/>
      <c r="AJ73" s="269"/>
    </row>
    <row r="74" spans="2:36">
      <c r="B74" s="1"/>
      <c r="L74" s="269"/>
      <c r="M74" s="269"/>
      <c r="N74" s="269"/>
      <c r="O74" s="269"/>
      <c r="P74" s="269"/>
      <c r="Q74" s="269"/>
      <c r="R74" s="269"/>
      <c r="S74" s="269"/>
      <c r="T74" s="269"/>
      <c r="U74" s="269"/>
      <c r="V74" s="269"/>
      <c r="W74" s="269"/>
      <c r="X74" s="269"/>
      <c r="Y74" s="269"/>
      <c r="Z74" s="269"/>
      <c r="AA74" s="269"/>
      <c r="AB74" s="269"/>
      <c r="AC74" s="269"/>
      <c r="AD74" s="269"/>
      <c r="AE74" s="269"/>
      <c r="AF74" s="269"/>
      <c r="AG74" s="269"/>
      <c r="AH74" s="269"/>
      <c r="AI74" s="269"/>
      <c r="AJ74" s="269"/>
    </row>
  </sheetData>
  <pageMargins left="0.511811024" right="0.511811024" top="0.78740157499999996" bottom="0.78740157499999996" header="0.31496062000000002" footer="0.31496062000000002"/>
  <pageSetup paperSize="9" scale="58" orientation="portrait" r:id="rId1"/>
  <ignoredErrors>
    <ignoredError sqref="U12 X9:Y17"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F45ED-A0A0-4C29-89D8-6A970EE4722D}">
  <dimension ref="B1:AJ74"/>
  <sheetViews>
    <sheetView showGridLines="0" zoomScaleNormal="100" workbookViewId="0">
      <pane xSplit="3" ySplit="4" topLeftCell="E27" activePane="bottomRight" state="frozen"/>
      <selection activeCell="AE15" sqref="AE15"/>
      <selection pane="topRight" activeCell="AE15" sqref="AE15"/>
      <selection pane="bottomLeft" activeCell="AE15" sqref="AE15"/>
      <selection pane="bottomRight" activeCell="AK30" sqref="AK30"/>
    </sheetView>
  </sheetViews>
  <sheetFormatPr defaultColWidth="9.140625" defaultRowHeight="12.75" outlineLevelCol="1"/>
  <cols>
    <col min="1" max="1" width="3" style="3" customWidth="1"/>
    <col min="2" max="2" width="54.7109375" style="3" customWidth="1"/>
    <col min="3" max="3" width="1.5703125" style="3" customWidth="1"/>
    <col min="4" max="4" width="60.28515625" style="3" customWidth="1"/>
    <col min="5" max="5" width="1.42578125" style="3" customWidth="1"/>
    <col min="6" max="6" width="15.85546875" style="3" customWidth="1"/>
    <col min="7" max="7" width="12.7109375" style="3" bestFit="1" customWidth="1"/>
    <col min="8" max="11" width="12.7109375" style="3" hidden="1" customWidth="1" outlineLevel="1"/>
    <col min="12" max="12" width="13.42578125" style="3" customWidth="1" collapsed="1"/>
    <col min="13" max="16" width="12.7109375" style="3" hidden="1" customWidth="1" outlineLevel="1"/>
    <col min="17" max="17" width="12.7109375" style="3" customWidth="1" collapsed="1"/>
    <col min="18" max="21" width="12.7109375" style="3" hidden="1" customWidth="1" outlineLevel="1"/>
    <col min="22" max="22" width="12.7109375" style="3" customWidth="1" collapsed="1"/>
    <col min="23" max="28" width="12.7109375" style="3" hidden="1" customWidth="1" outlineLevel="1"/>
    <col min="29" max="29" width="12.7109375" style="3" customWidth="1" collapsed="1"/>
    <col min="30" max="35" width="13" style="3" customWidth="1" outlineLevel="1"/>
    <col min="36" max="36" width="13" style="3" customWidth="1"/>
    <col min="37" max="16384" width="9.140625" style="3"/>
  </cols>
  <sheetData>
    <row r="1" spans="2:36">
      <c r="G1" s="18"/>
      <c r="H1" s="18"/>
      <c r="I1" s="18"/>
      <c r="J1" s="18"/>
      <c r="K1" s="18"/>
      <c r="M1" s="18"/>
      <c r="N1" s="18"/>
      <c r="O1" s="18"/>
      <c r="P1" s="18"/>
      <c r="Q1" s="18"/>
      <c r="R1" s="18"/>
      <c r="S1" s="18"/>
      <c r="T1" s="18"/>
      <c r="U1" s="18"/>
      <c r="V1" s="18"/>
      <c r="W1" s="18"/>
      <c r="X1" s="18"/>
      <c r="Y1" s="18"/>
      <c r="Z1" s="18"/>
      <c r="AA1" s="18"/>
      <c r="AB1" s="18"/>
      <c r="AC1" s="18"/>
      <c r="AD1" s="18"/>
      <c r="AE1" s="18"/>
      <c r="AF1" s="18"/>
      <c r="AG1" s="18"/>
      <c r="AH1" s="18"/>
      <c r="AI1" s="18"/>
      <c r="AJ1" s="18"/>
    </row>
    <row r="2" spans="2:36" ht="18.75">
      <c r="F2" s="182" t="s">
        <v>752</v>
      </c>
      <c r="G2" s="18"/>
      <c r="H2" s="18"/>
      <c r="I2" s="18"/>
      <c r="J2" s="18"/>
      <c r="K2" s="18"/>
      <c r="M2" s="18"/>
      <c r="N2" s="18"/>
      <c r="O2" s="18"/>
      <c r="P2" s="18"/>
      <c r="Q2" s="18"/>
      <c r="R2" s="18"/>
      <c r="S2" s="18"/>
      <c r="T2" s="18"/>
      <c r="U2" s="18"/>
      <c r="V2" s="18"/>
      <c r="W2" s="18"/>
      <c r="X2" s="18"/>
      <c r="Y2" s="18"/>
      <c r="Z2" s="18"/>
      <c r="AA2" s="18"/>
      <c r="AB2" s="18"/>
      <c r="AC2" s="18"/>
      <c r="AD2" s="18"/>
      <c r="AE2" s="18"/>
      <c r="AF2" s="18"/>
      <c r="AG2" s="18"/>
      <c r="AH2" s="18"/>
      <c r="AI2" s="18"/>
      <c r="AJ2" s="18"/>
    </row>
    <row r="4" spans="2:36" ht="17.25">
      <c r="B4" s="23" t="s">
        <v>27</v>
      </c>
      <c r="C4" s="1"/>
      <c r="D4" s="23" t="s">
        <v>688</v>
      </c>
      <c r="E4" s="1"/>
      <c r="F4" s="2">
        <v>2018</v>
      </c>
      <c r="G4" s="2">
        <v>2019</v>
      </c>
      <c r="H4" s="22" t="s">
        <v>730</v>
      </c>
      <c r="I4" s="22" t="s">
        <v>731</v>
      </c>
      <c r="J4" s="22" t="s">
        <v>732</v>
      </c>
      <c r="K4" s="22" t="s">
        <v>733</v>
      </c>
      <c r="L4" s="2">
        <v>2020</v>
      </c>
      <c r="M4" s="22" t="s">
        <v>691</v>
      </c>
      <c r="N4" s="22" t="s">
        <v>734</v>
      </c>
      <c r="O4" s="22" t="s">
        <v>735</v>
      </c>
      <c r="P4" s="22" t="s">
        <v>736</v>
      </c>
      <c r="Q4" s="22">
        <v>2021</v>
      </c>
      <c r="R4" s="22" t="s">
        <v>694</v>
      </c>
      <c r="S4" s="22" t="s">
        <v>834</v>
      </c>
      <c r="T4" s="22" t="s">
        <v>859</v>
      </c>
      <c r="U4" s="22" t="s">
        <v>923</v>
      </c>
      <c r="V4" s="22">
        <v>2022</v>
      </c>
      <c r="W4" s="22" t="s">
        <v>933</v>
      </c>
      <c r="X4" s="22" t="s">
        <v>981</v>
      </c>
      <c r="Y4" s="22" t="s">
        <v>837</v>
      </c>
      <c r="Z4" s="22" t="s">
        <v>1058</v>
      </c>
      <c r="AA4" s="22" t="s">
        <v>1059</v>
      </c>
      <c r="AB4" s="22" t="s">
        <v>1102</v>
      </c>
      <c r="AC4" s="22">
        <v>2023</v>
      </c>
      <c r="AD4" s="22" t="s">
        <v>1206</v>
      </c>
      <c r="AE4" s="22" t="s">
        <v>1240</v>
      </c>
      <c r="AF4" s="22" t="s">
        <v>1241</v>
      </c>
      <c r="AG4" s="22" t="s">
        <v>1242</v>
      </c>
      <c r="AH4" s="22" t="s">
        <v>1243</v>
      </c>
      <c r="AI4" s="22" t="s">
        <v>1244</v>
      </c>
      <c r="AJ4" s="22">
        <v>2024</v>
      </c>
    </row>
    <row r="5" spans="2:36" ht="6.75" customHeight="1">
      <c r="B5" s="1"/>
      <c r="C5" s="1"/>
      <c r="D5" s="1"/>
      <c r="E5" s="1"/>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row>
    <row r="6" spans="2:36" ht="15">
      <c r="B6" s="39" t="s">
        <v>68</v>
      </c>
      <c r="C6" s="32"/>
      <c r="D6" s="39" t="s">
        <v>819</v>
      </c>
      <c r="E6" s="29"/>
      <c r="F6" s="32"/>
      <c r="G6" s="32"/>
      <c r="H6" s="32"/>
      <c r="I6" s="32"/>
      <c r="J6" s="32"/>
      <c r="K6" s="32"/>
      <c r="L6" s="32"/>
      <c r="M6" s="32"/>
      <c r="N6" s="32"/>
      <c r="O6" s="32"/>
      <c r="P6" s="32"/>
      <c r="Q6" s="32"/>
      <c r="R6" s="32"/>
      <c r="S6" s="32"/>
      <c r="T6" s="32"/>
      <c r="U6" s="32"/>
      <c r="V6" s="181"/>
      <c r="W6" s="32"/>
      <c r="X6" s="32"/>
      <c r="Y6" s="32"/>
      <c r="Z6" s="32"/>
      <c r="AA6" s="32"/>
      <c r="AB6" s="32"/>
      <c r="AC6" s="32"/>
      <c r="AD6" s="32"/>
      <c r="AE6" s="32"/>
      <c r="AF6" s="32"/>
      <c r="AG6" s="32"/>
      <c r="AH6" s="32"/>
      <c r="AI6" s="32"/>
      <c r="AJ6" s="32"/>
    </row>
    <row r="7" spans="2:36" ht="6.75" customHeight="1">
      <c r="C7" s="12"/>
      <c r="F7" s="5"/>
      <c r="G7" s="5"/>
      <c r="H7" s="5"/>
      <c r="I7" s="5"/>
      <c r="J7" s="5"/>
      <c r="K7" s="5"/>
      <c r="L7" s="6"/>
      <c r="M7" s="6"/>
      <c r="N7" s="6"/>
      <c r="O7" s="6"/>
      <c r="P7" s="6"/>
      <c r="Q7" s="6"/>
      <c r="R7" s="6"/>
      <c r="S7" s="6"/>
      <c r="T7" s="6"/>
      <c r="U7" s="6"/>
      <c r="V7" s="6"/>
      <c r="W7" s="6"/>
      <c r="X7" s="6"/>
      <c r="Y7" s="6"/>
      <c r="Z7" s="6"/>
      <c r="AA7" s="6"/>
      <c r="AB7" s="6"/>
      <c r="AC7" s="6"/>
      <c r="AD7" s="6"/>
      <c r="AE7" s="6"/>
      <c r="AF7" s="6"/>
      <c r="AG7" s="6"/>
      <c r="AH7" s="6"/>
      <c r="AI7" s="6"/>
      <c r="AJ7" s="6"/>
    </row>
    <row r="8" spans="2:36">
      <c r="B8" s="3" t="s">
        <v>930</v>
      </c>
      <c r="C8" s="12"/>
      <c r="D8" s="3" t="s">
        <v>820</v>
      </c>
      <c r="F8" s="13">
        <v>88694</v>
      </c>
      <c r="G8" s="13">
        <v>71838</v>
      </c>
      <c r="H8" s="13">
        <v>-204832</v>
      </c>
      <c r="I8" s="13">
        <v>-19594</v>
      </c>
      <c r="J8" s="13">
        <v>13266</v>
      </c>
      <c r="K8" s="13">
        <v>93523.000000000029</v>
      </c>
      <c r="L8" s="13">
        <v>-117636.99999999997</v>
      </c>
      <c r="M8" s="13">
        <v>-24205</v>
      </c>
      <c r="N8" s="13">
        <v>126643</v>
      </c>
      <c r="O8" s="13">
        <v>35798</v>
      </c>
      <c r="P8" s="13">
        <v>95381</v>
      </c>
      <c r="Q8" s="13">
        <v>233617</v>
      </c>
      <c r="R8" s="13">
        <v>530662</v>
      </c>
      <c r="S8" s="13">
        <v>167910</v>
      </c>
      <c r="T8" s="13">
        <v>265365</v>
      </c>
      <c r="U8" s="13">
        <v>360663</v>
      </c>
      <c r="V8" s="13">
        <v>1324600</v>
      </c>
      <c r="W8" s="13">
        <v>237214</v>
      </c>
      <c r="X8" s="13">
        <v>229444</v>
      </c>
      <c r="Y8" s="13">
        <v>466658</v>
      </c>
      <c r="Z8" s="13">
        <v>146517</v>
      </c>
      <c r="AA8" s="13">
        <v>613175</v>
      </c>
      <c r="AB8" s="13">
        <v>115654</v>
      </c>
      <c r="AC8" s="13">
        <v>728829</v>
      </c>
      <c r="AD8" s="13">
        <v>128512</v>
      </c>
      <c r="AE8" s="13">
        <v>52849</v>
      </c>
      <c r="AF8" s="13">
        <v>181361</v>
      </c>
      <c r="AG8" s="13">
        <v>196080</v>
      </c>
      <c r="AH8" s="13">
        <v>377441</v>
      </c>
      <c r="AI8" s="13">
        <v>0</v>
      </c>
      <c r="AJ8" s="13">
        <v>0</v>
      </c>
    </row>
    <row r="9" spans="2:36" ht="6.75" customHeight="1">
      <c r="C9" s="12"/>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row>
    <row r="10" spans="2:36">
      <c r="B10" s="47" t="s">
        <v>57</v>
      </c>
      <c r="C10" s="12"/>
      <c r="D10" s="47" t="s">
        <v>822</v>
      </c>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row>
    <row r="11" spans="2:36">
      <c r="B11" s="47" t="s">
        <v>684</v>
      </c>
      <c r="C11" s="12"/>
      <c r="D11" s="47" t="s">
        <v>821</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row>
    <row r="12" spans="2:36">
      <c r="B12" s="45" t="s">
        <v>1065</v>
      </c>
      <c r="C12" s="12"/>
      <c r="D12" s="45" t="s">
        <v>823</v>
      </c>
      <c r="F12" s="13">
        <f>992-336</f>
        <v>656</v>
      </c>
      <c r="G12" s="13">
        <f>-14854-25+1194+1393</f>
        <v>-12292</v>
      </c>
      <c r="H12" s="13">
        <f>248629-361+1043+5208</f>
        <v>254519</v>
      </c>
      <c r="I12" s="13">
        <f>76281-204+4058+882</f>
        <v>81017</v>
      </c>
      <c r="J12" s="13">
        <f>43655-233+4869+400</f>
        <v>48691</v>
      </c>
      <c r="K12" s="13">
        <f>-62679+599+6546+2713</f>
        <v>-52821</v>
      </c>
      <c r="L12" s="13">
        <f>305886-199+8871+16848</f>
        <v>331406</v>
      </c>
      <c r="M12" s="13">
        <f>103869-988+3353+1461</f>
        <v>107695</v>
      </c>
      <c r="N12" s="13">
        <f>-105789+1343+3443+976</f>
        <v>-100027</v>
      </c>
      <c r="O12" s="13">
        <f>46847+9+3222+724</f>
        <v>50802</v>
      </c>
      <c r="P12" s="13">
        <f>35104+232+2973+3161</f>
        <v>41470</v>
      </c>
      <c r="Q12" s="13">
        <f>80031+596+3161+12991</f>
        <v>96779</v>
      </c>
      <c r="R12" s="13">
        <f>-193553+2449</f>
        <v>-191104</v>
      </c>
      <c r="S12" s="13">
        <f>121312+2800+697</f>
        <v>124809</v>
      </c>
      <c r="T12" s="13">
        <f>23267+17116+344</f>
        <v>40727</v>
      </c>
      <c r="U12" s="13">
        <f>-47238-491+387</f>
        <v>-47342</v>
      </c>
      <c r="V12" s="13">
        <f>-96212+21874+1428</f>
        <v>-72910</v>
      </c>
      <c r="W12" s="13">
        <f>-5905+1575+27</f>
        <v>-4303</v>
      </c>
      <c r="X12" s="13">
        <f>-71135+257-27</f>
        <v>-70905</v>
      </c>
      <c r="Y12" s="13">
        <f>-77040+1832</f>
        <v>-75208</v>
      </c>
      <c r="Z12" s="13">
        <v>58109</v>
      </c>
      <c r="AA12" s="13">
        <v>-17099</v>
      </c>
      <c r="AB12" s="13">
        <v>-64719</v>
      </c>
      <c r="AC12" s="13">
        <v>-81818</v>
      </c>
      <c r="AD12" s="13">
        <v>56234</v>
      </c>
      <c r="AE12" s="13">
        <v>147080</v>
      </c>
      <c r="AF12" s="13">
        <v>203314</v>
      </c>
      <c r="AG12" s="13">
        <v>39957</v>
      </c>
      <c r="AH12" s="13">
        <v>243271</v>
      </c>
      <c r="AI12" s="13">
        <v>0</v>
      </c>
      <c r="AJ12" s="13">
        <v>0</v>
      </c>
    </row>
    <row r="13" spans="2:36">
      <c r="B13" s="46" t="s">
        <v>1079</v>
      </c>
      <c r="C13" s="12"/>
      <c r="D13" s="46" t="s">
        <v>1104</v>
      </c>
      <c r="F13" s="13">
        <v>62304</v>
      </c>
      <c r="G13" s="13">
        <v>95411</v>
      </c>
      <c r="H13" s="13">
        <v>53270</v>
      </c>
      <c r="I13" s="13">
        <v>53107</v>
      </c>
      <c r="J13" s="13">
        <v>51861</v>
      </c>
      <c r="K13" s="13">
        <v>84347</v>
      </c>
      <c r="L13" s="13">
        <v>242585</v>
      </c>
      <c r="M13" s="13">
        <v>61052.492819999999</v>
      </c>
      <c r="N13" s="13">
        <v>68380.507180000001</v>
      </c>
      <c r="O13" s="13">
        <v>77661</v>
      </c>
      <c r="P13" s="13">
        <v>43106</v>
      </c>
      <c r="Q13" s="13">
        <v>250200</v>
      </c>
      <c r="R13" s="13">
        <v>69932</v>
      </c>
      <c r="S13" s="13">
        <v>85108</v>
      </c>
      <c r="T13" s="13">
        <v>112580</v>
      </c>
      <c r="U13" s="13">
        <v>83600</v>
      </c>
      <c r="V13" s="13">
        <v>351220</v>
      </c>
      <c r="W13" s="13">
        <v>103923</v>
      </c>
      <c r="X13" s="13">
        <v>145186</v>
      </c>
      <c r="Y13" s="13">
        <v>249109</v>
      </c>
      <c r="Z13" s="13">
        <v>182422</v>
      </c>
      <c r="AA13" s="13">
        <v>431531</v>
      </c>
      <c r="AB13" s="13">
        <v>166796</v>
      </c>
      <c r="AC13" s="13">
        <v>598327</v>
      </c>
      <c r="AD13" s="13">
        <v>153862</v>
      </c>
      <c r="AE13" s="13">
        <v>178214</v>
      </c>
      <c r="AF13" s="13">
        <v>332076</v>
      </c>
      <c r="AG13" s="13">
        <v>202998</v>
      </c>
      <c r="AH13" s="13">
        <v>535074</v>
      </c>
      <c r="AI13" s="13">
        <v>0</v>
      </c>
      <c r="AJ13" s="13">
        <v>0</v>
      </c>
    </row>
    <row r="14" spans="2:36">
      <c r="B14" s="46" t="s">
        <v>1105</v>
      </c>
      <c r="C14" s="12"/>
      <c r="D14" s="46" t="s">
        <v>824</v>
      </c>
      <c r="F14" s="13">
        <v>-118</v>
      </c>
      <c r="G14" s="13">
        <v>71</v>
      </c>
      <c r="H14" s="13">
        <v>58</v>
      </c>
      <c r="I14" s="13">
        <v>-121</v>
      </c>
      <c r="J14" s="13">
        <v>104</v>
      </c>
      <c r="K14" s="13">
        <v>5301</v>
      </c>
      <c r="L14" s="13">
        <v>5342</v>
      </c>
      <c r="M14" s="13">
        <v>0</v>
      </c>
      <c r="N14" s="13">
        <v>0</v>
      </c>
      <c r="O14" s="13">
        <v>0</v>
      </c>
      <c r="P14" s="13">
        <v>0</v>
      </c>
      <c r="Q14" s="13">
        <v>0</v>
      </c>
      <c r="R14" s="13">
        <v>0</v>
      </c>
      <c r="S14" s="13">
        <v>0</v>
      </c>
      <c r="T14" s="13">
        <v>37962</v>
      </c>
      <c r="U14" s="13">
        <v>32749</v>
      </c>
      <c r="V14" s="13">
        <v>70711</v>
      </c>
      <c r="W14" s="13">
        <v>0</v>
      </c>
      <c r="X14" s="13">
        <v>0</v>
      </c>
      <c r="Y14" s="13">
        <v>0</v>
      </c>
      <c r="Z14" s="13">
        <v>0</v>
      </c>
      <c r="AA14" s="13">
        <v>0</v>
      </c>
      <c r="AB14" s="13">
        <v>0</v>
      </c>
      <c r="AC14" s="13">
        <v>0</v>
      </c>
      <c r="AD14" s="13">
        <v>0</v>
      </c>
      <c r="AE14" s="13">
        <v>0</v>
      </c>
      <c r="AF14" s="13">
        <v>0</v>
      </c>
      <c r="AG14" s="13">
        <v>0</v>
      </c>
      <c r="AH14" s="13">
        <v>0</v>
      </c>
      <c r="AI14" s="13">
        <v>0</v>
      </c>
      <c r="AJ14" s="13">
        <v>0</v>
      </c>
    </row>
    <row r="15" spans="2:36">
      <c r="B15" s="46" t="s">
        <v>1106</v>
      </c>
      <c r="C15" s="12"/>
      <c r="D15" s="46" t="s">
        <v>825</v>
      </c>
      <c r="F15" s="13">
        <v>0</v>
      </c>
      <c r="G15" s="13">
        <v>0</v>
      </c>
      <c r="H15" s="13">
        <v>0</v>
      </c>
      <c r="I15" s="13">
        <v>0</v>
      </c>
      <c r="J15" s="13">
        <v>-8574</v>
      </c>
      <c r="K15" s="13">
        <v>8574</v>
      </c>
      <c r="L15" s="13">
        <v>0</v>
      </c>
      <c r="M15" s="13">
        <v>0</v>
      </c>
      <c r="N15" s="13">
        <v>0</v>
      </c>
      <c r="O15" s="13">
        <v>56841</v>
      </c>
      <c r="P15" s="13">
        <v>69939</v>
      </c>
      <c r="Q15" s="13">
        <v>126780</v>
      </c>
      <c r="R15" s="13">
        <v>85230</v>
      </c>
      <c r="S15" s="13">
        <v>130361</v>
      </c>
      <c r="T15" s="13">
        <v>127316</v>
      </c>
      <c r="U15" s="13">
        <v>98724</v>
      </c>
      <c r="V15" s="13">
        <v>441631</v>
      </c>
      <c r="W15" s="13">
        <v>71468</v>
      </c>
      <c r="X15" s="13">
        <v>60286</v>
      </c>
      <c r="Y15" s="13">
        <v>131754</v>
      </c>
      <c r="Z15" s="13">
        <v>70610</v>
      </c>
      <c r="AA15" s="13">
        <v>202364</v>
      </c>
      <c r="AB15" s="13">
        <v>65890</v>
      </c>
      <c r="AC15" s="13">
        <v>268254</v>
      </c>
      <c r="AD15" s="13">
        <v>70573</v>
      </c>
      <c r="AE15" s="13">
        <v>165261</v>
      </c>
      <c r="AF15" s="13">
        <v>235834</v>
      </c>
      <c r="AG15" s="13">
        <v>22801</v>
      </c>
      <c r="AH15" s="13">
        <v>258635</v>
      </c>
      <c r="AI15" s="13">
        <v>0</v>
      </c>
      <c r="AJ15" s="13">
        <v>0</v>
      </c>
    </row>
    <row r="16" spans="2:36">
      <c r="B16" s="46" t="s">
        <v>1107</v>
      </c>
      <c r="C16" s="1"/>
      <c r="D16" s="46" t="s">
        <v>1108</v>
      </c>
      <c r="E16" s="1"/>
      <c r="F16" s="13">
        <v>2023</v>
      </c>
      <c r="G16" s="13">
        <v>2490</v>
      </c>
      <c r="H16" s="13">
        <v>4663</v>
      </c>
      <c r="I16" s="13">
        <v>-3674</v>
      </c>
      <c r="J16" s="13">
        <v>7261</v>
      </c>
      <c r="K16" s="13">
        <v>-7753</v>
      </c>
      <c r="L16" s="13">
        <v>497</v>
      </c>
      <c r="M16" s="13">
        <v>0</v>
      </c>
      <c r="N16" s="13">
        <v>215</v>
      </c>
      <c r="O16" s="13">
        <v>3711</v>
      </c>
      <c r="P16" s="13">
        <v>16245</v>
      </c>
      <c r="Q16" s="13">
        <v>20171</v>
      </c>
      <c r="R16" s="13">
        <v>1844</v>
      </c>
      <c r="S16" s="13">
        <v>1853</v>
      </c>
      <c r="T16" s="13">
        <v>5400</v>
      </c>
      <c r="U16" s="13">
        <v>3392</v>
      </c>
      <c r="V16" s="13">
        <v>12489</v>
      </c>
      <c r="W16" s="13">
        <v>3479</v>
      </c>
      <c r="X16" s="13">
        <v>-451</v>
      </c>
      <c r="Y16" s="13">
        <v>3028</v>
      </c>
      <c r="Z16" s="13">
        <v>1699</v>
      </c>
      <c r="AA16" s="13">
        <v>4727</v>
      </c>
      <c r="AB16" s="13">
        <v>3810</v>
      </c>
      <c r="AC16" s="13">
        <v>8537</v>
      </c>
      <c r="AD16" s="13">
        <v>7547</v>
      </c>
      <c r="AE16" s="13">
        <v>38789</v>
      </c>
      <c r="AF16" s="13">
        <v>46336</v>
      </c>
      <c r="AG16" s="13">
        <v>2563</v>
      </c>
      <c r="AH16" s="13">
        <v>48899</v>
      </c>
      <c r="AI16" s="13">
        <v>0</v>
      </c>
      <c r="AJ16" s="13">
        <v>0</v>
      </c>
    </row>
    <row r="17" spans="2:36">
      <c r="B17" s="46" t="s">
        <v>1210</v>
      </c>
      <c r="C17" s="1"/>
      <c r="D17" s="46" t="s">
        <v>1211</v>
      </c>
      <c r="E17" s="1"/>
      <c r="F17" s="13">
        <v>0</v>
      </c>
      <c r="G17" s="13">
        <v>0</v>
      </c>
      <c r="H17" s="13">
        <v>0</v>
      </c>
      <c r="I17" s="13">
        <v>0</v>
      </c>
      <c r="J17" s="13">
        <v>0</v>
      </c>
      <c r="K17" s="13">
        <v>0</v>
      </c>
      <c r="L17" s="13">
        <v>0</v>
      </c>
      <c r="M17" s="13">
        <v>0</v>
      </c>
      <c r="N17" s="13">
        <v>0</v>
      </c>
      <c r="O17" s="13">
        <v>0</v>
      </c>
      <c r="P17" s="13">
        <v>0</v>
      </c>
      <c r="Q17" s="13">
        <v>0</v>
      </c>
      <c r="R17" s="13">
        <v>0</v>
      </c>
      <c r="S17" s="13">
        <v>0</v>
      </c>
      <c r="T17" s="13">
        <v>0</v>
      </c>
      <c r="U17" s="13">
        <v>0</v>
      </c>
      <c r="V17" s="13">
        <v>0</v>
      </c>
      <c r="W17" s="13">
        <v>0</v>
      </c>
      <c r="X17" s="13">
        <v>0</v>
      </c>
      <c r="Y17" s="13">
        <v>0</v>
      </c>
      <c r="Z17" s="13">
        <v>0</v>
      </c>
      <c r="AA17" s="13">
        <v>0</v>
      </c>
      <c r="AB17" s="13">
        <v>0</v>
      </c>
      <c r="AC17" s="13">
        <v>0</v>
      </c>
      <c r="AD17" s="13">
        <v>22033</v>
      </c>
      <c r="AE17" s="13">
        <v>0</v>
      </c>
      <c r="AF17" s="13">
        <v>22033</v>
      </c>
      <c r="AG17" s="13">
        <v>0</v>
      </c>
      <c r="AH17" s="13">
        <v>22033</v>
      </c>
      <c r="AI17" s="13">
        <v>0</v>
      </c>
      <c r="AJ17" s="13">
        <v>0</v>
      </c>
    </row>
    <row r="18" spans="2:36">
      <c r="B18" s="46" t="s">
        <v>846</v>
      </c>
      <c r="C18" s="12"/>
      <c r="D18" s="46" t="s">
        <v>826</v>
      </c>
      <c r="F18" s="13">
        <f>1501-2027</f>
        <v>-526</v>
      </c>
      <c r="G18" s="13">
        <f>1254-243</f>
        <v>1011</v>
      </c>
      <c r="H18" s="13">
        <v>1273</v>
      </c>
      <c r="I18" s="13">
        <v>1271</v>
      </c>
      <c r="J18" s="13">
        <v>1271</v>
      </c>
      <c r="K18" s="13">
        <f>1665-1975</f>
        <v>-310</v>
      </c>
      <c r="L18" s="13">
        <f>5480-1975</f>
        <v>3505</v>
      </c>
      <c r="M18" s="13">
        <v>2065</v>
      </c>
      <c r="N18" s="13">
        <v>1373</v>
      </c>
      <c r="O18" s="13">
        <v>1484</v>
      </c>
      <c r="P18" s="13">
        <f>1640-6994</f>
        <v>-5354</v>
      </c>
      <c r="Q18" s="13">
        <f>6562-6994</f>
        <v>-432</v>
      </c>
      <c r="R18" s="13">
        <v>2698</v>
      </c>
      <c r="S18" s="13">
        <v>2699</v>
      </c>
      <c r="T18" s="13">
        <v>2700</v>
      </c>
      <c r="U18" s="13">
        <v>2700</v>
      </c>
      <c r="V18" s="13">
        <v>10797</v>
      </c>
      <c r="W18" s="13">
        <v>3292</v>
      </c>
      <c r="X18" s="13">
        <v>3352</v>
      </c>
      <c r="Y18" s="13">
        <v>6644</v>
      </c>
      <c r="Z18" s="13">
        <v>3339</v>
      </c>
      <c r="AA18" s="13">
        <v>9983</v>
      </c>
      <c r="AB18" s="13">
        <v>2849</v>
      </c>
      <c r="AC18" s="13">
        <v>12832</v>
      </c>
      <c r="AD18" s="13">
        <v>4565</v>
      </c>
      <c r="AE18" s="13">
        <v>4449</v>
      </c>
      <c r="AF18" s="13">
        <v>9014</v>
      </c>
      <c r="AG18" s="13">
        <v>4683</v>
      </c>
      <c r="AH18" s="13">
        <v>13697</v>
      </c>
      <c r="AI18" s="13">
        <v>0</v>
      </c>
      <c r="AJ18" s="13">
        <v>0</v>
      </c>
    </row>
    <row r="19" spans="2:36">
      <c r="B19" s="46" t="s">
        <v>1066</v>
      </c>
      <c r="C19" s="1"/>
      <c r="D19" s="46" t="s">
        <v>827</v>
      </c>
      <c r="E19" s="1"/>
      <c r="F19" s="13">
        <v>1688</v>
      </c>
      <c r="G19" s="13">
        <v>8037</v>
      </c>
      <c r="H19" s="13">
        <v>20477</v>
      </c>
      <c r="I19" s="13">
        <v>3044</v>
      </c>
      <c r="J19" s="13">
        <v>38534</v>
      </c>
      <c r="K19" s="13">
        <v>19222</v>
      </c>
      <c r="L19" s="13">
        <v>81277</v>
      </c>
      <c r="M19" s="13">
        <v>32270</v>
      </c>
      <c r="N19" s="13">
        <v>24470</v>
      </c>
      <c r="O19" s="13">
        <v>44695</v>
      </c>
      <c r="P19" s="13">
        <v>60805</v>
      </c>
      <c r="Q19" s="13">
        <v>162240</v>
      </c>
      <c r="R19" s="13">
        <v>45119</v>
      </c>
      <c r="S19" s="13">
        <v>27844</v>
      </c>
      <c r="T19" s="13">
        <v>34916</v>
      </c>
      <c r="U19" s="13">
        <v>33480</v>
      </c>
      <c r="V19" s="13">
        <v>141359</v>
      </c>
      <c r="W19" s="13">
        <v>59514</v>
      </c>
      <c r="X19" s="13">
        <v>28691</v>
      </c>
      <c r="Y19" s="13">
        <v>88205</v>
      </c>
      <c r="Z19" s="13">
        <v>88623</v>
      </c>
      <c r="AA19" s="13">
        <v>176828</v>
      </c>
      <c r="AB19" s="13">
        <v>58367</v>
      </c>
      <c r="AC19" s="13">
        <v>235195</v>
      </c>
      <c r="AD19" s="13">
        <v>68563</v>
      </c>
      <c r="AE19" s="13">
        <v>54417</v>
      </c>
      <c r="AF19" s="13">
        <v>122980</v>
      </c>
      <c r="AG19" s="13">
        <v>59362</v>
      </c>
      <c r="AH19" s="13">
        <v>182342</v>
      </c>
      <c r="AI19" s="13">
        <v>0</v>
      </c>
      <c r="AJ19" s="13">
        <v>0</v>
      </c>
    </row>
    <row r="20" spans="2:36" ht="6.75" customHeight="1">
      <c r="C20" s="12"/>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v>0</v>
      </c>
      <c r="AF20" s="13">
        <v>0</v>
      </c>
      <c r="AG20" s="13">
        <v>0</v>
      </c>
      <c r="AH20" s="13">
        <v>0</v>
      </c>
      <c r="AI20" s="13">
        <v>0</v>
      </c>
      <c r="AJ20" s="13">
        <v>0</v>
      </c>
    </row>
    <row r="21" spans="2:36">
      <c r="B21" s="7" t="s">
        <v>58</v>
      </c>
      <c r="C21" s="12"/>
      <c r="D21" s="7" t="s">
        <v>753</v>
      </c>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v>0</v>
      </c>
      <c r="AF21" s="13">
        <v>0</v>
      </c>
      <c r="AG21" s="13">
        <v>0</v>
      </c>
      <c r="AH21" s="13">
        <v>0</v>
      </c>
      <c r="AI21" s="13">
        <v>0</v>
      </c>
      <c r="AJ21" s="13">
        <v>0</v>
      </c>
    </row>
    <row r="22" spans="2:36">
      <c r="B22" s="45" t="s">
        <v>2</v>
      </c>
      <c r="C22" s="12"/>
      <c r="D22" s="45" t="s">
        <v>828</v>
      </c>
      <c r="F22" s="13">
        <v>-9067</v>
      </c>
      <c r="G22" s="13">
        <v>-40351</v>
      </c>
      <c r="H22" s="13">
        <v>-45969</v>
      </c>
      <c r="I22" s="13">
        <v>29848</v>
      </c>
      <c r="J22" s="13">
        <v>-6249</v>
      </c>
      <c r="K22" s="13">
        <v>-7753</v>
      </c>
      <c r="L22" s="13">
        <v>-30123</v>
      </c>
      <c r="M22" s="13">
        <v>-36389</v>
      </c>
      <c r="N22" s="13">
        <v>12055</v>
      </c>
      <c r="O22" s="13">
        <v>-31934</v>
      </c>
      <c r="P22" s="13">
        <v>-14793</v>
      </c>
      <c r="Q22" s="13">
        <v>-71061</v>
      </c>
      <c r="R22" s="13">
        <v>-282691</v>
      </c>
      <c r="S22" s="13">
        <v>9954</v>
      </c>
      <c r="T22" s="13">
        <v>-19727</v>
      </c>
      <c r="U22" s="13">
        <v>-48497</v>
      </c>
      <c r="V22" s="13">
        <v>-340961</v>
      </c>
      <c r="W22" s="13">
        <v>23651</v>
      </c>
      <c r="X22" s="13">
        <v>64249</v>
      </c>
      <c r="Y22" s="13">
        <v>87900</v>
      </c>
      <c r="Z22" s="13">
        <f t="shared" ref="Z22:Z36" si="0">AA22-Y22</f>
        <v>-48200</v>
      </c>
      <c r="AA22" s="13">
        <v>39700</v>
      </c>
      <c r="AB22" s="13">
        <v>-11882</v>
      </c>
      <c r="AC22" s="13">
        <v>27818</v>
      </c>
      <c r="AD22" s="13">
        <v>10850</v>
      </c>
      <c r="AE22" s="13">
        <v>-27457</v>
      </c>
      <c r="AF22" s="13">
        <v>-16607</v>
      </c>
      <c r="AG22" s="13">
        <v>14678</v>
      </c>
      <c r="AH22" s="13">
        <v>-1929</v>
      </c>
      <c r="AI22" s="13">
        <v>0</v>
      </c>
      <c r="AJ22" s="13">
        <v>0</v>
      </c>
    </row>
    <row r="23" spans="2:36">
      <c r="B23" s="45" t="s">
        <v>3</v>
      </c>
      <c r="C23" s="12"/>
      <c r="D23" s="45" t="s">
        <v>794</v>
      </c>
      <c r="F23" s="13">
        <v>297</v>
      </c>
      <c r="G23" s="13">
        <v>-451</v>
      </c>
      <c r="H23" s="13">
        <v>-731</v>
      </c>
      <c r="I23" s="13">
        <v>861</v>
      </c>
      <c r="J23" s="13">
        <v>-2242</v>
      </c>
      <c r="K23" s="13">
        <v>1381</v>
      </c>
      <c r="L23" s="13">
        <v>-731</v>
      </c>
      <c r="M23" s="13">
        <v>-50</v>
      </c>
      <c r="N23" s="13">
        <v>392</v>
      </c>
      <c r="O23" s="13">
        <v>-142</v>
      </c>
      <c r="P23" s="13">
        <v>-5541</v>
      </c>
      <c r="Q23" s="13">
        <v>-5341</v>
      </c>
      <c r="R23" s="13">
        <v>-2440</v>
      </c>
      <c r="S23" s="13">
        <v>867</v>
      </c>
      <c r="T23" s="13">
        <v>1285</v>
      </c>
      <c r="U23" s="13">
        <v>-4611</v>
      </c>
      <c r="V23" s="13">
        <v>-4899</v>
      </c>
      <c r="W23" s="13">
        <v>8186</v>
      </c>
      <c r="X23" s="13">
        <v>-2519</v>
      </c>
      <c r="Y23" s="13">
        <v>5667</v>
      </c>
      <c r="Z23" s="13">
        <f t="shared" si="0"/>
        <v>-17341</v>
      </c>
      <c r="AA23" s="13">
        <v>-11674</v>
      </c>
      <c r="AB23" s="13">
        <v>17359</v>
      </c>
      <c r="AC23" s="13">
        <v>5685</v>
      </c>
      <c r="AD23" s="13">
        <v>-431</v>
      </c>
      <c r="AE23" s="13">
        <v>5339</v>
      </c>
      <c r="AF23" s="13">
        <v>4908</v>
      </c>
      <c r="AG23" s="13">
        <v>482</v>
      </c>
      <c r="AH23" s="13">
        <v>5390</v>
      </c>
      <c r="AI23" s="13">
        <v>0</v>
      </c>
      <c r="AJ23" s="13">
        <v>0</v>
      </c>
    </row>
    <row r="24" spans="2:36">
      <c r="B24" s="45" t="s">
        <v>1091</v>
      </c>
      <c r="C24" s="12"/>
      <c r="D24" s="45" t="s">
        <v>696</v>
      </c>
      <c r="F24" s="13">
        <v>-55</v>
      </c>
      <c r="G24" s="13">
        <v>7932</v>
      </c>
      <c r="H24" s="13">
        <v>-4627</v>
      </c>
      <c r="I24" s="13">
        <v>451</v>
      </c>
      <c r="J24" s="13">
        <v>-2126</v>
      </c>
      <c r="K24" s="13">
        <v>-1496</v>
      </c>
      <c r="L24" s="13">
        <v>-7798</v>
      </c>
      <c r="M24" s="13">
        <v>-5656</v>
      </c>
      <c r="N24" s="13">
        <v>-4742</v>
      </c>
      <c r="O24" s="13">
        <v>-8956</v>
      </c>
      <c r="P24" s="13">
        <v>341</v>
      </c>
      <c r="Q24" s="13">
        <v>-19013</v>
      </c>
      <c r="R24" s="13">
        <v>7002</v>
      </c>
      <c r="S24" s="13">
        <v>-22962</v>
      </c>
      <c r="T24" s="13">
        <v>-14194</v>
      </c>
      <c r="U24" s="13">
        <v>-81984</v>
      </c>
      <c r="V24" s="13">
        <v>-112138</v>
      </c>
      <c r="W24" s="13">
        <v>-4872</v>
      </c>
      <c r="X24" s="13">
        <v>-9964</v>
      </c>
      <c r="Y24" s="13">
        <v>-14836</v>
      </c>
      <c r="Z24" s="13">
        <f t="shared" si="0"/>
        <v>-49761</v>
      </c>
      <c r="AA24" s="13">
        <v>-64597</v>
      </c>
      <c r="AB24" s="13">
        <v>-6492</v>
      </c>
      <c r="AC24" s="13">
        <v>-71089</v>
      </c>
      <c r="AD24" s="13">
        <v>89370</v>
      </c>
      <c r="AE24" s="13">
        <v>76811</v>
      </c>
      <c r="AF24" s="13">
        <v>166181</v>
      </c>
      <c r="AG24" s="13">
        <v>-630</v>
      </c>
      <c r="AH24" s="13">
        <v>165551</v>
      </c>
      <c r="AI24" s="13">
        <v>0</v>
      </c>
      <c r="AJ24" s="13">
        <v>0</v>
      </c>
    </row>
    <row r="25" spans="2:36">
      <c r="B25" s="45" t="s">
        <v>4</v>
      </c>
      <c r="C25" s="12"/>
      <c r="D25" s="45" t="s">
        <v>697</v>
      </c>
      <c r="F25" s="13">
        <v>406</v>
      </c>
      <c r="G25" s="13">
        <v>-1045</v>
      </c>
      <c r="H25" s="13">
        <v>-5439</v>
      </c>
      <c r="I25" s="13">
        <v>-112</v>
      </c>
      <c r="J25" s="13">
        <v>1103</v>
      </c>
      <c r="K25" s="13">
        <v>-7188</v>
      </c>
      <c r="L25" s="13">
        <v>-11636</v>
      </c>
      <c r="M25" s="13">
        <v>-1572</v>
      </c>
      <c r="N25" s="13">
        <v>8025</v>
      </c>
      <c r="O25" s="13">
        <v>-835</v>
      </c>
      <c r="P25" s="13">
        <v>-4703</v>
      </c>
      <c r="Q25" s="13">
        <v>915</v>
      </c>
      <c r="R25" s="13">
        <v>-8587</v>
      </c>
      <c r="S25" s="13">
        <v>-4859</v>
      </c>
      <c r="T25" s="13">
        <v>-31947</v>
      </c>
      <c r="U25" s="13">
        <v>30107</v>
      </c>
      <c r="V25" s="13">
        <v>-15286</v>
      </c>
      <c r="W25" s="13">
        <v>-14712</v>
      </c>
      <c r="X25" s="13">
        <v>11539</v>
      </c>
      <c r="Y25" s="13">
        <v>-3173</v>
      </c>
      <c r="Z25" s="13">
        <v>-3466</v>
      </c>
      <c r="AA25" s="13">
        <v>-6639</v>
      </c>
      <c r="AB25" s="13">
        <v>-3224</v>
      </c>
      <c r="AC25" s="13">
        <v>-9863</v>
      </c>
      <c r="AD25" s="13">
        <v>19880</v>
      </c>
      <c r="AE25" s="13">
        <v>-53264</v>
      </c>
      <c r="AF25" s="13">
        <v>-33384</v>
      </c>
      <c r="AG25" s="13">
        <v>-10056</v>
      </c>
      <c r="AH25" s="13">
        <v>-43440</v>
      </c>
      <c r="AI25" s="13">
        <v>0</v>
      </c>
      <c r="AJ25" s="13">
        <v>0</v>
      </c>
    </row>
    <row r="26" spans="2:36">
      <c r="C26" s="12"/>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v>0</v>
      </c>
      <c r="AF26" s="13">
        <v>0</v>
      </c>
      <c r="AG26" s="13">
        <v>0</v>
      </c>
      <c r="AH26" s="13">
        <v>0</v>
      </c>
      <c r="AI26" s="13">
        <v>0</v>
      </c>
      <c r="AJ26" s="13">
        <v>0</v>
      </c>
    </row>
    <row r="27" spans="2:36">
      <c r="B27" s="7" t="s">
        <v>59</v>
      </c>
      <c r="C27" s="12"/>
      <c r="D27" s="7" t="s">
        <v>754</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v>0</v>
      </c>
      <c r="AF27" s="13">
        <v>0</v>
      </c>
      <c r="AG27" s="13">
        <v>0</v>
      </c>
      <c r="AH27" s="13">
        <v>0</v>
      </c>
      <c r="AI27" s="13">
        <v>0</v>
      </c>
      <c r="AJ27" s="13">
        <v>0</v>
      </c>
    </row>
    <row r="28" spans="2:36">
      <c r="B28" s="45" t="s">
        <v>11</v>
      </c>
      <c r="C28" s="12"/>
      <c r="D28" s="45" t="s">
        <v>702</v>
      </c>
      <c r="F28" s="13">
        <v>14697</v>
      </c>
      <c r="G28" s="13">
        <v>9975</v>
      </c>
      <c r="H28" s="13">
        <v>14945</v>
      </c>
      <c r="I28" s="13">
        <v>-24954</v>
      </c>
      <c r="J28" s="13">
        <v>19205</v>
      </c>
      <c r="K28" s="13">
        <v>28378</v>
      </c>
      <c r="L28" s="13">
        <v>37574</v>
      </c>
      <c r="M28" s="13">
        <v>5308</v>
      </c>
      <c r="N28" s="13">
        <v>-3589</v>
      </c>
      <c r="O28" s="13">
        <v>-16150</v>
      </c>
      <c r="P28" s="13">
        <v>33050</v>
      </c>
      <c r="Q28" s="13">
        <v>18619</v>
      </c>
      <c r="R28" s="13">
        <v>54875</v>
      </c>
      <c r="S28" s="13">
        <v>36453</v>
      </c>
      <c r="T28" s="13">
        <v>83032</v>
      </c>
      <c r="U28" s="13">
        <v>79084</v>
      </c>
      <c r="V28" s="13">
        <v>253444</v>
      </c>
      <c r="W28" s="13">
        <v>55055</v>
      </c>
      <c r="X28" s="13">
        <v>-43167</v>
      </c>
      <c r="Y28" s="13">
        <v>11888</v>
      </c>
      <c r="Z28" s="13">
        <f t="shared" si="0"/>
        <v>-4735</v>
      </c>
      <c r="AA28" s="13">
        <v>7153</v>
      </c>
      <c r="AB28" s="13">
        <v>14394</v>
      </c>
      <c r="AC28" s="13">
        <v>21547</v>
      </c>
      <c r="AD28" s="13">
        <v>-38262</v>
      </c>
      <c r="AE28" s="13">
        <v>17625</v>
      </c>
      <c r="AF28" s="13">
        <v>-20637</v>
      </c>
      <c r="AG28" s="13">
        <v>25755</v>
      </c>
      <c r="AH28" s="13">
        <v>5118</v>
      </c>
      <c r="AI28" s="13">
        <v>0</v>
      </c>
      <c r="AJ28" s="13">
        <v>0</v>
      </c>
    </row>
    <row r="29" spans="2:36">
      <c r="B29" s="45" t="s">
        <v>12</v>
      </c>
      <c r="C29" s="12"/>
      <c r="D29" s="45" t="s">
        <v>703</v>
      </c>
      <c r="F29" s="13">
        <v>4000</v>
      </c>
      <c r="G29" s="13">
        <v>2697</v>
      </c>
      <c r="H29" s="13">
        <v>1208</v>
      </c>
      <c r="I29" s="13">
        <v>7006</v>
      </c>
      <c r="J29" s="13">
        <v>-10189</v>
      </c>
      <c r="K29" s="13">
        <v>4201</v>
      </c>
      <c r="L29" s="13">
        <v>2226</v>
      </c>
      <c r="M29" s="13">
        <v>3700</v>
      </c>
      <c r="N29" s="13">
        <v>3263</v>
      </c>
      <c r="O29" s="13">
        <v>5374</v>
      </c>
      <c r="P29" s="13">
        <v>-12291</v>
      </c>
      <c r="Q29" s="13">
        <v>46</v>
      </c>
      <c r="R29" s="13">
        <v>11312</v>
      </c>
      <c r="S29" s="13">
        <v>-3463</v>
      </c>
      <c r="T29" s="13">
        <v>12768</v>
      </c>
      <c r="U29" s="13">
        <v>9668</v>
      </c>
      <c r="V29" s="13">
        <v>30285</v>
      </c>
      <c r="W29" s="13">
        <v>7519</v>
      </c>
      <c r="X29" s="13">
        <v>-5858</v>
      </c>
      <c r="Y29" s="13">
        <v>1661</v>
      </c>
      <c r="Z29" s="13">
        <f t="shared" si="0"/>
        <v>18325</v>
      </c>
      <c r="AA29" s="13">
        <v>19986</v>
      </c>
      <c r="AB29" s="13">
        <v>6357</v>
      </c>
      <c r="AC29" s="13">
        <v>26343</v>
      </c>
      <c r="AD29" s="13">
        <v>-7152</v>
      </c>
      <c r="AE29" s="13">
        <v>5886</v>
      </c>
      <c r="AF29" s="13">
        <v>-1266</v>
      </c>
      <c r="AG29" s="13">
        <v>17536</v>
      </c>
      <c r="AH29" s="13">
        <v>16270</v>
      </c>
      <c r="AI29" s="13">
        <v>0</v>
      </c>
      <c r="AJ29" s="13">
        <v>0</v>
      </c>
    </row>
    <row r="30" spans="2:36">
      <c r="B30" s="45" t="s">
        <v>60</v>
      </c>
      <c r="C30" s="12"/>
      <c r="D30" s="45" t="s">
        <v>755</v>
      </c>
      <c r="F30" s="13">
        <v>-11860</v>
      </c>
      <c r="G30" s="13">
        <v>-4708</v>
      </c>
      <c r="H30" s="13">
        <v>5199</v>
      </c>
      <c r="I30" s="13">
        <v>-9294</v>
      </c>
      <c r="J30" s="13">
        <v>-5188</v>
      </c>
      <c r="K30" s="13">
        <v>1547</v>
      </c>
      <c r="L30" s="13">
        <v>-7736</v>
      </c>
      <c r="M30" s="13">
        <v>10045</v>
      </c>
      <c r="N30" s="13">
        <v>1812</v>
      </c>
      <c r="O30" s="13">
        <v>2214</v>
      </c>
      <c r="P30" s="13">
        <v>6336</v>
      </c>
      <c r="Q30" s="13">
        <v>20407</v>
      </c>
      <c r="R30" s="13">
        <v>36218</v>
      </c>
      <c r="S30" s="13">
        <v>19205</v>
      </c>
      <c r="T30" s="13">
        <v>7055</v>
      </c>
      <c r="U30" s="13">
        <v>81518</v>
      </c>
      <c r="V30" s="13">
        <v>143996</v>
      </c>
      <c r="W30" s="13">
        <v>-20559</v>
      </c>
      <c r="X30" s="13">
        <v>-2074</v>
      </c>
      <c r="Y30" s="13">
        <v>-22633</v>
      </c>
      <c r="Z30" s="13">
        <f t="shared" si="0"/>
        <v>17688</v>
      </c>
      <c r="AA30" s="13">
        <v>-4945</v>
      </c>
      <c r="AB30" s="13">
        <v>7156</v>
      </c>
      <c r="AC30" s="13">
        <v>2211</v>
      </c>
      <c r="AD30" s="13">
        <v>6434</v>
      </c>
      <c r="AE30" s="13">
        <v>-6856</v>
      </c>
      <c r="AF30" s="13">
        <v>-422</v>
      </c>
      <c r="AG30" s="13">
        <v>20811</v>
      </c>
      <c r="AH30" s="13">
        <v>20389</v>
      </c>
      <c r="AI30" s="13">
        <v>0</v>
      </c>
      <c r="AJ30" s="13">
        <v>0</v>
      </c>
    </row>
    <row r="31" spans="2:36">
      <c r="B31" s="45" t="s">
        <v>18</v>
      </c>
      <c r="C31" s="12"/>
      <c r="D31" s="45" t="s">
        <v>707</v>
      </c>
      <c r="F31" s="13">
        <f>-25-116</f>
        <v>-141</v>
      </c>
      <c r="G31" s="13">
        <v>593</v>
      </c>
      <c r="H31" s="13">
        <v>557</v>
      </c>
      <c r="I31" s="13">
        <v>-929</v>
      </c>
      <c r="J31" s="13">
        <v>268</v>
      </c>
      <c r="K31" s="13">
        <v>884</v>
      </c>
      <c r="L31" s="13">
        <v>780</v>
      </c>
      <c r="M31" s="13">
        <v>-703</v>
      </c>
      <c r="N31" s="13">
        <v>-391</v>
      </c>
      <c r="O31" s="13">
        <v>4942</v>
      </c>
      <c r="P31" s="13">
        <v>12379</v>
      </c>
      <c r="Q31" s="13">
        <v>16227</v>
      </c>
      <c r="R31" s="13">
        <v>324</v>
      </c>
      <c r="S31" s="13">
        <v>12505</v>
      </c>
      <c r="T31" s="13">
        <v>23449</v>
      </c>
      <c r="U31" s="13">
        <v>-54376</v>
      </c>
      <c r="V31" s="13">
        <v>-18098</v>
      </c>
      <c r="W31" s="13">
        <v>-1577</v>
      </c>
      <c r="X31" s="13">
        <v>4470</v>
      </c>
      <c r="Y31" s="13">
        <v>2893</v>
      </c>
      <c r="Z31" s="13">
        <f t="shared" si="0"/>
        <v>5703</v>
      </c>
      <c r="AA31" s="13">
        <v>8596</v>
      </c>
      <c r="AB31" s="13">
        <v>12428</v>
      </c>
      <c r="AC31" s="13">
        <v>21024</v>
      </c>
      <c r="AD31" s="13">
        <v>-26547</v>
      </c>
      <c r="AE31" s="13">
        <v>17006</v>
      </c>
      <c r="AF31" s="13">
        <v>-9541</v>
      </c>
      <c r="AG31" s="13">
        <v>-4022</v>
      </c>
      <c r="AH31" s="13">
        <v>-13563</v>
      </c>
      <c r="AI31" s="13">
        <v>0</v>
      </c>
      <c r="AJ31" s="13">
        <v>0</v>
      </c>
    </row>
    <row r="32" spans="2:36" ht="6.75" customHeight="1">
      <c r="C32" s="12"/>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v>0</v>
      </c>
      <c r="AF32" s="13">
        <v>0</v>
      </c>
      <c r="AG32" s="13">
        <v>0</v>
      </c>
      <c r="AH32" s="13">
        <v>0</v>
      </c>
      <c r="AI32" s="13">
        <v>0</v>
      </c>
      <c r="AJ32" s="13">
        <v>0</v>
      </c>
    </row>
    <row r="33" spans="2:36">
      <c r="B33" s="45" t="s">
        <v>1109</v>
      </c>
      <c r="C33" s="12"/>
      <c r="D33" s="45" t="s">
        <v>756</v>
      </c>
      <c r="F33" s="13">
        <v>0</v>
      </c>
      <c r="G33" s="13">
        <v>0</v>
      </c>
      <c r="H33" s="13">
        <v>0</v>
      </c>
      <c r="I33" s="13">
        <v>0</v>
      </c>
      <c r="J33" s="13">
        <v>0</v>
      </c>
      <c r="K33" s="13">
        <v>0</v>
      </c>
      <c r="L33" s="13">
        <v>0</v>
      </c>
      <c r="M33" s="13">
        <v>0</v>
      </c>
      <c r="N33" s="13">
        <v>0</v>
      </c>
      <c r="O33" s="13">
        <v>-1435</v>
      </c>
      <c r="P33" s="13">
        <v>-87</v>
      </c>
      <c r="Q33" s="13">
        <v>-1522</v>
      </c>
      <c r="R33" s="13">
        <v>-35</v>
      </c>
      <c r="S33" s="13">
        <v>0</v>
      </c>
      <c r="T33" s="13">
        <v>0</v>
      </c>
      <c r="U33" s="13">
        <v>0</v>
      </c>
      <c r="V33" s="13">
        <v>-35</v>
      </c>
      <c r="W33" s="13">
        <v>0</v>
      </c>
      <c r="X33" s="13">
        <v>0</v>
      </c>
      <c r="Y33" s="13">
        <v>0</v>
      </c>
      <c r="Z33" s="13">
        <f t="shared" si="0"/>
        <v>0</v>
      </c>
      <c r="AA33" s="13">
        <v>0</v>
      </c>
      <c r="AB33" s="13">
        <v>0</v>
      </c>
      <c r="AC33" s="13">
        <v>0</v>
      </c>
      <c r="AD33" s="13">
        <v>0</v>
      </c>
      <c r="AE33" s="13">
        <v>0</v>
      </c>
      <c r="AF33" s="13">
        <v>0</v>
      </c>
      <c r="AG33" s="13">
        <v>0</v>
      </c>
      <c r="AH33" s="13">
        <v>0</v>
      </c>
      <c r="AI33" s="13">
        <v>0</v>
      </c>
      <c r="AJ33" s="13">
        <v>0</v>
      </c>
    </row>
    <row r="34" spans="2:36">
      <c r="B34" s="45" t="s">
        <v>1212</v>
      </c>
      <c r="C34" s="12"/>
      <c r="D34" s="45" t="s">
        <v>757</v>
      </c>
      <c r="F34" s="13">
        <v>0</v>
      </c>
      <c r="G34" s="13">
        <v>0</v>
      </c>
      <c r="H34" s="13">
        <v>0</v>
      </c>
      <c r="I34" s="13">
        <v>0</v>
      </c>
      <c r="J34" s="13">
        <v>8574</v>
      </c>
      <c r="K34" s="13">
        <v>-8574</v>
      </c>
      <c r="L34" s="13">
        <v>0</v>
      </c>
      <c r="M34" s="13">
        <v>0</v>
      </c>
      <c r="N34" s="13">
        <v>0</v>
      </c>
      <c r="O34" s="13">
        <v>-56841</v>
      </c>
      <c r="P34" s="13">
        <v>-69939</v>
      </c>
      <c r="Q34" s="13">
        <v>-126780</v>
      </c>
      <c r="R34" s="13">
        <v>-85230</v>
      </c>
      <c r="S34" s="13">
        <v>-130361</v>
      </c>
      <c r="T34" s="13">
        <v>-127316</v>
      </c>
      <c r="U34" s="13">
        <v>-98724</v>
      </c>
      <c r="V34" s="13">
        <v>-441631</v>
      </c>
      <c r="W34" s="13">
        <v>-71468</v>
      </c>
      <c r="X34" s="13">
        <v>-60286</v>
      </c>
      <c r="Y34" s="13">
        <v>-131754</v>
      </c>
      <c r="Z34" s="13">
        <f t="shared" si="0"/>
        <v>-70610</v>
      </c>
      <c r="AA34" s="13">
        <v>-202364</v>
      </c>
      <c r="AB34" s="13">
        <v>-65845</v>
      </c>
      <c r="AC34" s="13">
        <v>-268209</v>
      </c>
      <c r="AD34" s="13">
        <v>-59170</v>
      </c>
      <c r="AE34" s="13">
        <v>-32400</v>
      </c>
      <c r="AF34" s="13">
        <v>-91570</v>
      </c>
      <c r="AG34" s="13">
        <v>-30734</v>
      </c>
      <c r="AH34" s="13">
        <v>-122304</v>
      </c>
      <c r="AI34" s="13">
        <v>0</v>
      </c>
      <c r="AJ34" s="13">
        <v>0</v>
      </c>
    </row>
    <row r="35" spans="2:36">
      <c r="B35" s="45" t="s">
        <v>61</v>
      </c>
      <c r="C35" s="12"/>
      <c r="D35" s="45" t="s">
        <v>758</v>
      </c>
      <c r="F35" s="13">
        <v>-682</v>
      </c>
      <c r="G35" s="13">
        <v>-1658</v>
      </c>
      <c r="H35" s="13">
        <v>-9985</v>
      </c>
      <c r="I35" s="13">
        <v>-23669</v>
      </c>
      <c r="J35" s="13">
        <v>-18898</v>
      </c>
      <c r="K35" s="13">
        <v>-19456</v>
      </c>
      <c r="L35" s="13">
        <v>-72008</v>
      </c>
      <c r="M35" s="13">
        <v>-15767</v>
      </c>
      <c r="N35" s="13">
        <v>-16912</v>
      </c>
      <c r="O35" s="13">
        <v>-13902</v>
      </c>
      <c r="P35" s="13">
        <v>-13545</v>
      </c>
      <c r="Q35" s="13">
        <v>-60126</v>
      </c>
      <c r="R35" s="13">
        <v>-12194</v>
      </c>
      <c r="S35" s="13">
        <v>-10159</v>
      </c>
      <c r="T35" s="13">
        <v>-20259</v>
      </c>
      <c r="U35" s="13">
        <v>-3499</v>
      </c>
      <c r="V35" s="13">
        <v>-46111</v>
      </c>
      <c r="W35" s="13">
        <v>-23951</v>
      </c>
      <c r="X35" s="13">
        <v>-258</v>
      </c>
      <c r="Y35" s="13">
        <v>-24209</v>
      </c>
      <c r="Z35" s="13">
        <v>-29526</v>
      </c>
      <c r="AA35" s="13">
        <v>-53735</v>
      </c>
      <c r="AB35" s="13">
        <v>-6704</v>
      </c>
      <c r="AC35" s="13">
        <v>-60439</v>
      </c>
      <c r="AD35" s="13">
        <v>-37358</v>
      </c>
      <c r="AE35" s="13">
        <v>-8534</v>
      </c>
      <c r="AF35" s="13">
        <v>-45892</v>
      </c>
      <c r="AG35" s="13">
        <v>-39196</v>
      </c>
      <c r="AH35" s="13">
        <v>-85088</v>
      </c>
      <c r="AI35" s="13">
        <v>0</v>
      </c>
      <c r="AJ35" s="13">
        <v>0</v>
      </c>
    </row>
    <row r="36" spans="2:36">
      <c r="B36" s="45" t="s">
        <v>62</v>
      </c>
      <c r="C36" s="12"/>
      <c r="D36" s="45" t="s">
        <v>759</v>
      </c>
      <c r="F36" s="13">
        <v>-552</v>
      </c>
      <c r="G36" s="13">
        <v>0</v>
      </c>
      <c r="H36" s="13">
        <v>-1284</v>
      </c>
      <c r="I36" s="13">
        <v>-140</v>
      </c>
      <c r="J36" s="13">
        <v>0</v>
      </c>
      <c r="K36" s="13">
        <v>0</v>
      </c>
      <c r="L36" s="13">
        <v>-1424</v>
      </c>
      <c r="M36" s="13">
        <v>-135</v>
      </c>
      <c r="N36" s="13">
        <v>-380</v>
      </c>
      <c r="O36" s="13">
        <v>-18966</v>
      </c>
      <c r="P36" s="13">
        <v>-3346</v>
      </c>
      <c r="Q36" s="13">
        <v>-22827</v>
      </c>
      <c r="R36" s="13">
        <v>-29361</v>
      </c>
      <c r="S36" s="13">
        <v>-62782</v>
      </c>
      <c r="T36" s="13">
        <v>-64685</v>
      </c>
      <c r="U36" s="13">
        <v>-65485</v>
      </c>
      <c r="V36" s="13">
        <v>-222313</v>
      </c>
      <c r="W36" s="13">
        <v>-33826</v>
      </c>
      <c r="X36" s="13">
        <v>-29411</v>
      </c>
      <c r="Y36" s="13">
        <v>-63237</v>
      </c>
      <c r="Z36" s="13">
        <f t="shared" si="0"/>
        <v>-6134</v>
      </c>
      <c r="AA36" s="13">
        <v>-69371</v>
      </c>
      <c r="AB36" s="13">
        <v>-4007</v>
      </c>
      <c r="AC36" s="13">
        <v>-73378</v>
      </c>
      <c r="AD36" s="13">
        <v>-3517</v>
      </c>
      <c r="AE36" s="13">
        <v>-10801</v>
      </c>
      <c r="AF36" s="13">
        <v>-14318</v>
      </c>
      <c r="AG36" s="13">
        <v>-1874</v>
      </c>
      <c r="AH36" s="13">
        <v>-16192</v>
      </c>
      <c r="AI36" s="13">
        <v>0</v>
      </c>
      <c r="AJ36" s="13">
        <v>0</v>
      </c>
    </row>
    <row r="37" spans="2:36" ht="15.75" thickBot="1">
      <c r="B37" s="14"/>
      <c r="C37" s="15"/>
      <c r="D37" s="14"/>
      <c r="E37" s="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row>
    <row r="38" spans="2:36" ht="13.5" thickBot="1">
      <c r="B38" s="28" t="s">
        <v>925</v>
      </c>
      <c r="C38" s="26"/>
      <c r="D38" s="28" t="s">
        <v>760</v>
      </c>
      <c r="E38" s="27"/>
      <c r="F38" s="40">
        <v>151764</v>
      </c>
      <c r="G38" s="40">
        <v>139550</v>
      </c>
      <c r="H38" s="40">
        <v>83302</v>
      </c>
      <c r="I38" s="40">
        <v>94118</v>
      </c>
      <c r="J38" s="40">
        <v>136672</v>
      </c>
      <c r="K38" s="40">
        <v>142007.00000000003</v>
      </c>
      <c r="L38" s="40">
        <v>456099</v>
      </c>
      <c r="M38" s="40">
        <v>137658.49281999998</v>
      </c>
      <c r="N38" s="40">
        <v>120587.50718000002</v>
      </c>
      <c r="O38" s="40">
        <v>134361</v>
      </c>
      <c r="P38" s="40">
        <v>246292</v>
      </c>
      <c r="Q38" s="40">
        <v>638899</v>
      </c>
      <c r="R38" s="40">
        <v>233574</v>
      </c>
      <c r="S38" s="40">
        <f t="shared" ref="S38:AA38" si="1">SUM(S8:S36)</f>
        <v>384982</v>
      </c>
      <c r="T38" s="40">
        <f t="shared" si="1"/>
        <v>476427</v>
      </c>
      <c r="U38" s="40">
        <f t="shared" si="1"/>
        <v>411167</v>
      </c>
      <c r="V38" s="40">
        <f t="shared" si="1"/>
        <v>1506150</v>
      </c>
      <c r="W38" s="40">
        <f t="shared" si="1"/>
        <v>398033</v>
      </c>
      <c r="X38" s="40">
        <f t="shared" si="1"/>
        <v>322324</v>
      </c>
      <c r="Y38" s="40">
        <f t="shared" si="1"/>
        <v>720357</v>
      </c>
      <c r="Z38" s="40">
        <f t="shared" si="1"/>
        <v>363262</v>
      </c>
      <c r="AA38" s="40">
        <f t="shared" si="1"/>
        <v>1083619</v>
      </c>
      <c r="AB38" s="40">
        <v>308187</v>
      </c>
      <c r="AC38" s="40">
        <v>1391806</v>
      </c>
      <c r="AD38" s="40">
        <f>SUM(AD8:AD36)</f>
        <v>465986</v>
      </c>
      <c r="AE38" s="40">
        <f>SUM(AE8:AE36)</f>
        <v>624414</v>
      </c>
      <c r="AF38" s="40">
        <f>SUM(AF8:AF36)</f>
        <v>1090400</v>
      </c>
      <c r="AG38" s="40">
        <f t="shared" ref="AG38:AJ38" si="2">SUM(AG8:AG36)</f>
        <v>521194</v>
      </c>
      <c r="AH38" s="40">
        <f t="shared" si="2"/>
        <v>1611594</v>
      </c>
      <c r="AI38" s="40">
        <f t="shared" si="2"/>
        <v>0</v>
      </c>
      <c r="AJ38" s="40">
        <f t="shared" si="2"/>
        <v>0</v>
      </c>
    </row>
    <row r="39" spans="2:36">
      <c r="B39" s="10"/>
      <c r="C39" s="12"/>
      <c r="D39" s="10"/>
      <c r="E39" s="1"/>
    </row>
    <row r="40" spans="2:36" ht="15">
      <c r="B40" s="39" t="s">
        <v>66</v>
      </c>
      <c r="C40" s="32"/>
      <c r="D40" s="39" t="s">
        <v>761</v>
      </c>
      <c r="E40" s="29"/>
      <c r="F40" s="32"/>
      <c r="G40" s="32"/>
      <c r="H40" s="32"/>
      <c r="I40" s="32"/>
      <c r="J40" s="32"/>
      <c r="K40" s="32"/>
      <c r="L40" s="32"/>
      <c r="M40" s="32"/>
      <c r="N40" s="32"/>
      <c r="O40" s="32"/>
      <c r="P40" s="32"/>
      <c r="Q40" s="32"/>
      <c r="R40" s="32"/>
      <c r="S40" s="32"/>
      <c r="T40" s="32"/>
      <c r="U40" s="32"/>
      <c r="V40" s="181"/>
      <c r="W40" s="32"/>
      <c r="X40" s="32"/>
      <c r="Y40" s="32"/>
      <c r="Z40" s="32"/>
      <c r="AA40" s="32"/>
      <c r="AB40" s="32"/>
      <c r="AC40" s="32"/>
      <c r="AD40" s="32"/>
      <c r="AE40" s="32"/>
      <c r="AF40" s="32"/>
      <c r="AG40" s="32"/>
      <c r="AH40" s="32"/>
      <c r="AI40" s="32"/>
      <c r="AJ40" s="32"/>
    </row>
    <row r="41" spans="2:36" ht="6.75" customHeight="1">
      <c r="C41" s="12"/>
      <c r="F41" s="6"/>
      <c r="G41" s="6"/>
      <c r="H41" s="6"/>
      <c r="I41" s="6"/>
      <c r="J41" s="6"/>
      <c r="K41" s="6"/>
      <c r="L41" s="6"/>
      <c r="M41" s="6"/>
      <c r="N41" s="6"/>
      <c r="O41" s="6"/>
      <c r="P41" s="6"/>
      <c r="Q41" s="6"/>
      <c r="R41" s="6"/>
      <c r="S41" s="6"/>
      <c r="T41" s="6"/>
      <c r="U41" s="6"/>
      <c r="V41" s="6"/>
      <c r="W41" s="6"/>
      <c r="X41" s="6"/>
      <c r="Y41" s="6"/>
      <c r="Z41" s="251"/>
      <c r="AA41" s="6"/>
      <c r="AB41" s="6"/>
      <c r="AC41" s="6"/>
      <c r="AD41" s="6"/>
      <c r="AE41" s="6"/>
      <c r="AF41" s="6"/>
      <c r="AG41" s="6"/>
      <c r="AH41" s="6"/>
      <c r="AI41" s="6"/>
      <c r="AJ41" s="6"/>
    </row>
    <row r="42" spans="2:36">
      <c r="B42" s="45" t="s">
        <v>986</v>
      </c>
      <c r="C42" s="12"/>
      <c r="D42" s="45" t="s">
        <v>1043</v>
      </c>
      <c r="F42" s="50">
        <v>549</v>
      </c>
      <c r="G42" s="50">
        <v>-6905</v>
      </c>
      <c r="H42" s="13">
        <v>-56634</v>
      </c>
      <c r="I42" s="13">
        <v>-73957</v>
      </c>
      <c r="J42" s="13">
        <v>-16673</v>
      </c>
      <c r="K42" s="13">
        <v>22435</v>
      </c>
      <c r="L42" s="50">
        <v>-124829</v>
      </c>
      <c r="M42" s="50">
        <v>2225</v>
      </c>
      <c r="N42" s="50">
        <v>-872773</v>
      </c>
      <c r="O42" s="50">
        <v>207629</v>
      </c>
      <c r="P42" s="13">
        <v>177047</v>
      </c>
      <c r="Q42" s="13">
        <v>-485872</v>
      </c>
      <c r="R42" s="13">
        <v>-20091</v>
      </c>
      <c r="S42" s="13">
        <v>-828337</v>
      </c>
      <c r="T42" s="13">
        <v>142031</v>
      </c>
      <c r="U42" s="13">
        <v>134920</v>
      </c>
      <c r="V42" s="13">
        <v>-571477</v>
      </c>
      <c r="W42" s="13">
        <v>502207</v>
      </c>
      <c r="X42" s="13">
        <v>25767</v>
      </c>
      <c r="Y42" s="13">
        <v>527974</v>
      </c>
      <c r="Z42" s="13">
        <f>AA42-Y42</f>
        <v>79527</v>
      </c>
      <c r="AA42" s="13">
        <v>607501</v>
      </c>
      <c r="AB42" s="13">
        <v>370032</v>
      </c>
      <c r="AC42" s="13">
        <v>977533</v>
      </c>
      <c r="AD42" s="13">
        <v>-63941</v>
      </c>
      <c r="AE42" s="13">
        <v>-796242</v>
      </c>
      <c r="AF42" s="13">
        <v>-860183</v>
      </c>
      <c r="AG42" s="13">
        <v>129235</v>
      </c>
      <c r="AH42" s="13">
        <v>-730948</v>
      </c>
      <c r="AI42" s="13">
        <v>0</v>
      </c>
      <c r="AJ42" s="13">
        <v>0</v>
      </c>
    </row>
    <row r="43" spans="2:36">
      <c r="B43" s="45" t="s">
        <v>941</v>
      </c>
      <c r="C43" s="12"/>
      <c r="D43" s="45" t="s">
        <v>1042</v>
      </c>
      <c r="F43" s="13">
        <v>0</v>
      </c>
      <c r="G43" s="13">
        <v>0</v>
      </c>
      <c r="H43" s="13">
        <v>0</v>
      </c>
      <c r="I43" s="13">
        <v>0</v>
      </c>
      <c r="J43" s="13">
        <v>0</v>
      </c>
      <c r="K43" s="13">
        <v>0</v>
      </c>
      <c r="L43" s="13">
        <v>0</v>
      </c>
      <c r="M43" s="13">
        <v>0</v>
      </c>
      <c r="N43" s="13">
        <v>0</v>
      </c>
      <c r="O43" s="13">
        <v>0</v>
      </c>
      <c r="P43" s="13">
        <v>0</v>
      </c>
      <c r="Q43" s="13">
        <v>0</v>
      </c>
      <c r="R43" s="13">
        <v>0</v>
      </c>
      <c r="S43" s="13">
        <v>0</v>
      </c>
      <c r="T43" s="13">
        <v>0</v>
      </c>
      <c r="U43" s="13">
        <v>0</v>
      </c>
      <c r="V43" s="13">
        <v>0</v>
      </c>
      <c r="W43" s="13">
        <v>-472255</v>
      </c>
      <c r="X43" s="13">
        <v>0</v>
      </c>
      <c r="Y43" s="13">
        <v>-472255</v>
      </c>
      <c r="Z43" s="13">
        <f>AA43-Y43</f>
        <v>0</v>
      </c>
      <c r="AA43" s="13">
        <v>-472255</v>
      </c>
      <c r="AB43" s="13">
        <v>0</v>
      </c>
      <c r="AC43" s="13">
        <v>-472255</v>
      </c>
      <c r="AD43" s="13">
        <v>0</v>
      </c>
      <c r="AE43" s="13">
        <v>0</v>
      </c>
      <c r="AF43" s="13">
        <v>0</v>
      </c>
      <c r="AG43" s="13">
        <v>0</v>
      </c>
      <c r="AH43" s="13">
        <v>0</v>
      </c>
      <c r="AI43" s="13">
        <v>0</v>
      </c>
      <c r="AJ43" s="13">
        <v>0</v>
      </c>
    </row>
    <row r="44" spans="2:36">
      <c r="B44" s="45" t="s">
        <v>883</v>
      </c>
      <c r="C44" s="12"/>
      <c r="D44" s="45" t="s">
        <v>884</v>
      </c>
      <c r="F44" s="13">
        <f>-112663-472</f>
        <v>-113135</v>
      </c>
      <c r="G44" s="13">
        <f>-1332983-1266</f>
        <v>-1334249</v>
      </c>
      <c r="H44" s="50">
        <v>-50202</v>
      </c>
      <c r="I44" s="13">
        <v>-10608</v>
      </c>
      <c r="J44" s="13">
        <v>-55735</v>
      </c>
      <c r="K44" s="13">
        <v>-109451</v>
      </c>
      <c r="L44" s="13">
        <f>-225996-1559</f>
        <v>-227555</v>
      </c>
      <c r="M44" s="13">
        <v>-126003</v>
      </c>
      <c r="N44" s="13">
        <v>-60949</v>
      </c>
      <c r="O44" s="13">
        <v>-122793</v>
      </c>
      <c r="P44" s="13">
        <v>-522536</v>
      </c>
      <c r="Q44" s="13">
        <v>-832281</v>
      </c>
      <c r="R44" s="13">
        <f>-213439-972</f>
        <v>-214411</v>
      </c>
      <c r="S44" s="13">
        <f>-317145-368</f>
        <v>-317513</v>
      </c>
      <c r="T44" s="13">
        <f>-353861+1340</f>
        <v>-352521</v>
      </c>
      <c r="U44" s="13">
        <v>-343172</v>
      </c>
      <c r="V44" s="13">
        <v>-1227617</v>
      </c>
      <c r="W44" s="13">
        <v>-397155</v>
      </c>
      <c r="X44" s="13">
        <v>-325084</v>
      </c>
      <c r="Y44" s="13">
        <v>-722239</v>
      </c>
      <c r="Z44" s="13">
        <f>AA44-Y44</f>
        <v>-346625</v>
      </c>
      <c r="AA44" s="13">
        <v>-1068864</v>
      </c>
      <c r="AB44" s="13">
        <v>-297585</v>
      </c>
      <c r="AC44" s="13">
        <v>-1366449</v>
      </c>
      <c r="AD44" s="13">
        <v>-234663</v>
      </c>
      <c r="AE44" s="13">
        <v>-232611</v>
      </c>
      <c r="AF44" s="13">
        <v>-467274</v>
      </c>
      <c r="AG44" s="13">
        <v>-253470</v>
      </c>
      <c r="AH44" s="13">
        <v>-720744</v>
      </c>
      <c r="AI44" s="13">
        <v>0</v>
      </c>
      <c r="AJ44" s="13">
        <v>0</v>
      </c>
    </row>
    <row r="45" spans="2:36" ht="15.75" thickBot="1">
      <c r="B45" s="14"/>
      <c r="C45" s="15"/>
      <c r="D45" s="14"/>
      <c r="E45" s="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row>
    <row r="46" spans="2:36" ht="13.5" thickBot="1">
      <c r="B46" s="28" t="s">
        <v>926</v>
      </c>
      <c r="C46" s="26"/>
      <c r="D46" s="28" t="s">
        <v>853</v>
      </c>
      <c r="E46" s="27"/>
      <c r="F46" s="40">
        <v>-112586</v>
      </c>
      <c r="G46" s="40">
        <v>-1341154</v>
      </c>
      <c r="H46" s="40">
        <v>-107352</v>
      </c>
      <c r="I46" s="40">
        <v>-84309</v>
      </c>
      <c r="J46" s="40">
        <v>-73373</v>
      </c>
      <c r="K46" s="40">
        <v>-87350</v>
      </c>
      <c r="L46" s="40">
        <v>-352384</v>
      </c>
      <c r="M46" s="40">
        <v>-123780</v>
      </c>
      <c r="N46" s="40">
        <v>-933846</v>
      </c>
      <c r="O46" s="40">
        <v>84451</v>
      </c>
      <c r="P46" s="40">
        <v>-344978</v>
      </c>
      <c r="Q46" s="40">
        <v>-1318153</v>
      </c>
      <c r="R46" s="40">
        <v>-234502</v>
      </c>
      <c r="S46" s="40">
        <f t="shared" ref="S46:AA46" si="3">SUM(S42:S45)</f>
        <v>-1145850</v>
      </c>
      <c r="T46" s="40">
        <f t="shared" si="3"/>
        <v>-210490</v>
      </c>
      <c r="U46" s="40">
        <f t="shared" si="3"/>
        <v>-208252</v>
      </c>
      <c r="V46" s="40">
        <f t="shared" si="3"/>
        <v>-1799094</v>
      </c>
      <c r="W46" s="40">
        <f t="shared" si="3"/>
        <v>-367203</v>
      </c>
      <c r="X46" s="40">
        <f t="shared" si="3"/>
        <v>-299317</v>
      </c>
      <c r="Y46" s="40">
        <f t="shared" si="3"/>
        <v>-666520</v>
      </c>
      <c r="Z46" s="40">
        <f t="shared" si="3"/>
        <v>-267098</v>
      </c>
      <c r="AA46" s="40">
        <f t="shared" si="3"/>
        <v>-933618</v>
      </c>
      <c r="AB46" s="40">
        <v>72447</v>
      </c>
      <c r="AC46" s="40">
        <v>-861171</v>
      </c>
      <c r="AD46" s="40">
        <f>SUM(AD42:AD45)</f>
        <v>-298604</v>
      </c>
      <c r="AE46" s="40">
        <f>SUM(AE42:AE45)</f>
        <v>-1028853</v>
      </c>
      <c r="AF46" s="40">
        <f>SUM(AF42:AF45)</f>
        <v>-1327457</v>
      </c>
      <c r="AG46" s="40">
        <f t="shared" ref="AG46:AJ46" si="4">SUM(AG42:AG45)</f>
        <v>-124235</v>
      </c>
      <c r="AH46" s="40">
        <f t="shared" si="4"/>
        <v>-1451692</v>
      </c>
      <c r="AI46" s="40">
        <f t="shared" si="4"/>
        <v>0</v>
      </c>
      <c r="AJ46" s="40">
        <f t="shared" si="4"/>
        <v>0</v>
      </c>
    </row>
    <row r="47" spans="2:36">
      <c r="B47" s="45"/>
      <c r="C47" s="12"/>
      <c r="D47" s="45"/>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row>
    <row r="48" spans="2:36" ht="15">
      <c r="B48" s="39" t="s">
        <v>67</v>
      </c>
      <c r="C48" s="32"/>
      <c r="D48" s="39" t="s">
        <v>762</v>
      </c>
      <c r="E48" s="29"/>
      <c r="F48" s="32"/>
      <c r="G48" s="32"/>
      <c r="H48" s="32"/>
      <c r="I48" s="32"/>
      <c r="J48" s="32"/>
      <c r="K48" s="32"/>
      <c r="L48" s="32"/>
      <c r="M48" s="32"/>
      <c r="N48" s="32"/>
      <c r="O48" s="32"/>
      <c r="P48" s="32"/>
      <c r="Q48" s="32"/>
      <c r="R48" s="32"/>
      <c r="S48" s="32"/>
      <c r="T48" s="32"/>
      <c r="U48" s="32"/>
      <c r="V48" s="181"/>
      <c r="W48" s="32"/>
      <c r="X48" s="32"/>
      <c r="Y48" s="32"/>
      <c r="Z48" s="32"/>
      <c r="AA48" s="32"/>
      <c r="AB48" s="32"/>
      <c r="AC48" s="32"/>
      <c r="AD48" s="32"/>
      <c r="AE48" s="32"/>
      <c r="AF48" s="32"/>
      <c r="AG48" s="32"/>
      <c r="AH48" s="32"/>
      <c r="AI48" s="32"/>
      <c r="AJ48" s="32"/>
    </row>
    <row r="49" spans="2:36" ht="6.75" customHeight="1">
      <c r="C49" s="12"/>
      <c r="F49" s="6"/>
      <c r="G49" s="6"/>
      <c r="H49" s="6"/>
      <c r="I49" s="6"/>
      <c r="J49" s="6"/>
      <c r="K49" s="6"/>
      <c r="L49" s="6"/>
      <c r="M49" s="6"/>
      <c r="N49" s="6"/>
      <c r="O49" s="6"/>
      <c r="P49" s="6"/>
      <c r="Q49" s="6"/>
      <c r="R49" s="6"/>
      <c r="S49" s="6"/>
      <c r="T49" s="6"/>
      <c r="U49" s="6"/>
      <c r="V49" s="6"/>
      <c r="W49" s="6"/>
      <c r="X49" s="6"/>
      <c r="Y49" s="6"/>
      <c r="Z49" s="6"/>
      <c r="AA49" s="13"/>
      <c r="AB49" s="13"/>
      <c r="AC49" s="13"/>
      <c r="AD49" s="6"/>
      <c r="AE49" s="6"/>
      <c r="AF49" s="6"/>
      <c r="AG49" s="6"/>
      <c r="AH49" s="6"/>
      <c r="AI49" s="6"/>
      <c r="AJ49" s="6"/>
    </row>
    <row r="50" spans="2:36" ht="14.25" customHeight="1">
      <c r="B50" s="328" t="s">
        <v>1286</v>
      </c>
      <c r="C50" s="12"/>
      <c r="F50" s="6"/>
      <c r="G50" s="6"/>
      <c r="H50" s="6"/>
      <c r="I50" s="6"/>
      <c r="J50" s="6"/>
      <c r="K50" s="6"/>
      <c r="L50" s="6"/>
      <c r="M50" s="6"/>
      <c r="N50" s="6"/>
      <c r="O50" s="6"/>
      <c r="P50" s="6"/>
      <c r="Q50" s="6"/>
      <c r="R50" s="6"/>
      <c r="S50" s="6"/>
      <c r="T50" s="6"/>
      <c r="U50" s="6"/>
      <c r="V50" s="6"/>
      <c r="W50" s="6"/>
      <c r="X50" s="6"/>
      <c r="Y50" s="6"/>
      <c r="Z50" s="6"/>
      <c r="AA50" s="13"/>
      <c r="AB50" s="13"/>
      <c r="AC50" s="13"/>
      <c r="AD50" s="6"/>
      <c r="AE50" s="13">
        <v>1097570</v>
      </c>
      <c r="AF50" s="13">
        <v>1097570</v>
      </c>
      <c r="AG50" s="13">
        <v>0</v>
      </c>
      <c r="AH50" s="13">
        <v>1097570</v>
      </c>
      <c r="AI50" s="13">
        <v>0</v>
      </c>
      <c r="AJ50" s="13">
        <v>0</v>
      </c>
    </row>
    <row r="51" spans="2:36" ht="14.25" customHeight="1">
      <c r="B51" s="45" t="s">
        <v>1110</v>
      </c>
      <c r="C51" s="12"/>
      <c r="D51" s="45" t="s">
        <v>1111</v>
      </c>
      <c r="F51" s="13">
        <v>0</v>
      </c>
      <c r="G51" s="13">
        <f>807160-52871</f>
        <v>754289</v>
      </c>
      <c r="H51" s="13">
        <v>0</v>
      </c>
      <c r="I51" s="13">
        <v>0</v>
      </c>
      <c r="J51" s="13">
        <v>0</v>
      </c>
      <c r="K51" s="13">
        <v>0</v>
      </c>
      <c r="L51" s="13">
        <v>0</v>
      </c>
      <c r="M51" s="13">
        <v>60479</v>
      </c>
      <c r="N51" s="13">
        <v>0</v>
      </c>
      <c r="O51" s="13">
        <v>0</v>
      </c>
      <c r="P51" s="13">
        <v>0</v>
      </c>
      <c r="Q51" s="13">
        <v>60479</v>
      </c>
      <c r="R51" s="13">
        <v>0</v>
      </c>
      <c r="S51" s="13">
        <v>0</v>
      </c>
      <c r="T51" s="13">
        <f>658438-14918</f>
        <v>643520</v>
      </c>
      <c r="U51" s="13">
        <v>0</v>
      </c>
      <c r="V51" s="13">
        <f>658438-14918</f>
        <v>643520</v>
      </c>
      <c r="W51" s="13">
        <v>0</v>
      </c>
      <c r="X51" s="13">
        <v>0</v>
      </c>
      <c r="Y51" s="13">
        <v>0</v>
      </c>
      <c r="Z51" s="13">
        <f t="shared" ref="Z51:Z59" si="5">AA51-Y51</f>
        <v>279030</v>
      </c>
      <c r="AA51" s="13">
        <v>279030</v>
      </c>
      <c r="AB51" s="13">
        <v>0</v>
      </c>
      <c r="AC51" s="13">
        <v>279030</v>
      </c>
      <c r="AD51" s="13">
        <v>0</v>
      </c>
      <c r="AE51" s="13">
        <v>0</v>
      </c>
      <c r="AF51" s="13">
        <v>0</v>
      </c>
      <c r="AG51" s="13">
        <v>0</v>
      </c>
      <c r="AH51" s="13">
        <v>0</v>
      </c>
      <c r="AI51" s="13">
        <v>0</v>
      </c>
      <c r="AJ51" s="13">
        <v>0</v>
      </c>
    </row>
    <row r="52" spans="2:36">
      <c r="B52" s="45" t="s">
        <v>63</v>
      </c>
      <c r="C52" s="12"/>
      <c r="D52" s="45" t="s">
        <v>763</v>
      </c>
      <c r="F52" s="13">
        <v>-1117</v>
      </c>
      <c r="G52" s="13">
        <v>-1393</v>
      </c>
      <c r="H52" s="13">
        <v>-349</v>
      </c>
      <c r="I52" s="13">
        <v>-601</v>
      </c>
      <c r="J52" s="13">
        <v>-66168</v>
      </c>
      <c r="K52" s="13">
        <v>-37467</v>
      </c>
      <c r="L52" s="13">
        <v>-104585</v>
      </c>
      <c r="M52" s="13">
        <v>-55548</v>
      </c>
      <c r="N52" s="13">
        <v>-67889</v>
      </c>
      <c r="O52" s="13">
        <v>-88333</v>
      </c>
      <c r="P52" s="13">
        <v>-71433</v>
      </c>
      <c r="Q52" s="13">
        <v>-283203</v>
      </c>
      <c r="R52" s="13">
        <v>-56931</v>
      </c>
      <c r="S52" s="13">
        <v>-63374</v>
      </c>
      <c r="T52" s="13">
        <v>-584039</v>
      </c>
      <c r="U52" s="13">
        <v>-331</v>
      </c>
      <c r="V52" s="13">
        <v>-704675</v>
      </c>
      <c r="W52" s="13">
        <v>-331</v>
      </c>
      <c r="X52" s="13">
        <v>0</v>
      </c>
      <c r="Y52" s="13">
        <v>-331</v>
      </c>
      <c r="Z52" s="13">
        <f t="shared" si="5"/>
        <v>0</v>
      </c>
      <c r="AA52" s="13">
        <v>-331</v>
      </c>
      <c r="AB52" s="13">
        <v>0</v>
      </c>
      <c r="AC52" s="13">
        <v>-331</v>
      </c>
      <c r="AD52" s="13">
        <v>-44594</v>
      </c>
      <c r="AE52" s="13">
        <v>0</v>
      </c>
      <c r="AF52" s="13">
        <v>-44594</v>
      </c>
      <c r="AG52" s="13">
        <v>-379595</v>
      </c>
      <c r="AH52" s="13">
        <v>-424189</v>
      </c>
      <c r="AI52" s="13">
        <v>0</v>
      </c>
      <c r="AJ52" s="13">
        <v>0</v>
      </c>
    </row>
    <row r="53" spans="2:36">
      <c r="B53" s="45" t="s">
        <v>1067</v>
      </c>
      <c r="C53" s="12"/>
      <c r="D53" s="45" t="s">
        <v>1044</v>
      </c>
      <c r="F53" s="13">
        <v>0</v>
      </c>
      <c r="G53" s="13">
        <v>0</v>
      </c>
      <c r="H53" s="13">
        <v>0</v>
      </c>
      <c r="I53" s="13">
        <v>0</v>
      </c>
      <c r="J53" s="13">
        <v>0</v>
      </c>
      <c r="K53" s="13">
        <v>0</v>
      </c>
      <c r="L53" s="13">
        <v>0</v>
      </c>
      <c r="M53" s="13">
        <v>0</v>
      </c>
      <c r="N53" s="13">
        <v>0</v>
      </c>
      <c r="O53" s="13">
        <v>0</v>
      </c>
      <c r="P53" s="13">
        <v>0</v>
      </c>
      <c r="Q53" s="13">
        <v>0</v>
      </c>
      <c r="R53" s="13">
        <v>0</v>
      </c>
      <c r="S53" s="13">
        <v>-40483</v>
      </c>
      <c r="T53" s="13">
        <v>-52545</v>
      </c>
      <c r="U53" s="13">
        <v>-180926</v>
      </c>
      <c r="V53" s="13">
        <v>-273954</v>
      </c>
      <c r="W53" s="13">
        <v>-175703</v>
      </c>
      <c r="X53" s="13">
        <v>0</v>
      </c>
      <c r="Y53" s="13">
        <v>-175703</v>
      </c>
      <c r="Z53" s="13">
        <f t="shared" si="5"/>
        <v>-377667</v>
      </c>
      <c r="AA53" s="13">
        <v>-553370</v>
      </c>
      <c r="AB53" s="13">
        <v>-98518</v>
      </c>
      <c r="AC53" s="13">
        <v>-651888</v>
      </c>
      <c r="AD53" s="13">
        <v>-7335</v>
      </c>
      <c r="AE53" s="13">
        <v>-137104</v>
      </c>
      <c r="AF53" s="13">
        <v>-144439</v>
      </c>
      <c r="AG53" s="13">
        <v>0</v>
      </c>
      <c r="AH53" s="13">
        <v>-144439</v>
      </c>
      <c r="AI53" s="13">
        <v>0</v>
      </c>
      <c r="AJ53" s="13">
        <v>0</v>
      </c>
    </row>
    <row r="54" spans="2:36">
      <c r="B54" s="45" t="s">
        <v>64</v>
      </c>
      <c r="C54" s="12"/>
      <c r="D54" s="45" t="s">
        <v>764</v>
      </c>
      <c r="F54" s="13">
        <v>0</v>
      </c>
      <c r="G54" s="13">
        <v>0</v>
      </c>
      <c r="H54" s="13">
        <v>0</v>
      </c>
      <c r="I54" s="13">
        <v>0</v>
      </c>
      <c r="J54" s="13">
        <v>0</v>
      </c>
      <c r="K54" s="13">
        <v>0</v>
      </c>
      <c r="L54" s="13">
        <v>0</v>
      </c>
      <c r="M54" s="13">
        <v>0</v>
      </c>
      <c r="N54" s="13">
        <v>5625</v>
      </c>
      <c r="O54" s="13">
        <v>778</v>
      </c>
      <c r="P54" s="13">
        <v>822</v>
      </c>
      <c r="Q54" s="13">
        <v>1600</v>
      </c>
      <c r="R54" s="13">
        <v>189</v>
      </c>
      <c r="S54" s="13">
        <v>333</v>
      </c>
      <c r="T54" s="13">
        <v>516</v>
      </c>
      <c r="U54" s="13">
        <v>3889</v>
      </c>
      <c r="V54" s="13">
        <v>4927</v>
      </c>
      <c r="W54" s="13">
        <v>672</v>
      </c>
      <c r="X54" s="13">
        <v>872</v>
      </c>
      <c r="Y54" s="13">
        <v>1544</v>
      </c>
      <c r="Z54" s="13">
        <f t="shared" si="5"/>
        <v>310</v>
      </c>
      <c r="AA54" s="13">
        <v>1854</v>
      </c>
      <c r="AB54" s="13">
        <v>490</v>
      </c>
      <c r="AC54" s="13">
        <v>2344</v>
      </c>
      <c r="AD54" s="13">
        <v>0</v>
      </c>
      <c r="AE54" s="13">
        <v>1006</v>
      </c>
      <c r="AF54" s="13">
        <v>1006</v>
      </c>
      <c r="AG54" s="13">
        <v>201</v>
      </c>
      <c r="AH54" s="13">
        <v>1207</v>
      </c>
      <c r="AI54" s="13">
        <v>0</v>
      </c>
      <c r="AJ54" s="13">
        <v>0</v>
      </c>
    </row>
    <row r="55" spans="2:36">
      <c r="B55" s="45" t="s">
        <v>985</v>
      </c>
      <c r="C55" s="12"/>
      <c r="D55" s="45" t="s">
        <v>1112</v>
      </c>
      <c r="F55" s="13">
        <v>179</v>
      </c>
      <c r="G55" s="13">
        <f>492368+304</f>
        <v>492672</v>
      </c>
      <c r="H55" s="13">
        <f>2664-304</f>
        <v>2360</v>
      </c>
      <c r="I55" s="13">
        <f>711+304</f>
        <v>1015</v>
      </c>
      <c r="J55" s="13">
        <v>1967</v>
      </c>
      <c r="K55" s="13">
        <v>-5342</v>
      </c>
      <c r="L55" s="13">
        <v>0</v>
      </c>
      <c r="M55" s="13">
        <v>0</v>
      </c>
      <c r="N55" s="13">
        <v>1187375</v>
      </c>
      <c r="O55" s="13">
        <v>0</v>
      </c>
      <c r="P55" s="13">
        <v>0</v>
      </c>
      <c r="Q55" s="13">
        <v>1187375</v>
      </c>
      <c r="R55" s="13">
        <v>0</v>
      </c>
      <c r="S55" s="13">
        <v>1034000</v>
      </c>
      <c r="T55" s="13">
        <v>0</v>
      </c>
      <c r="U55" s="13">
        <v>0</v>
      </c>
      <c r="V55" s="13">
        <v>1034000</v>
      </c>
      <c r="W55" s="13">
        <v>0</v>
      </c>
      <c r="X55" s="13">
        <v>259</v>
      </c>
      <c r="Y55" s="13">
        <v>259</v>
      </c>
      <c r="Z55" s="13">
        <f>AA55-Y55</f>
        <v>0</v>
      </c>
      <c r="AA55" s="13">
        <v>259</v>
      </c>
      <c r="AB55" s="13">
        <v>1</v>
      </c>
      <c r="AC55" s="13">
        <v>260</v>
      </c>
      <c r="AD55" s="13">
        <v>495</v>
      </c>
      <c r="AE55" s="13">
        <v>0</v>
      </c>
      <c r="AF55" s="13">
        <v>495</v>
      </c>
      <c r="AG55" s="13">
        <v>0</v>
      </c>
      <c r="AH55" s="13">
        <v>495</v>
      </c>
      <c r="AI55" s="13">
        <v>0</v>
      </c>
      <c r="AJ55" s="13">
        <v>0</v>
      </c>
    </row>
    <row r="56" spans="2:36">
      <c r="B56" s="45" t="s">
        <v>929</v>
      </c>
      <c r="C56" s="12"/>
      <c r="D56" s="45" t="s">
        <v>1113</v>
      </c>
      <c r="F56" s="13">
        <v>-35000</v>
      </c>
      <c r="G56" s="13">
        <v>0</v>
      </c>
      <c r="H56" s="13">
        <v>0</v>
      </c>
      <c r="I56" s="13">
        <v>0</v>
      </c>
      <c r="J56" s="13">
        <v>0</v>
      </c>
      <c r="K56" s="13">
        <v>0</v>
      </c>
      <c r="L56" s="13">
        <v>0</v>
      </c>
      <c r="M56" s="13">
        <v>0</v>
      </c>
      <c r="N56" s="13">
        <v>0</v>
      </c>
      <c r="O56" s="13">
        <v>0</v>
      </c>
      <c r="P56" s="13">
        <v>0</v>
      </c>
      <c r="Q56" s="13">
        <v>0</v>
      </c>
      <c r="R56" s="13">
        <v>0</v>
      </c>
      <c r="S56" s="13">
        <v>-39686</v>
      </c>
      <c r="T56" s="13">
        <v>-872</v>
      </c>
      <c r="U56" s="13">
        <v>-164751</v>
      </c>
      <c r="V56" s="13">
        <v>-205309</v>
      </c>
      <c r="W56" s="13">
        <v>0</v>
      </c>
      <c r="X56" s="13">
        <v>-132790</v>
      </c>
      <c r="Y56" s="13">
        <v>-132790</v>
      </c>
      <c r="Z56" s="13">
        <f t="shared" si="5"/>
        <v>0</v>
      </c>
      <c r="AA56" s="13">
        <v>-132790</v>
      </c>
      <c r="AB56" s="13">
        <v>-149153</v>
      </c>
      <c r="AC56" s="13">
        <v>-281943</v>
      </c>
      <c r="AD56" s="13">
        <v>0</v>
      </c>
      <c r="AE56" s="13">
        <v>-427357</v>
      </c>
      <c r="AF56" s="13">
        <v>-427357</v>
      </c>
      <c r="AG56" s="13">
        <v>-2</v>
      </c>
      <c r="AH56" s="13">
        <v>-427359</v>
      </c>
      <c r="AI56" s="13">
        <v>0</v>
      </c>
      <c r="AJ56" s="13">
        <v>0</v>
      </c>
    </row>
    <row r="57" spans="2:36">
      <c r="B57" s="45" t="s">
        <v>65</v>
      </c>
      <c r="C57" s="12"/>
      <c r="D57" s="45" t="s">
        <v>765</v>
      </c>
      <c r="F57" s="13">
        <v>-363</v>
      </c>
      <c r="G57" s="13">
        <v>-7726</v>
      </c>
      <c r="H57" s="13">
        <v>-2760</v>
      </c>
      <c r="I57" s="13">
        <v>-7075</v>
      </c>
      <c r="J57" s="13">
        <v>-8836</v>
      </c>
      <c r="K57" s="13">
        <v>-5723</v>
      </c>
      <c r="L57" s="13">
        <v>-24394</v>
      </c>
      <c r="M57" s="13">
        <v>-5625</v>
      </c>
      <c r="N57" s="13">
        <v>-11216</v>
      </c>
      <c r="O57" s="13">
        <v>-5098</v>
      </c>
      <c r="P57" s="13">
        <v>-4587</v>
      </c>
      <c r="Q57" s="13">
        <v>-20901</v>
      </c>
      <c r="R57" s="13">
        <v>-4438</v>
      </c>
      <c r="S57" s="13">
        <v>-3164</v>
      </c>
      <c r="T57" s="13">
        <v>-4169</v>
      </c>
      <c r="U57" s="13">
        <v>-4745</v>
      </c>
      <c r="V57" s="13">
        <v>-16516</v>
      </c>
      <c r="W57" s="13">
        <v>-6695</v>
      </c>
      <c r="X57" s="13">
        <v>-7134</v>
      </c>
      <c r="Y57" s="13">
        <v>-13829</v>
      </c>
      <c r="Z57" s="13">
        <f>AA57-Y57</f>
        <v>-9564</v>
      </c>
      <c r="AA57" s="13">
        <v>-23393</v>
      </c>
      <c r="AB57" s="13">
        <v>-14750</v>
      </c>
      <c r="AC57" s="13">
        <v>-38143</v>
      </c>
      <c r="AD57" s="13">
        <v>-10983</v>
      </c>
      <c r="AE57" s="13">
        <v>-9549</v>
      </c>
      <c r="AF57" s="13">
        <v>-20532</v>
      </c>
      <c r="AG57" s="13">
        <v>-5028</v>
      </c>
      <c r="AH57" s="13">
        <v>-25560</v>
      </c>
      <c r="AI57" s="13">
        <v>0</v>
      </c>
      <c r="AJ57" s="13">
        <v>0</v>
      </c>
    </row>
    <row r="58" spans="2:36">
      <c r="B58" s="45" t="s">
        <v>1114</v>
      </c>
      <c r="C58" s="12"/>
      <c r="D58" s="45" t="s">
        <v>1213</v>
      </c>
      <c r="F58" s="13">
        <v>0</v>
      </c>
      <c r="G58" s="13">
        <v>0</v>
      </c>
      <c r="H58" s="13">
        <v>0</v>
      </c>
      <c r="I58" s="13">
        <v>0</v>
      </c>
      <c r="J58" s="13">
        <v>0</v>
      </c>
      <c r="K58" s="13">
        <v>0</v>
      </c>
      <c r="L58" s="13">
        <v>0</v>
      </c>
      <c r="M58" s="13">
        <v>0</v>
      </c>
      <c r="N58" s="13">
        <v>0</v>
      </c>
      <c r="O58" s="13">
        <v>0</v>
      </c>
      <c r="P58" s="13">
        <v>0</v>
      </c>
      <c r="Q58" s="13">
        <v>0</v>
      </c>
      <c r="R58" s="13">
        <v>0</v>
      </c>
      <c r="S58" s="13">
        <v>-37413</v>
      </c>
      <c r="T58" s="13">
        <v>0</v>
      </c>
      <c r="U58" s="13">
        <v>0</v>
      </c>
      <c r="V58" s="13">
        <v>-37413</v>
      </c>
      <c r="W58" s="13">
        <v>0</v>
      </c>
      <c r="X58" s="13">
        <v>0</v>
      </c>
      <c r="Y58" s="13">
        <v>0</v>
      </c>
      <c r="Z58" s="13">
        <v>0</v>
      </c>
      <c r="AA58" s="13">
        <v>0</v>
      </c>
      <c r="AB58" s="13">
        <v>0</v>
      </c>
      <c r="AC58" s="13">
        <v>0</v>
      </c>
      <c r="AD58" s="13">
        <v>0</v>
      </c>
      <c r="AE58" s="13">
        <v>0</v>
      </c>
      <c r="AF58" s="13">
        <v>0</v>
      </c>
      <c r="AG58" s="13">
        <v>0</v>
      </c>
      <c r="AH58" s="13">
        <v>0</v>
      </c>
      <c r="AI58" s="13">
        <v>0</v>
      </c>
      <c r="AJ58" s="13">
        <v>0</v>
      </c>
    </row>
    <row r="59" spans="2:36">
      <c r="B59" s="45" t="s">
        <v>984</v>
      </c>
      <c r="C59" s="12"/>
      <c r="D59" s="45" t="s">
        <v>1115</v>
      </c>
      <c r="F59" s="13">
        <v>0</v>
      </c>
      <c r="G59" s="13">
        <v>0</v>
      </c>
      <c r="H59" s="13">
        <v>0</v>
      </c>
      <c r="I59" s="13">
        <v>0</v>
      </c>
      <c r="J59" s="13">
        <v>-140</v>
      </c>
      <c r="K59" s="13">
        <v>0</v>
      </c>
      <c r="L59" s="13">
        <v>-140</v>
      </c>
      <c r="M59" s="13">
        <v>0</v>
      </c>
      <c r="N59" s="13">
        <v>-75727</v>
      </c>
      <c r="O59" s="13">
        <f>1293-4001</f>
        <v>-2708</v>
      </c>
      <c r="P59" s="13">
        <f>163-1526</f>
        <v>-1363</v>
      </c>
      <c r="Q59" s="13">
        <f>1456-75727-5527</f>
        <v>-79798</v>
      </c>
      <c r="R59" s="13">
        <v>31</v>
      </c>
      <c r="S59" s="13">
        <f>8</f>
        <v>8</v>
      </c>
      <c r="T59" s="13">
        <v>-8403</v>
      </c>
      <c r="U59" s="13">
        <v>0</v>
      </c>
      <c r="V59" s="13">
        <f>39-8403</f>
        <v>-8364</v>
      </c>
      <c r="W59" s="13">
        <v>-4055</v>
      </c>
      <c r="X59" s="13">
        <v>0</v>
      </c>
      <c r="Y59" s="13">
        <v>-4055</v>
      </c>
      <c r="Z59" s="13">
        <f t="shared" si="5"/>
        <v>0</v>
      </c>
      <c r="AA59" s="13">
        <v>-4055</v>
      </c>
      <c r="AB59" s="13">
        <v>0</v>
      </c>
      <c r="AC59" s="13">
        <v>-4055</v>
      </c>
      <c r="AD59" s="13">
        <v>0</v>
      </c>
      <c r="AE59" s="13">
        <v>-11261</v>
      </c>
      <c r="AF59" s="13">
        <v>-11261</v>
      </c>
      <c r="AG59" s="13">
        <v>-2863</v>
      </c>
      <c r="AH59" s="13">
        <v>-14124</v>
      </c>
      <c r="AI59" s="13">
        <v>0</v>
      </c>
      <c r="AJ59" s="13">
        <v>0</v>
      </c>
    </row>
    <row r="60" spans="2:36" ht="4.5" customHeight="1" thickBot="1">
      <c r="B60" s="10"/>
      <c r="C60" s="15"/>
      <c r="D60" s="10"/>
      <c r="E60" s="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row>
    <row r="61" spans="2:36" ht="13.5" thickBot="1">
      <c r="B61" s="28" t="s">
        <v>927</v>
      </c>
      <c r="C61" s="26"/>
      <c r="D61" s="28" t="s">
        <v>854</v>
      </c>
      <c r="E61" s="27"/>
      <c r="F61" s="40">
        <v>-36301</v>
      </c>
      <c r="G61" s="40">
        <v>1237842</v>
      </c>
      <c r="H61" s="40">
        <v>-749</v>
      </c>
      <c r="I61" s="40">
        <v>-6661</v>
      </c>
      <c r="J61" s="40">
        <v>-73177</v>
      </c>
      <c r="K61" s="40">
        <v>-48532</v>
      </c>
      <c r="L61" s="40">
        <v>-129119</v>
      </c>
      <c r="M61" s="40">
        <v>-694</v>
      </c>
      <c r="N61" s="40">
        <v>1038168</v>
      </c>
      <c r="O61" s="40">
        <v>-95361</v>
      </c>
      <c r="P61" s="40">
        <v>-76561</v>
      </c>
      <c r="Q61" s="40">
        <f t="shared" ref="Q61:AA61" si="6">SUM(Q51:Q59)</f>
        <v>865552</v>
      </c>
      <c r="R61" s="40">
        <f t="shared" si="6"/>
        <v>-61149</v>
      </c>
      <c r="S61" s="40">
        <f>SUM(S51:S59)</f>
        <v>850221</v>
      </c>
      <c r="T61" s="40">
        <f t="shared" si="6"/>
        <v>-5992</v>
      </c>
      <c r="U61" s="40">
        <f t="shared" si="6"/>
        <v>-346864</v>
      </c>
      <c r="V61" s="40">
        <f t="shared" si="6"/>
        <v>436216</v>
      </c>
      <c r="W61" s="40">
        <f t="shared" si="6"/>
        <v>-186112</v>
      </c>
      <c r="X61" s="40">
        <f t="shared" si="6"/>
        <v>-138793</v>
      </c>
      <c r="Y61" s="40">
        <f t="shared" si="6"/>
        <v>-324905</v>
      </c>
      <c r="Z61" s="40">
        <f t="shared" si="6"/>
        <v>-107891</v>
      </c>
      <c r="AA61" s="40">
        <f t="shared" si="6"/>
        <v>-432796</v>
      </c>
      <c r="AB61" s="40">
        <v>-261930</v>
      </c>
      <c r="AC61" s="40">
        <v>-694726</v>
      </c>
      <c r="AD61" s="40">
        <f>SUM(AD51:AD59)</f>
        <v>-62417</v>
      </c>
      <c r="AE61" s="40">
        <f>SUM(AE50:AE59)</f>
        <v>513305</v>
      </c>
      <c r="AF61" s="40">
        <f>SUM(AF50:AF59)</f>
        <v>450888</v>
      </c>
      <c r="AG61" s="40">
        <f t="shared" ref="AG61:AJ61" si="7">SUM(AG50:AG59)</f>
        <v>-387287</v>
      </c>
      <c r="AH61" s="40">
        <f t="shared" si="7"/>
        <v>63601</v>
      </c>
      <c r="AI61" s="40">
        <f t="shared" si="7"/>
        <v>0</v>
      </c>
      <c r="AJ61" s="40">
        <f t="shared" si="7"/>
        <v>0</v>
      </c>
    </row>
    <row r="62" spans="2:36">
      <c r="C62" s="12"/>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row>
    <row r="63" spans="2:36">
      <c r="B63" s="45" t="s">
        <v>56</v>
      </c>
      <c r="C63" s="12"/>
      <c r="D63" s="45" t="s">
        <v>766</v>
      </c>
      <c r="F63" s="13">
        <v>0</v>
      </c>
      <c r="G63" s="13">
        <v>0</v>
      </c>
      <c r="H63" s="13">
        <v>0</v>
      </c>
      <c r="I63" s="13">
        <v>0</v>
      </c>
      <c r="J63" s="13">
        <v>0</v>
      </c>
      <c r="K63" s="13">
        <v>0</v>
      </c>
      <c r="L63" s="13">
        <v>0</v>
      </c>
      <c r="M63" s="13">
        <v>0</v>
      </c>
      <c r="N63" s="13">
        <v>0</v>
      </c>
      <c r="O63" s="13">
        <v>0</v>
      </c>
      <c r="P63" s="13">
        <v>0</v>
      </c>
      <c r="Q63" s="13">
        <v>0</v>
      </c>
      <c r="R63" s="13">
        <v>1385</v>
      </c>
      <c r="S63" s="13">
        <v>-821</v>
      </c>
      <c r="T63" s="13">
        <v>-277</v>
      </c>
      <c r="U63" s="13">
        <v>310</v>
      </c>
      <c r="V63" s="13">
        <v>597</v>
      </c>
      <c r="W63" s="13">
        <v>226</v>
      </c>
      <c r="X63" s="13">
        <v>-426</v>
      </c>
      <c r="Y63" s="13">
        <v>-200</v>
      </c>
      <c r="Z63" s="13">
        <f>AA63-Y63</f>
        <v>447</v>
      </c>
      <c r="AA63" s="13">
        <v>247</v>
      </c>
      <c r="AB63" s="13">
        <v>0</v>
      </c>
      <c r="AC63" s="13">
        <v>247</v>
      </c>
      <c r="AD63" s="13">
        <v>0</v>
      </c>
      <c r="AE63" s="13">
        <v>0</v>
      </c>
      <c r="AF63" s="13">
        <v>0</v>
      </c>
      <c r="AG63" s="13">
        <v>0</v>
      </c>
      <c r="AH63" s="13">
        <v>0</v>
      </c>
      <c r="AI63" s="13">
        <v>0</v>
      </c>
      <c r="AJ63" s="13">
        <v>0</v>
      </c>
    </row>
    <row r="64" spans="2:36" ht="13.5" thickBot="1">
      <c r="C64" s="12"/>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row>
    <row r="65" spans="2:36" ht="13.5" thickBot="1">
      <c r="B65" s="28" t="s">
        <v>928</v>
      </c>
      <c r="C65" s="30"/>
      <c r="D65" s="28" t="s">
        <v>767</v>
      </c>
      <c r="E65" s="27"/>
      <c r="F65" s="41">
        <v>2877</v>
      </c>
      <c r="G65" s="41">
        <v>36238</v>
      </c>
      <c r="H65" s="41">
        <v>-24799</v>
      </c>
      <c r="I65" s="41">
        <v>3148</v>
      </c>
      <c r="J65" s="41">
        <v>-9878</v>
      </c>
      <c r="K65" s="41">
        <v>6125.0000000000291</v>
      </c>
      <c r="L65" s="41">
        <v>-25404</v>
      </c>
      <c r="M65" s="41">
        <v>13184.492819999985</v>
      </c>
      <c r="N65" s="41">
        <v>224909.50718000002</v>
      </c>
      <c r="O65" s="41">
        <v>123451</v>
      </c>
      <c r="P65" s="41">
        <v>-175247</v>
      </c>
      <c r="Q65" s="41">
        <v>186298</v>
      </c>
      <c r="R65" s="41">
        <v>-60692</v>
      </c>
      <c r="S65" s="41">
        <f t="shared" ref="S65:AA65" si="8">S61+S63+S46+S38</f>
        <v>88532</v>
      </c>
      <c r="T65" s="41">
        <f t="shared" si="8"/>
        <v>259668</v>
      </c>
      <c r="U65" s="41">
        <f t="shared" si="8"/>
        <v>-143639</v>
      </c>
      <c r="V65" s="41">
        <f t="shared" si="8"/>
        <v>143869</v>
      </c>
      <c r="W65" s="41">
        <f t="shared" si="8"/>
        <v>-155056</v>
      </c>
      <c r="X65" s="41">
        <f t="shared" si="8"/>
        <v>-116212</v>
      </c>
      <c r="Y65" s="41">
        <f t="shared" si="8"/>
        <v>-271268</v>
      </c>
      <c r="Z65" s="41">
        <f t="shared" si="8"/>
        <v>-11280</v>
      </c>
      <c r="AA65" s="41">
        <f t="shared" si="8"/>
        <v>-282548</v>
      </c>
      <c r="AB65" s="41">
        <v>118704</v>
      </c>
      <c r="AC65" s="41">
        <v>-163844</v>
      </c>
      <c r="AD65" s="41">
        <f>AD61+AD63+AD46+AD38</f>
        <v>104965</v>
      </c>
      <c r="AE65" s="41">
        <f>AE61+AE63+AE46+AE38</f>
        <v>108866</v>
      </c>
      <c r="AF65" s="41">
        <f>AF61+AF63+AF46+AF38</f>
        <v>213831</v>
      </c>
      <c r="AG65" s="41">
        <f t="shared" ref="AG65:AJ65" si="9">AG61+AG63+AG46+AG38</f>
        <v>9672</v>
      </c>
      <c r="AH65" s="41">
        <f t="shared" si="9"/>
        <v>223503</v>
      </c>
      <c r="AI65" s="41">
        <f t="shared" si="9"/>
        <v>0</v>
      </c>
      <c r="AJ65" s="41">
        <f t="shared" si="9"/>
        <v>0</v>
      </c>
    </row>
    <row r="66" spans="2:36" s="38" customFormat="1">
      <c r="B66" s="34"/>
      <c r="C66" s="35"/>
      <c r="D66" s="34"/>
      <c r="E66" s="36"/>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row>
    <row r="67" spans="2:36">
      <c r="B67" s="45" t="s">
        <v>855</v>
      </c>
      <c r="C67" s="12"/>
      <c r="D67" s="45" t="s">
        <v>768</v>
      </c>
      <c r="F67" s="13">
        <v>17150</v>
      </c>
      <c r="G67" s="13">
        <v>20027</v>
      </c>
      <c r="H67" s="13">
        <v>56265</v>
      </c>
      <c r="I67" s="13">
        <v>31466</v>
      </c>
      <c r="J67" s="13">
        <v>34614</v>
      </c>
      <c r="K67" s="13">
        <v>24736</v>
      </c>
      <c r="L67" s="13">
        <v>56265</v>
      </c>
      <c r="M67" s="13">
        <v>30861</v>
      </c>
      <c r="N67" s="13">
        <v>44045.492820000014</v>
      </c>
      <c r="O67" s="13">
        <v>268955</v>
      </c>
      <c r="P67" s="13">
        <v>392406</v>
      </c>
      <c r="Q67" s="13">
        <v>30861</v>
      </c>
      <c r="R67" s="13">
        <v>217159</v>
      </c>
      <c r="S67" s="13">
        <v>156467</v>
      </c>
      <c r="T67" s="13">
        <f>S68</f>
        <v>244999</v>
      </c>
      <c r="U67" s="13">
        <f>T68</f>
        <v>504667</v>
      </c>
      <c r="V67" s="13">
        <f>R67</f>
        <v>217159</v>
      </c>
      <c r="W67" s="13">
        <v>361028</v>
      </c>
      <c r="X67" s="13">
        <f>W68</f>
        <v>205972</v>
      </c>
      <c r="Y67" s="13">
        <f>W67</f>
        <v>361028</v>
      </c>
      <c r="Z67" s="13">
        <f>Y68</f>
        <v>89760</v>
      </c>
      <c r="AA67" s="13">
        <f>V68</f>
        <v>361028</v>
      </c>
      <c r="AB67" s="13">
        <v>78480</v>
      </c>
      <c r="AC67" s="13">
        <v>361028</v>
      </c>
      <c r="AD67" s="13">
        <v>197184</v>
      </c>
      <c r="AE67" s="13">
        <v>302149</v>
      </c>
      <c r="AF67" s="13">
        <v>197184</v>
      </c>
      <c r="AG67" s="13">
        <v>411015</v>
      </c>
      <c r="AH67" s="13">
        <v>197184</v>
      </c>
      <c r="AI67" s="13">
        <v>0</v>
      </c>
      <c r="AJ67" s="13">
        <v>0</v>
      </c>
    </row>
    <row r="68" spans="2:36">
      <c r="B68" s="45" t="s">
        <v>856</v>
      </c>
      <c r="C68" s="12"/>
      <c r="D68" s="45" t="s">
        <v>769</v>
      </c>
      <c r="F68" s="13">
        <v>20027</v>
      </c>
      <c r="G68" s="13">
        <v>56265</v>
      </c>
      <c r="H68" s="13">
        <v>31466</v>
      </c>
      <c r="I68" s="13">
        <v>34614</v>
      </c>
      <c r="J68" s="13">
        <v>24736</v>
      </c>
      <c r="K68" s="13">
        <v>30861.000000000029</v>
      </c>
      <c r="L68" s="13">
        <v>30861</v>
      </c>
      <c r="M68" s="13">
        <v>44045.492820000014</v>
      </c>
      <c r="N68" s="13">
        <v>268955</v>
      </c>
      <c r="O68" s="13">
        <v>392406</v>
      </c>
      <c r="P68" s="13">
        <v>217159</v>
      </c>
      <c r="Q68" s="13">
        <v>217159</v>
      </c>
      <c r="R68" s="13">
        <v>156467</v>
      </c>
      <c r="S68" s="13">
        <v>244999</v>
      </c>
      <c r="T68" s="13">
        <v>504667</v>
      </c>
      <c r="U68" s="13">
        <f>V68</f>
        <v>361028</v>
      </c>
      <c r="V68" s="13">
        <v>361028</v>
      </c>
      <c r="W68" s="13">
        <v>205972</v>
      </c>
      <c r="X68" s="13">
        <v>89760</v>
      </c>
      <c r="Y68" s="13">
        <v>89760</v>
      </c>
      <c r="Z68" s="13">
        <f>AA68</f>
        <v>78480</v>
      </c>
      <c r="AA68" s="13">
        <v>78480</v>
      </c>
      <c r="AB68" s="13">
        <v>197184</v>
      </c>
      <c r="AC68" s="13">
        <v>197184</v>
      </c>
      <c r="AD68" s="13">
        <v>302149</v>
      </c>
      <c r="AE68" s="13">
        <v>411015</v>
      </c>
      <c r="AF68" s="13">
        <v>411015</v>
      </c>
      <c r="AG68" s="13">
        <v>420687</v>
      </c>
      <c r="AH68" s="13">
        <v>420687</v>
      </c>
      <c r="AI68" s="13">
        <v>0</v>
      </c>
      <c r="AJ68" s="13">
        <v>0</v>
      </c>
    </row>
    <row r="69" spans="2:36" ht="4.5" customHeight="1" thickBot="1">
      <c r="B69" s="10"/>
      <c r="C69" s="15"/>
      <c r="D69" s="10"/>
      <c r="E69" s="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row>
    <row r="70" spans="2:36" ht="13.5" thickBot="1">
      <c r="B70" s="28" t="s">
        <v>928</v>
      </c>
      <c r="C70" s="26"/>
      <c r="D70" s="28" t="s">
        <v>767</v>
      </c>
      <c r="E70" s="27"/>
      <c r="F70" s="41">
        <v>2877</v>
      </c>
      <c r="G70" s="41">
        <v>36238</v>
      </c>
      <c r="H70" s="41">
        <v>-24799</v>
      </c>
      <c r="I70" s="41">
        <v>3148</v>
      </c>
      <c r="J70" s="41">
        <v>-9878</v>
      </c>
      <c r="K70" s="41">
        <v>6125.0000000000291</v>
      </c>
      <c r="L70" s="41">
        <v>-25404</v>
      </c>
      <c r="M70" s="41">
        <v>13184.492820000014</v>
      </c>
      <c r="N70" s="41">
        <v>224909.50717999999</v>
      </c>
      <c r="O70" s="41">
        <v>123451</v>
      </c>
      <c r="P70" s="41">
        <v>-175247</v>
      </c>
      <c r="Q70" s="41">
        <v>186298</v>
      </c>
      <c r="R70" s="41">
        <v>-60692</v>
      </c>
      <c r="S70" s="41">
        <f t="shared" ref="S70:AE70" si="10">S68-S67</f>
        <v>88532</v>
      </c>
      <c r="T70" s="41">
        <f t="shared" si="10"/>
        <v>259668</v>
      </c>
      <c r="U70" s="41">
        <f t="shared" si="10"/>
        <v>-143639</v>
      </c>
      <c r="V70" s="41">
        <f t="shared" si="10"/>
        <v>143869</v>
      </c>
      <c r="W70" s="41">
        <f t="shared" si="10"/>
        <v>-155056</v>
      </c>
      <c r="X70" s="41">
        <f t="shared" si="10"/>
        <v>-116212</v>
      </c>
      <c r="Y70" s="41">
        <f t="shared" si="10"/>
        <v>-271268</v>
      </c>
      <c r="Z70" s="41">
        <f t="shared" si="10"/>
        <v>-11280</v>
      </c>
      <c r="AA70" s="41">
        <f t="shared" si="10"/>
        <v>-282548</v>
      </c>
      <c r="AB70" s="41">
        <f t="shared" si="10"/>
        <v>118704</v>
      </c>
      <c r="AC70" s="41">
        <f t="shared" si="10"/>
        <v>-163844</v>
      </c>
      <c r="AD70" s="41">
        <f t="shared" si="10"/>
        <v>104965</v>
      </c>
      <c r="AE70" s="41">
        <f t="shared" si="10"/>
        <v>108866</v>
      </c>
      <c r="AF70" s="41">
        <f t="shared" ref="AF70" si="11">AF68-AF67</f>
        <v>213831</v>
      </c>
      <c r="AG70" s="41">
        <f t="shared" ref="AG70:AJ70" si="12">AG68-AG67</f>
        <v>9672</v>
      </c>
      <c r="AH70" s="41">
        <f t="shared" si="12"/>
        <v>223503</v>
      </c>
      <c r="AI70" s="41">
        <f t="shared" si="12"/>
        <v>0</v>
      </c>
      <c r="AJ70" s="41">
        <f t="shared" si="12"/>
        <v>0</v>
      </c>
    </row>
    <row r="71" spans="2:36">
      <c r="B71" s="10"/>
      <c r="D71" s="10"/>
      <c r="E71" s="1"/>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row>
    <row r="72" spans="2:36" hidden="1">
      <c r="B72" s="1"/>
      <c r="D72" s="1"/>
      <c r="F72" s="13">
        <f t="shared" ref="F72:AD72" si="13">F65-F70</f>
        <v>0</v>
      </c>
      <c r="G72" s="13">
        <f t="shared" si="13"/>
        <v>0</v>
      </c>
      <c r="H72" s="13">
        <f t="shared" si="13"/>
        <v>0</v>
      </c>
      <c r="I72" s="13">
        <f>I65-I70</f>
        <v>0</v>
      </c>
      <c r="J72" s="13">
        <f>J65-J70</f>
        <v>0</v>
      </c>
      <c r="K72" s="13">
        <f>K65-K70</f>
        <v>0</v>
      </c>
      <c r="L72" s="13">
        <f t="shared" si="13"/>
        <v>0</v>
      </c>
      <c r="M72" s="303">
        <f t="shared" si="13"/>
        <v>-2.9103830456733704E-11</v>
      </c>
      <c r="N72" s="13">
        <f>N65-N70</f>
        <v>0</v>
      </c>
      <c r="O72" s="13">
        <f>O65-O70</f>
        <v>0</v>
      </c>
      <c r="P72" s="13">
        <f t="shared" si="13"/>
        <v>0</v>
      </c>
      <c r="Q72" s="13">
        <f t="shared" si="13"/>
        <v>0</v>
      </c>
      <c r="R72" s="13">
        <f t="shared" si="13"/>
        <v>0</v>
      </c>
      <c r="S72" s="13">
        <f t="shared" si="13"/>
        <v>0</v>
      </c>
      <c r="T72" s="13">
        <f t="shared" si="13"/>
        <v>0</v>
      </c>
      <c r="U72" s="13">
        <f t="shared" si="13"/>
        <v>0</v>
      </c>
      <c r="V72" s="13">
        <f t="shared" si="13"/>
        <v>0</v>
      </c>
      <c r="W72" s="13">
        <f t="shared" si="13"/>
        <v>0</v>
      </c>
      <c r="X72" s="13">
        <f t="shared" si="13"/>
        <v>0</v>
      </c>
      <c r="Y72" s="13">
        <f t="shared" si="13"/>
        <v>0</v>
      </c>
      <c r="Z72" s="13">
        <f t="shared" si="13"/>
        <v>0</v>
      </c>
      <c r="AA72" s="13">
        <f t="shared" si="13"/>
        <v>0</v>
      </c>
      <c r="AB72" s="13">
        <f>AB65-AB70</f>
        <v>0</v>
      </c>
      <c r="AC72" s="13">
        <f t="shared" si="13"/>
        <v>0</v>
      </c>
      <c r="AD72" s="13">
        <f t="shared" si="13"/>
        <v>0</v>
      </c>
      <c r="AE72" s="13"/>
      <c r="AF72" s="13"/>
      <c r="AG72" s="13"/>
      <c r="AH72" s="13"/>
      <c r="AI72" s="13"/>
      <c r="AJ72" s="13"/>
    </row>
    <row r="73" spans="2:36">
      <c r="B73" s="1"/>
      <c r="D73" s="1"/>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row>
    <row r="74" spans="2:36">
      <c r="B74" s="1"/>
      <c r="D74" s="1"/>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row>
  </sheetData>
  <phoneticPr fontId="95" type="noConversion"/>
  <pageMargins left="0.511811024" right="0.511811024" top="0.78740157499999996" bottom="0.78740157499999996" header="0.31496062000000002" footer="0.31496062000000002"/>
  <pageSetup paperSize="9" orientation="portrait" r:id="rId1"/>
  <ignoredErrors>
    <ignoredError sqref="Y67"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7A3EE-88EE-4664-B345-724D0E7AFAE7}">
  <dimension ref="B1:AB61"/>
  <sheetViews>
    <sheetView showGridLines="0" topLeftCell="A37" workbookViewId="0">
      <selection activeCell="N35" sqref="N35"/>
    </sheetView>
  </sheetViews>
  <sheetFormatPr defaultRowHeight="15" outlineLevelCol="1"/>
  <cols>
    <col min="1" max="1" width="5.5703125" customWidth="1"/>
    <col min="2" max="2" width="31.28515625" bestFit="1" customWidth="1"/>
    <col min="3" max="3" width="2.42578125" customWidth="1"/>
    <col min="5" max="5" width="2.42578125" customWidth="1"/>
    <col min="6" max="6" width="12.85546875" customWidth="1"/>
    <col min="7" max="7" width="2.42578125" customWidth="1"/>
    <col min="9" max="9" width="2.42578125" customWidth="1"/>
    <col min="11" max="11" width="2.42578125" customWidth="1"/>
    <col min="13" max="13" width="2.42578125" customWidth="1"/>
    <col min="16" max="16" width="33.5703125" customWidth="1" outlineLevel="1"/>
    <col min="17" max="17" width="1" style="280" customWidth="1" outlineLevel="1"/>
    <col min="18" max="18" width="9.140625" style="280" customWidth="1" outlineLevel="1"/>
    <col min="19" max="19" width="1" style="280" customWidth="1" outlineLevel="1"/>
    <col min="20" max="20" width="9.140625" style="280" customWidth="1" outlineLevel="1"/>
    <col min="21" max="21" width="1" style="280" customWidth="1" outlineLevel="1"/>
    <col min="22" max="22" width="9.140625" style="280" customWidth="1" outlineLevel="1"/>
    <col min="23" max="23" width="1" style="280" customWidth="1" outlineLevel="1"/>
    <col min="24" max="24" width="10.7109375" style="280" customWidth="1" outlineLevel="1"/>
    <col min="25" max="25" width="1.28515625" style="280" customWidth="1" outlineLevel="1"/>
    <col min="26" max="26" width="11.7109375" customWidth="1" outlineLevel="1"/>
    <col min="28" max="28" width="2.42578125" customWidth="1"/>
    <col min="29" max="29" width="12.42578125" bestFit="1" customWidth="1"/>
  </cols>
  <sheetData>
    <row r="1" spans="2:28" ht="38.25" customHeight="1">
      <c r="B1" s="280"/>
      <c r="C1" s="280"/>
      <c r="D1" s="43" t="s">
        <v>1084</v>
      </c>
      <c r="E1" s="280"/>
      <c r="F1" s="280"/>
      <c r="G1" s="280"/>
      <c r="H1" s="280"/>
      <c r="I1" s="280"/>
      <c r="J1" s="280"/>
      <c r="K1" s="280"/>
      <c r="L1" s="280"/>
      <c r="M1" s="280"/>
      <c r="N1" s="280"/>
      <c r="O1" s="280"/>
      <c r="P1" s="270"/>
      <c r="Q1" s="272"/>
      <c r="R1" s="271" t="s">
        <v>1303</v>
      </c>
      <c r="S1" s="271"/>
      <c r="T1" s="271" t="s">
        <v>1072</v>
      </c>
      <c r="U1" s="271"/>
      <c r="V1" s="271" t="s">
        <v>1075</v>
      </c>
      <c r="W1" s="271"/>
      <c r="X1" s="271" t="s">
        <v>1073</v>
      </c>
      <c r="Y1" s="272"/>
      <c r="Z1" s="271" t="s">
        <v>1304</v>
      </c>
      <c r="AB1" s="280"/>
    </row>
    <row r="2" spans="2:28">
      <c r="B2" s="280"/>
      <c r="C2" s="280"/>
      <c r="E2" s="280"/>
      <c r="F2" s="280"/>
      <c r="G2" s="280"/>
      <c r="H2" s="280"/>
      <c r="I2" s="280"/>
      <c r="J2" s="280"/>
      <c r="K2" s="280"/>
      <c r="L2" s="280"/>
      <c r="M2" s="280"/>
      <c r="N2" s="280"/>
      <c r="O2" s="280"/>
      <c r="P2" s="258" t="s">
        <v>1118</v>
      </c>
      <c r="Q2" s="274"/>
      <c r="R2" s="273"/>
      <c r="S2" s="273"/>
      <c r="T2" s="279"/>
      <c r="U2" s="279"/>
      <c r="V2" s="278"/>
      <c r="W2" s="278"/>
      <c r="X2" s="278"/>
      <c r="Y2" s="273"/>
      <c r="Z2" s="278"/>
      <c r="AB2" s="280"/>
    </row>
    <row r="3" spans="2:28">
      <c r="B3" s="280"/>
      <c r="C3" s="280"/>
      <c r="D3" s="280"/>
      <c r="E3" s="280"/>
      <c r="F3" s="280"/>
      <c r="G3" s="280"/>
      <c r="H3" s="280"/>
      <c r="I3" s="280"/>
      <c r="J3" s="280"/>
      <c r="K3" s="280"/>
      <c r="L3" s="280"/>
      <c r="M3" s="280"/>
      <c r="N3" s="280"/>
      <c r="O3" s="280"/>
      <c r="P3" s="329" t="s">
        <v>1078</v>
      </c>
      <c r="Q3" s="275"/>
      <c r="R3" s="275">
        <v>229800</v>
      </c>
      <c r="S3" s="275"/>
      <c r="T3" s="275">
        <v>1392</v>
      </c>
      <c r="U3" s="275">
        <v>0</v>
      </c>
      <c r="V3" s="275">
        <v>-13</v>
      </c>
      <c r="W3" s="275">
        <v>0</v>
      </c>
      <c r="X3" s="275">
        <v>102132</v>
      </c>
      <c r="Y3" s="275"/>
      <c r="Z3" s="279">
        <f t="shared" ref="Z3:Z11" si="0">SUM(R3:X3)</f>
        <v>333311</v>
      </c>
      <c r="AB3" s="280"/>
    </row>
    <row r="4" spans="2:28">
      <c r="B4" s="280"/>
      <c r="C4" s="280"/>
      <c r="D4" s="280"/>
      <c r="E4" s="280"/>
      <c r="F4" s="280"/>
      <c r="G4" s="280"/>
      <c r="H4" s="280"/>
      <c r="I4" s="280"/>
      <c r="J4" s="280"/>
      <c r="K4" s="280"/>
      <c r="L4" s="280"/>
      <c r="M4" s="280"/>
      <c r="N4" s="280"/>
      <c r="O4" s="280"/>
      <c r="P4" s="329" t="s">
        <v>1255</v>
      </c>
      <c r="Q4" s="275"/>
      <c r="R4" s="275">
        <v>79766</v>
      </c>
      <c r="S4" s="275"/>
      <c r="T4" s="275">
        <v>71203</v>
      </c>
      <c r="U4" s="275">
        <v>0</v>
      </c>
      <c r="V4" s="275">
        <v>0</v>
      </c>
      <c r="W4" s="275">
        <v>0</v>
      </c>
      <c r="X4" s="275">
        <v>-81138</v>
      </c>
      <c r="Y4" s="275"/>
      <c r="Z4" s="279">
        <f t="shared" si="0"/>
        <v>69831</v>
      </c>
      <c r="AB4" s="280"/>
    </row>
    <row r="5" spans="2:28">
      <c r="B5" s="280"/>
      <c r="C5" s="280"/>
      <c r="D5" s="280"/>
      <c r="E5" s="280"/>
      <c r="F5" s="280"/>
      <c r="G5" s="280"/>
      <c r="H5" s="280"/>
      <c r="I5" s="280"/>
      <c r="J5" s="280"/>
      <c r="K5" s="280"/>
      <c r="L5" s="280"/>
      <c r="M5" s="280"/>
      <c r="N5" s="280"/>
      <c r="O5" s="280"/>
      <c r="P5" s="329" t="s">
        <v>1256</v>
      </c>
      <c r="Q5" s="275"/>
      <c r="R5" s="275">
        <v>2973528</v>
      </c>
      <c r="S5" s="275"/>
      <c r="T5" s="275">
        <v>0</v>
      </c>
      <c r="U5" s="275">
        <v>0</v>
      </c>
      <c r="V5" s="275">
        <v>0</v>
      </c>
      <c r="W5" s="275">
        <v>0</v>
      </c>
      <c r="X5" s="275">
        <v>0</v>
      </c>
      <c r="Y5" s="275"/>
      <c r="Z5" s="279">
        <f t="shared" si="0"/>
        <v>2973528</v>
      </c>
      <c r="AB5" s="280"/>
    </row>
    <row r="6" spans="2:28" ht="19.5" thickBot="1">
      <c r="B6" s="304" t="s">
        <v>1215</v>
      </c>
      <c r="C6" s="280"/>
      <c r="D6" s="305" t="s">
        <v>1071</v>
      </c>
      <c r="E6" s="280"/>
      <c r="F6" s="305" t="s">
        <v>1116</v>
      </c>
      <c r="G6" s="280"/>
      <c r="H6" s="305" t="s">
        <v>1130</v>
      </c>
      <c r="I6" s="280"/>
      <c r="J6" s="305" t="s">
        <v>1131</v>
      </c>
      <c r="L6" s="305" t="s">
        <v>1132</v>
      </c>
      <c r="M6" s="280"/>
      <c r="O6" s="311"/>
      <c r="P6" s="329" t="s">
        <v>1120</v>
      </c>
      <c r="Q6" s="275"/>
      <c r="R6" s="275">
        <v>3397198</v>
      </c>
      <c r="S6" s="275"/>
      <c r="T6" s="275">
        <v>356569</v>
      </c>
      <c r="U6" s="275">
        <v>0</v>
      </c>
      <c r="V6" s="275">
        <v>-2982</v>
      </c>
      <c r="W6" s="275">
        <v>0</v>
      </c>
      <c r="X6" s="275">
        <v>149735</v>
      </c>
      <c r="Y6" s="275"/>
      <c r="Z6" s="279">
        <f t="shared" si="0"/>
        <v>3900520</v>
      </c>
      <c r="AB6" s="280"/>
    </row>
    <row r="7" spans="2:28">
      <c r="B7" s="306" t="s">
        <v>1127</v>
      </c>
      <c r="C7" s="280"/>
      <c r="D7" s="307">
        <v>165.69800000000004</v>
      </c>
      <c r="E7" s="280"/>
      <c r="F7" s="307">
        <v>187.76499999999999</v>
      </c>
      <c r="G7" s="280"/>
      <c r="H7" s="307">
        <v>162.96799999999999</v>
      </c>
      <c r="I7" s="280"/>
      <c r="J7" s="307">
        <v>156.28199999999998</v>
      </c>
      <c r="L7" s="307">
        <v>184.07200000000006</v>
      </c>
      <c r="M7" s="280"/>
      <c r="O7" s="307"/>
      <c r="P7" s="329" t="s">
        <v>1257</v>
      </c>
      <c r="Q7" s="275"/>
      <c r="R7" s="275">
        <v>19796</v>
      </c>
      <c r="S7" s="275"/>
      <c r="T7" s="275">
        <v>71</v>
      </c>
      <c r="U7" s="275">
        <v>0</v>
      </c>
      <c r="V7" s="275">
        <v>0</v>
      </c>
      <c r="W7" s="275">
        <v>0</v>
      </c>
      <c r="X7" s="275">
        <v>0</v>
      </c>
      <c r="Y7" s="275"/>
      <c r="Z7" s="279">
        <f t="shared" si="0"/>
        <v>19867</v>
      </c>
      <c r="AB7" s="280"/>
    </row>
    <row r="8" spans="2:28">
      <c r="B8" s="306" t="s">
        <v>1128</v>
      </c>
      <c r="C8" s="280"/>
      <c r="D8" s="307">
        <v>55</v>
      </c>
      <c r="E8" s="280"/>
      <c r="F8" s="307">
        <v>2.1709999999999354</v>
      </c>
      <c r="G8" s="280"/>
      <c r="H8" s="307">
        <v>-23.993999999999993</v>
      </c>
      <c r="I8" s="280"/>
      <c r="J8" s="307">
        <v>-28.539000000000009</v>
      </c>
      <c r="L8" s="307">
        <v>-20.970000000000041</v>
      </c>
      <c r="M8" s="280"/>
      <c r="O8" s="307"/>
      <c r="P8" s="329" t="s">
        <v>1121</v>
      </c>
      <c r="Q8" s="275"/>
      <c r="R8" s="275">
        <v>150277</v>
      </c>
      <c r="S8" s="275"/>
      <c r="T8" s="275">
        <v>0</v>
      </c>
      <c r="U8" s="275">
        <v>0</v>
      </c>
      <c r="V8" s="275">
        <v>0</v>
      </c>
      <c r="W8" s="275">
        <v>0</v>
      </c>
      <c r="X8" s="275">
        <v>0</v>
      </c>
      <c r="Y8" s="275"/>
      <c r="Z8" s="279">
        <f t="shared" si="0"/>
        <v>150277</v>
      </c>
      <c r="AB8" s="280"/>
    </row>
    <row r="9" spans="2:28">
      <c r="B9" s="306" t="s">
        <v>1076</v>
      </c>
      <c r="C9" s="280"/>
      <c r="D9" s="307">
        <v>2.0729999999999995</v>
      </c>
      <c r="E9" s="280"/>
      <c r="F9" s="307">
        <v>1.6640000000000004</v>
      </c>
      <c r="G9" s="280"/>
      <c r="H9" s="307">
        <v>9.4E-2</v>
      </c>
      <c r="I9" s="280"/>
      <c r="J9" s="307">
        <v>0</v>
      </c>
      <c r="L9" s="307">
        <v>0</v>
      </c>
      <c r="M9" s="280"/>
      <c r="O9" s="307"/>
      <c r="P9" s="329" t="s">
        <v>1216</v>
      </c>
      <c r="Q9" s="275"/>
      <c r="R9" s="275">
        <v>597789</v>
      </c>
      <c r="S9" s="275"/>
      <c r="T9" s="275">
        <v>265109</v>
      </c>
      <c r="U9" s="275">
        <v>0</v>
      </c>
      <c r="V9" s="275">
        <v>-198621</v>
      </c>
      <c r="W9" s="275">
        <v>0</v>
      </c>
      <c r="X9" s="275">
        <v>-139991</v>
      </c>
      <c r="Y9" s="275"/>
      <c r="Z9" s="279">
        <f t="shared" si="0"/>
        <v>524286</v>
      </c>
      <c r="AB9" s="280"/>
    </row>
    <row r="10" spans="2:28" ht="15.75" thickBot="1">
      <c r="B10" s="306" t="s">
        <v>1077</v>
      </c>
      <c r="C10" s="280"/>
      <c r="D10" s="307">
        <v>37</v>
      </c>
      <c r="E10" s="280"/>
      <c r="F10" s="307">
        <v>9.3200000000001992</v>
      </c>
      <c r="G10" s="280"/>
      <c r="H10" s="307">
        <v>21.275000000000013</v>
      </c>
      <c r="I10" s="280"/>
      <c r="J10" s="307">
        <v>36.840999999999987</v>
      </c>
      <c r="L10" s="307">
        <v>26.683000000000007</v>
      </c>
      <c r="M10" s="280"/>
      <c r="O10" s="307"/>
      <c r="P10" s="329" t="s">
        <v>1122</v>
      </c>
      <c r="Q10" s="275"/>
      <c r="R10" s="275">
        <v>56203</v>
      </c>
      <c r="S10" s="275"/>
      <c r="T10" s="275">
        <v>14009</v>
      </c>
      <c r="U10" s="275">
        <v>0</v>
      </c>
      <c r="V10" s="275">
        <v>-4305</v>
      </c>
      <c r="W10" s="275">
        <v>0</v>
      </c>
      <c r="X10" s="275">
        <v>-34953</v>
      </c>
      <c r="Y10" s="275"/>
      <c r="Z10" s="279">
        <f t="shared" si="0"/>
        <v>30954</v>
      </c>
      <c r="AB10" s="280"/>
    </row>
    <row r="11" spans="2:28" ht="15.75" thickBot="1">
      <c r="B11" s="308" t="s">
        <v>1217</v>
      </c>
      <c r="C11" s="280"/>
      <c r="D11" s="309">
        <v>259.77100000000007</v>
      </c>
      <c r="E11" s="280"/>
      <c r="F11" s="309">
        <v>200.9200000000001</v>
      </c>
      <c r="G11" s="280"/>
      <c r="H11" s="309">
        <v>160.34299999999999</v>
      </c>
      <c r="I11" s="280"/>
      <c r="J11" s="310">
        <v>164.58399999999995</v>
      </c>
      <c r="L11" s="310">
        <v>189.78500000000003</v>
      </c>
      <c r="M11" s="280"/>
      <c r="O11" s="316"/>
      <c r="P11" s="329" t="s">
        <v>1119</v>
      </c>
      <c r="Q11" s="275"/>
      <c r="R11" s="275">
        <v>109290</v>
      </c>
      <c r="S11" s="275"/>
      <c r="T11" s="275">
        <v>6344</v>
      </c>
      <c r="U11" s="275">
        <v>0</v>
      </c>
      <c r="V11" s="275">
        <v>-134</v>
      </c>
      <c r="W11" s="275">
        <v>0</v>
      </c>
      <c r="X11" s="275">
        <v>4168</v>
      </c>
      <c r="Y11" s="275"/>
      <c r="Z11" s="279">
        <f t="shared" si="0"/>
        <v>119668</v>
      </c>
      <c r="AB11" s="280"/>
    </row>
    <row r="12" spans="2:28">
      <c r="B12" s="280"/>
      <c r="C12" s="280"/>
      <c r="D12" s="280"/>
      <c r="E12" s="280"/>
      <c r="F12" s="280"/>
      <c r="G12" s="280"/>
      <c r="H12" s="280"/>
      <c r="I12" s="280"/>
      <c r="J12" s="280"/>
      <c r="L12" s="280"/>
      <c r="M12" s="280"/>
      <c r="O12" s="280"/>
      <c r="P12" s="330"/>
      <c r="Q12" s="276"/>
      <c r="R12" s="276"/>
      <c r="S12" s="276"/>
      <c r="T12" s="276"/>
      <c r="U12" s="276"/>
      <c r="V12" s="276"/>
      <c r="W12" s="278"/>
      <c r="X12" s="276"/>
      <c r="Y12" s="276"/>
      <c r="Z12" s="278"/>
      <c r="AB12" s="280"/>
    </row>
    <row r="13" spans="2:28">
      <c r="B13" s="280"/>
      <c r="C13" s="280"/>
      <c r="D13" s="280"/>
      <c r="E13" s="280"/>
      <c r="F13" s="280"/>
      <c r="G13" s="280"/>
      <c r="H13" s="280"/>
      <c r="I13" s="280"/>
      <c r="J13" s="280"/>
      <c r="L13" s="280"/>
      <c r="M13" s="280"/>
      <c r="O13" s="280"/>
      <c r="P13" s="333" t="s">
        <v>650</v>
      </c>
      <c r="Q13" s="334"/>
      <c r="R13" s="334">
        <v>7613647</v>
      </c>
      <c r="S13" s="334"/>
      <c r="T13" s="334">
        <f>SUM(T3:T11)</f>
        <v>714697</v>
      </c>
      <c r="U13" s="334"/>
      <c r="V13" s="334">
        <f>SUM(V3:V11)</f>
        <v>-206055</v>
      </c>
      <c r="W13" s="334"/>
      <c r="X13" s="334">
        <f>SUM(X3:X11)</f>
        <v>-47</v>
      </c>
      <c r="Y13" s="334"/>
      <c r="Z13" s="334">
        <f>SUM(Z3:Z11)</f>
        <v>8122242</v>
      </c>
      <c r="AB13" s="280"/>
    </row>
    <row r="14" spans="2:28">
      <c r="B14" s="280"/>
      <c r="C14" s="280"/>
      <c r="D14" s="280"/>
      <c r="E14" s="280"/>
      <c r="F14" s="280"/>
      <c r="G14" s="280"/>
      <c r="H14" s="280"/>
      <c r="I14" s="280"/>
      <c r="J14" s="280"/>
      <c r="L14" s="280"/>
      <c r="M14" s="280"/>
      <c r="O14" s="280"/>
      <c r="P14" s="330"/>
      <c r="Q14" s="276"/>
      <c r="R14" s="276"/>
      <c r="S14" s="276"/>
      <c r="T14" s="276"/>
      <c r="U14" s="276"/>
      <c r="V14" s="276"/>
      <c r="W14" s="278"/>
      <c r="X14" s="276"/>
      <c r="Y14" s="276"/>
      <c r="Z14" s="278"/>
      <c r="AB14" s="280"/>
    </row>
    <row r="15" spans="2:28" ht="16.5" thickBot="1">
      <c r="B15" s="305" t="s">
        <v>1127</v>
      </c>
      <c r="C15" s="311"/>
      <c r="D15" s="305" t="s">
        <v>1116</v>
      </c>
      <c r="E15" s="311"/>
      <c r="F15" s="305" t="s">
        <v>1130</v>
      </c>
      <c r="G15" s="311"/>
      <c r="H15" s="305" t="s">
        <v>1131</v>
      </c>
      <c r="I15" s="311"/>
      <c r="J15" s="305" t="s">
        <v>1132</v>
      </c>
      <c r="L15" s="311"/>
      <c r="M15" s="311"/>
      <c r="O15" s="311"/>
      <c r="P15" s="331" t="s">
        <v>1079</v>
      </c>
      <c r="Q15" s="279"/>
      <c r="R15" s="277"/>
      <c r="S15" s="277"/>
      <c r="T15" s="277"/>
      <c r="U15" s="277"/>
      <c r="V15" s="277"/>
      <c r="W15" s="278"/>
      <c r="X15" s="277"/>
      <c r="Y15" s="279"/>
      <c r="Z15" s="278"/>
      <c r="AB15" s="311"/>
    </row>
    <row r="16" spans="2:28">
      <c r="B16" s="306" t="s">
        <v>1218</v>
      </c>
      <c r="C16" s="306"/>
      <c r="D16" s="307">
        <v>41.524965609999938</v>
      </c>
      <c r="E16" s="306"/>
      <c r="F16" s="307">
        <v>63</v>
      </c>
      <c r="G16" s="306"/>
      <c r="H16" s="307">
        <v>23</v>
      </c>
      <c r="I16" s="306"/>
      <c r="J16" s="307">
        <v>39</v>
      </c>
      <c r="L16" s="307"/>
      <c r="M16" s="306"/>
      <c r="O16" s="307"/>
      <c r="P16" s="329" t="s">
        <v>1123</v>
      </c>
      <c r="Q16" s="275"/>
      <c r="R16" s="275">
        <v>-34839</v>
      </c>
      <c r="S16" s="275"/>
      <c r="T16" s="275">
        <v>-20278</v>
      </c>
      <c r="U16" s="275">
        <v>0</v>
      </c>
      <c r="V16" s="275">
        <v>2</v>
      </c>
      <c r="W16" s="275">
        <v>0</v>
      </c>
      <c r="X16" s="275">
        <v>0</v>
      </c>
      <c r="Y16" s="275">
        <v>0</v>
      </c>
      <c r="Z16" s="279">
        <f t="shared" ref="Z16:Z20" si="1">SUM(R16:X16)</f>
        <v>-55115</v>
      </c>
      <c r="AB16" s="306"/>
    </row>
    <row r="17" spans="2:28">
      <c r="B17" s="306" t="s">
        <v>1219</v>
      </c>
      <c r="C17" s="306"/>
      <c r="D17" s="307">
        <v>85.928746539999963</v>
      </c>
      <c r="E17" s="306"/>
      <c r="F17" s="307">
        <v>60</v>
      </c>
      <c r="G17" s="306"/>
      <c r="H17" s="307">
        <v>94</v>
      </c>
      <c r="I17" s="306"/>
      <c r="J17" s="307">
        <v>114</v>
      </c>
      <c r="L17" s="307"/>
      <c r="M17" s="306"/>
      <c r="O17" s="307"/>
      <c r="P17" s="329" t="s">
        <v>1080</v>
      </c>
      <c r="Q17" s="275"/>
      <c r="R17" s="275">
        <v>-643239</v>
      </c>
      <c r="S17" s="275"/>
      <c r="T17" s="275">
        <v>-131541</v>
      </c>
      <c r="U17" s="275">
        <v>0</v>
      </c>
      <c r="V17" s="275">
        <v>0</v>
      </c>
      <c r="W17" s="275">
        <v>0</v>
      </c>
      <c r="X17" s="275">
        <v>0</v>
      </c>
      <c r="Y17" s="275">
        <v>0</v>
      </c>
      <c r="Z17" s="279">
        <f t="shared" si="1"/>
        <v>-774780</v>
      </c>
      <c r="AB17" s="306"/>
    </row>
    <row r="18" spans="2:28" ht="15.75" thickBot="1">
      <c r="B18" s="306" t="s">
        <v>1220</v>
      </c>
      <c r="C18" s="306"/>
      <c r="D18" s="307">
        <v>60.424162140000121</v>
      </c>
      <c r="E18" s="306"/>
      <c r="F18" s="307">
        <v>40</v>
      </c>
      <c r="G18" s="306"/>
      <c r="H18" s="307">
        <v>39</v>
      </c>
      <c r="I18" s="306"/>
      <c r="J18" s="307">
        <v>31</v>
      </c>
      <c r="L18" s="307"/>
      <c r="M18" s="306"/>
      <c r="O18" s="307"/>
      <c r="P18" s="329" t="s">
        <v>1124</v>
      </c>
      <c r="Q18" s="275"/>
      <c r="R18" s="275">
        <v>-1428320</v>
      </c>
      <c r="S18" s="275"/>
      <c r="T18" s="275">
        <v>-337119</v>
      </c>
      <c r="U18" s="275">
        <v>0</v>
      </c>
      <c r="V18" s="275">
        <v>0</v>
      </c>
      <c r="W18" s="275">
        <v>0</v>
      </c>
      <c r="X18" s="275">
        <v>0</v>
      </c>
      <c r="Y18" s="275">
        <v>0</v>
      </c>
      <c r="Z18" s="279">
        <f t="shared" si="1"/>
        <v>-1765439</v>
      </c>
      <c r="AB18" s="306"/>
    </row>
    <row r="19" spans="2:28" ht="15.75" thickBot="1">
      <c r="B19" s="312" t="s">
        <v>650</v>
      </c>
      <c r="C19" s="313"/>
      <c r="D19" s="314">
        <v>187.87787429000002</v>
      </c>
      <c r="E19" s="313"/>
      <c r="F19" s="314">
        <v>163</v>
      </c>
      <c r="G19" s="313"/>
      <c r="H19" s="314">
        <v>156</v>
      </c>
      <c r="I19" s="313"/>
      <c r="J19" s="314">
        <v>184</v>
      </c>
      <c r="L19" s="317"/>
      <c r="M19" s="313"/>
      <c r="O19" s="317"/>
      <c r="P19" s="329" t="s">
        <v>1221</v>
      </c>
      <c r="Q19" s="275"/>
      <c r="R19" s="275">
        <v>-37025</v>
      </c>
      <c r="S19" s="275"/>
      <c r="T19" s="275">
        <v>-9576</v>
      </c>
      <c r="U19" s="275">
        <v>0</v>
      </c>
      <c r="V19" s="275">
        <v>0</v>
      </c>
      <c r="W19" s="275">
        <v>0</v>
      </c>
      <c r="X19" s="275">
        <v>0</v>
      </c>
      <c r="Y19" s="275">
        <v>0</v>
      </c>
      <c r="Z19" s="279">
        <f t="shared" si="1"/>
        <v>-46601</v>
      </c>
      <c r="AB19" s="313"/>
    </row>
    <row r="20" spans="2:28">
      <c r="B20" s="280"/>
      <c r="C20" s="280"/>
      <c r="D20" s="280"/>
      <c r="E20" s="280"/>
      <c r="F20" s="280"/>
      <c r="G20" s="280"/>
      <c r="H20" s="280"/>
      <c r="I20" s="280"/>
      <c r="J20" s="280"/>
      <c r="L20" s="280"/>
      <c r="M20" s="280"/>
      <c r="O20" s="280"/>
      <c r="P20" s="329" t="s">
        <v>1119</v>
      </c>
      <c r="Q20" s="275"/>
      <c r="R20" s="275">
        <v>-30479</v>
      </c>
      <c r="S20" s="275"/>
      <c r="T20" s="275">
        <v>-7730</v>
      </c>
      <c r="U20" s="275">
        <v>0</v>
      </c>
      <c r="V20" s="275">
        <v>96</v>
      </c>
      <c r="W20" s="275">
        <v>0</v>
      </c>
      <c r="X20" s="275">
        <v>0</v>
      </c>
      <c r="Y20" s="275">
        <v>0</v>
      </c>
      <c r="Z20" s="279">
        <f t="shared" si="1"/>
        <v>-38113</v>
      </c>
      <c r="AB20" s="280"/>
    </row>
    <row r="21" spans="2:28" ht="18" customHeight="1">
      <c r="B21" s="347" t="s">
        <v>1293</v>
      </c>
      <c r="C21" s="347"/>
      <c r="D21" s="347" t="s">
        <v>1072</v>
      </c>
      <c r="E21" s="347"/>
      <c r="F21" s="347" t="s">
        <v>1073</v>
      </c>
      <c r="G21" s="347"/>
      <c r="H21" s="347" t="s">
        <v>1074</v>
      </c>
      <c r="I21" s="347"/>
      <c r="J21" s="347" t="s">
        <v>1294</v>
      </c>
      <c r="K21" s="347"/>
      <c r="L21" s="347" t="s">
        <v>650</v>
      </c>
      <c r="M21" s="280"/>
      <c r="O21" s="280"/>
      <c r="P21" s="330"/>
      <c r="Q21" s="276"/>
      <c r="R21" s="276"/>
      <c r="S21" s="276"/>
      <c r="T21" s="276"/>
      <c r="U21" s="276"/>
      <c r="V21" s="276"/>
      <c r="W21" s="278"/>
      <c r="X21" s="276"/>
      <c r="Y21" s="276"/>
      <c r="Z21" s="278"/>
      <c r="AB21" s="280"/>
    </row>
    <row r="22" spans="2:28">
      <c r="B22" s="259" t="s">
        <v>1127</v>
      </c>
      <c r="D22" s="260">
        <v>119.889</v>
      </c>
      <c r="F22" s="260">
        <v>46.115000000000002</v>
      </c>
      <c r="H22" s="260">
        <v>166.00399999999999</v>
      </c>
      <c r="J22" s="260">
        <v>-3.036</v>
      </c>
      <c r="L22" s="260">
        <v>162.96799999999999</v>
      </c>
      <c r="M22" s="319"/>
      <c r="O22" s="280"/>
      <c r="P22" s="333" t="s">
        <v>650</v>
      </c>
      <c r="Q22" s="334"/>
      <c r="R22" s="334">
        <f>SUM(R16:R20)</f>
        <v>-2173902</v>
      </c>
      <c r="S22" s="334">
        <v>0</v>
      </c>
      <c r="T22" s="334">
        <f>SUM(T16:T20)</f>
        <v>-506244</v>
      </c>
      <c r="U22" s="334"/>
      <c r="V22" s="334">
        <f>SUM(V16:V20)</f>
        <v>98</v>
      </c>
      <c r="W22" s="334"/>
      <c r="X22" s="334">
        <f>SUM(X16:X20)</f>
        <v>0</v>
      </c>
      <c r="Y22" s="334"/>
      <c r="Z22" s="334">
        <f>SUM(Z16:Z20)</f>
        <v>-2680048</v>
      </c>
      <c r="AB22" s="280"/>
    </row>
    <row r="23" spans="2:28">
      <c r="B23" s="259" t="s">
        <v>1128</v>
      </c>
      <c r="D23" s="260">
        <v>79.516000000000005</v>
      </c>
      <c r="F23" s="260">
        <v>-36.673999999999999</v>
      </c>
      <c r="H23" s="260">
        <v>42.842000000000006</v>
      </c>
      <c r="J23" s="260">
        <v>-66.835999999999999</v>
      </c>
      <c r="L23" s="260">
        <v>-23.993999999999993</v>
      </c>
      <c r="M23" s="280"/>
      <c r="O23" s="280"/>
      <c r="P23" s="329"/>
      <c r="Q23" s="275"/>
      <c r="R23" s="275"/>
      <c r="S23" s="275"/>
      <c r="T23" s="275"/>
      <c r="U23" s="275"/>
      <c r="V23" s="275"/>
      <c r="W23" s="278"/>
      <c r="X23" s="275"/>
      <c r="Y23" s="275"/>
      <c r="Z23" s="278"/>
      <c r="AB23" s="280"/>
    </row>
    <row r="24" spans="2:28">
      <c r="B24" s="259" t="s">
        <v>1076</v>
      </c>
      <c r="D24" s="260">
        <v>9.4E-2</v>
      </c>
      <c r="F24" s="260">
        <v>0</v>
      </c>
      <c r="H24" s="260">
        <v>9.4E-2</v>
      </c>
      <c r="J24" s="260">
        <v>0</v>
      </c>
      <c r="L24" s="260">
        <v>9.4E-2</v>
      </c>
      <c r="M24" s="280"/>
      <c r="O24" s="280"/>
      <c r="P24" s="329" t="s">
        <v>1081</v>
      </c>
      <c r="Q24" s="275"/>
      <c r="R24" s="275"/>
      <c r="S24" s="275"/>
      <c r="T24" s="275"/>
      <c r="U24" s="275"/>
      <c r="V24" s="275"/>
      <c r="W24" s="278"/>
      <c r="X24" s="275"/>
      <c r="Y24" s="275"/>
      <c r="Z24" s="278"/>
      <c r="AB24" s="280"/>
    </row>
    <row r="25" spans="2:28" ht="15.75" thickBot="1">
      <c r="B25" s="259" t="s">
        <v>1077</v>
      </c>
      <c r="D25" s="260">
        <v>35.164000000000016</v>
      </c>
      <c r="F25" s="260">
        <v>-9.4420000000000019</v>
      </c>
      <c r="H25" s="260">
        <v>25.722000000000016</v>
      </c>
      <c r="J25" s="260">
        <v>-4.4470000000000027</v>
      </c>
      <c r="L25" s="260">
        <v>21.275000000000013</v>
      </c>
      <c r="M25" s="280"/>
      <c r="O25" s="280"/>
      <c r="P25" s="329" t="s">
        <v>1125</v>
      </c>
      <c r="Q25" s="275"/>
      <c r="R25" s="275">
        <v>25702</v>
      </c>
      <c r="S25" s="275">
        <v>0</v>
      </c>
      <c r="T25" s="275">
        <v>6047</v>
      </c>
      <c r="U25" s="275">
        <v>0</v>
      </c>
      <c r="V25" s="275">
        <v>0</v>
      </c>
      <c r="W25" s="278">
        <v>0</v>
      </c>
      <c r="X25" s="275">
        <v>47</v>
      </c>
      <c r="Y25" s="275">
        <v>0</v>
      </c>
      <c r="Z25" s="279">
        <f t="shared" ref="Z25" si="2">SUM(R25:X25)</f>
        <v>31796</v>
      </c>
      <c r="AB25" s="280"/>
    </row>
    <row r="26" spans="2:28" ht="15.75" thickBot="1">
      <c r="B26" s="28" t="s">
        <v>650</v>
      </c>
      <c r="C26" s="64"/>
      <c r="D26" s="64">
        <v>234.66300000000001</v>
      </c>
      <c r="E26" s="64"/>
      <c r="F26" s="64">
        <v>-1E-3</v>
      </c>
      <c r="G26" s="64"/>
      <c r="H26" s="64">
        <v>234.66200000000001</v>
      </c>
      <c r="I26" s="64"/>
      <c r="J26" s="64">
        <v>-74.319000000000003</v>
      </c>
      <c r="K26" s="64"/>
      <c r="L26" s="64">
        <v>160.34299999999999</v>
      </c>
      <c r="M26" s="280"/>
      <c r="O26" s="280"/>
      <c r="P26" s="329"/>
      <c r="Q26" s="275"/>
      <c r="R26" s="275"/>
      <c r="S26" s="275"/>
      <c r="T26" s="275"/>
      <c r="U26" s="275"/>
      <c r="V26" s="275"/>
      <c r="W26" s="278"/>
      <c r="X26" s="275"/>
      <c r="Y26" s="275"/>
      <c r="Z26" s="278"/>
      <c r="AB26" s="280"/>
    </row>
    <row r="27" spans="2:28">
      <c r="M27" s="280"/>
      <c r="O27" s="280"/>
      <c r="P27" s="329" t="s">
        <v>1082</v>
      </c>
      <c r="Q27" s="275"/>
      <c r="R27" s="275"/>
      <c r="S27" s="275"/>
      <c r="T27" s="275"/>
      <c r="U27" s="275"/>
      <c r="V27" s="275"/>
      <c r="W27" s="278"/>
      <c r="X27" s="275"/>
      <c r="Y27" s="275"/>
      <c r="Z27" s="278"/>
      <c r="AB27" s="280"/>
    </row>
    <row r="28" spans="2:28">
      <c r="B28" s="347" t="s">
        <v>1295</v>
      </c>
      <c r="C28" s="280"/>
      <c r="D28" s="347" t="s">
        <v>1072</v>
      </c>
      <c r="E28" s="280"/>
      <c r="F28" s="347" t="s">
        <v>1073</v>
      </c>
      <c r="G28" s="280"/>
      <c r="H28" s="347" t="s">
        <v>1074</v>
      </c>
      <c r="I28" s="280"/>
      <c r="J28" s="347" t="s">
        <v>1294</v>
      </c>
      <c r="L28" s="347" t="s">
        <v>650</v>
      </c>
      <c r="M28" s="280"/>
      <c r="N28" s="280"/>
      <c r="O28" s="280"/>
      <c r="P28" s="329" t="s">
        <v>1126</v>
      </c>
      <c r="Q28" s="275"/>
      <c r="R28" s="275">
        <v>-9558</v>
      </c>
      <c r="S28" s="275">
        <v>0</v>
      </c>
      <c r="T28" s="275">
        <v>-3297</v>
      </c>
      <c r="U28" s="275">
        <v>0</v>
      </c>
      <c r="V28" s="275">
        <v>0</v>
      </c>
      <c r="W28" s="278">
        <v>0</v>
      </c>
      <c r="X28" s="275">
        <v>0</v>
      </c>
      <c r="Y28" s="275">
        <v>0</v>
      </c>
      <c r="Z28" s="279">
        <f t="shared" ref="Z28" si="3">SUM(R28:X28)</f>
        <v>-12855</v>
      </c>
      <c r="AB28" s="280"/>
    </row>
    <row r="29" spans="2:28">
      <c r="B29" s="259" t="s">
        <v>1127</v>
      </c>
      <c r="D29" s="260">
        <v>107.46300000000001</v>
      </c>
      <c r="F29" s="260">
        <v>48.764999999999993</v>
      </c>
      <c r="H29" s="260">
        <v>156.22799999999998</v>
      </c>
      <c r="J29" s="260">
        <v>5.3999999999999826E-2</v>
      </c>
      <c r="L29" s="260">
        <v>156.28199999999995</v>
      </c>
      <c r="M29" s="280"/>
      <c r="N29" s="280"/>
      <c r="O29" s="280"/>
      <c r="P29" s="332"/>
      <c r="Q29" s="278"/>
      <c r="R29" s="278"/>
      <c r="S29" s="278"/>
      <c r="T29" s="278"/>
      <c r="U29" s="278"/>
      <c r="V29" s="275"/>
      <c r="W29" s="278"/>
      <c r="X29" s="278"/>
      <c r="Y29" s="278"/>
      <c r="Z29" s="278"/>
      <c r="AB29" s="280"/>
    </row>
    <row r="30" spans="2:28" ht="15.75" thickBot="1">
      <c r="B30" s="259" t="s">
        <v>1128</v>
      </c>
      <c r="D30" s="260">
        <v>90.272000000000006</v>
      </c>
      <c r="F30" s="260">
        <v>-50.711000000000006</v>
      </c>
      <c r="H30" s="260">
        <v>39.561</v>
      </c>
      <c r="J30" s="260">
        <v>-68.100000000000009</v>
      </c>
      <c r="L30" s="260">
        <v>-28.539000000000009</v>
      </c>
      <c r="M30" s="280"/>
      <c r="N30" s="280"/>
      <c r="O30" s="280"/>
      <c r="P30" s="335" t="s">
        <v>1083</v>
      </c>
      <c r="Q30" s="336"/>
      <c r="R30" s="336">
        <f>R13+R22+R25+R28</f>
        <v>5455889</v>
      </c>
      <c r="S30" s="336"/>
      <c r="T30" s="336">
        <f>T13+T22+T25+T28</f>
        <v>211203</v>
      </c>
      <c r="U30" s="336"/>
      <c r="V30" s="336">
        <f>V13+V22+V25+V28</f>
        <v>-205957</v>
      </c>
      <c r="W30" s="336"/>
      <c r="X30" s="336">
        <f>X13+X22+X25+X28</f>
        <v>0</v>
      </c>
      <c r="Y30" s="336"/>
      <c r="Z30" s="336">
        <f>Z13+Z22+Z25+Z28</f>
        <v>5461135</v>
      </c>
      <c r="AB30" s="280"/>
    </row>
    <row r="31" spans="2:28" ht="15.75" thickTop="1">
      <c r="B31" s="259" t="s">
        <v>1076</v>
      </c>
      <c r="D31" s="260">
        <v>-2.3000000000000007E-2</v>
      </c>
      <c r="F31" s="260">
        <v>0</v>
      </c>
      <c r="H31" s="260">
        <v>-2.3000000000000007E-2</v>
      </c>
      <c r="J31" s="260">
        <v>0</v>
      </c>
      <c r="L31" s="260">
        <v>-2.3000000000000007E-2</v>
      </c>
    </row>
    <row r="32" spans="2:28" ht="15.75" thickBot="1">
      <c r="B32" s="259" t="s">
        <v>1077</v>
      </c>
      <c r="D32" s="260">
        <v>34.898999999999972</v>
      </c>
      <c r="F32" s="260">
        <v>1.9470000000000116</v>
      </c>
      <c r="H32" s="260">
        <v>36.845999999999982</v>
      </c>
      <c r="J32" s="260">
        <v>-4.9999999999954525E-3</v>
      </c>
      <c r="L32" s="260">
        <v>36.840999999999987</v>
      </c>
    </row>
    <row r="33" spans="2:12" ht="15.75" thickBot="1">
      <c r="B33" s="28" t="s">
        <v>650</v>
      </c>
      <c r="C33" s="28"/>
      <c r="D33" s="64">
        <v>232.61099999999999</v>
      </c>
      <c r="E33" s="64"/>
      <c r="F33" s="64">
        <v>1E-3</v>
      </c>
      <c r="G33" s="64"/>
      <c r="H33" s="64">
        <v>232.61199999999999</v>
      </c>
      <c r="I33" s="64"/>
      <c r="J33" s="64">
        <v>-68.051000000000002</v>
      </c>
      <c r="K33" s="64"/>
      <c r="L33" s="64">
        <v>164.56099999999995</v>
      </c>
    </row>
    <row r="35" spans="2:12">
      <c r="B35" s="347" t="s">
        <v>1302</v>
      </c>
      <c r="C35" s="347"/>
      <c r="D35" s="347" t="s">
        <v>1072</v>
      </c>
      <c r="E35" s="347"/>
      <c r="F35" s="347" t="s">
        <v>1073</v>
      </c>
      <c r="G35" s="347"/>
      <c r="H35" s="347" t="s">
        <v>1074</v>
      </c>
      <c r="I35" s="347"/>
      <c r="J35" s="347" t="s">
        <v>1294</v>
      </c>
      <c r="K35" s="347"/>
      <c r="L35" s="347" t="s">
        <v>650</v>
      </c>
    </row>
    <row r="36" spans="2:12">
      <c r="B36" s="259" t="s">
        <v>1127</v>
      </c>
      <c r="D36" s="260">
        <v>129.21700000000001</v>
      </c>
      <c r="F36" s="260">
        <v>54.855000000000018</v>
      </c>
      <c r="H36" s="260">
        <v>184.07200000000006</v>
      </c>
      <c r="J36" s="260">
        <v>0</v>
      </c>
      <c r="L36" s="260">
        <v>184.07200000000006</v>
      </c>
    </row>
    <row r="37" spans="2:12">
      <c r="B37" s="259" t="s">
        <v>1128</v>
      </c>
      <c r="D37" s="260">
        <v>95.32099999999997</v>
      </c>
      <c r="F37" s="260">
        <v>-52.606000000000009</v>
      </c>
      <c r="H37" s="260">
        <v>42.714999999999961</v>
      </c>
      <c r="J37" s="260">
        <v>-63.685000000000002</v>
      </c>
      <c r="L37" s="260">
        <v>-20.970000000000041</v>
      </c>
    </row>
    <row r="38" spans="2:12">
      <c r="B38" s="259" t="s">
        <v>1076</v>
      </c>
      <c r="D38" s="260">
        <v>0</v>
      </c>
      <c r="F38" s="260">
        <v>0</v>
      </c>
      <c r="H38" s="260">
        <v>0</v>
      </c>
      <c r="J38" s="260">
        <v>0</v>
      </c>
      <c r="L38" s="260">
        <v>0</v>
      </c>
    </row>
    <row r="39" spans="2:12" ht="15.75" thickBot="1">
      <c r="B39" s="259" t="s">
        <v>1077</v>
      </c>
      <c r="D39" s="260">
        <v>28.932000000000016</v>
      </c>
      <c r="F39" s="260">
        <v>-2.2490000000000094</v>
      </c>
      <c r="H39" s="260">
        <v>26.683000000000007</v>
      </c>
      <c r="J39" s="260">
        <v>0</v>
      </c>
      <c r="L39" s="260">
        <v>26.683000000000007</v>
      </c>
    </row>
    <row r="40" spans="2:12" ht="15.75" thickBot="1">
      <c r="B40" s="28" t="s">
        <v>650</v>
      </c>
      <c r="D40" s="64">
        <v>253.47</v>
      </c>
      <c r="F40" s="64">
        <v>0</v>
      </c>
      <c r="H40" s="64">
        <v>253.47000000000003</v>
      </c>
      <c r="J40" s="64">
        <v>-63.685000000000002</v>
      </c>
      <c r="L40" s="64">
        <v>189.78500000000003</v>
      </c>
    </row>
    <row r="43" spans="2:12" ht="19.5" thickBot="1">
      <c r="B43" s="304" t="s">
        <v>1296</v>
      </c>
      <c r="D43" s="318" t="s">
        <v>1072</v>
      </c>
      <c r="F43" s="318" t="s">
        <v>1073</v>
      </c>
      <c r="G43" s="319"/>
      <c r="H43" s="318" t="s">
        <v>1074</v>
      </c>
      <c r="I43" s="319"/>
      <c r="J43" s="318" t="s">
        <v>1075</v>
      </c>
      <c r="L43" s="318" t="s">
        <v>650</v>
      </c>
    </row>
    <row r="44" spans="2:12">
      <c r="B44" s="259" t="s">
        <v>1127</v>
      </c>
      <c r="D44" s="260">
        <v>356.56900000000002</v>
      </c>
      <c r="F44" s="260">
        <v>149.73500000000001</v>
      </c>
      <c r="G44" s="280"/>
      <c r="H44" s="260">
        <v>506.30400000000003</v>
      </c>
      <c r="I44" s="280"/>
      <c r="J44" s="260">
        <v>-2.9820000000000002</v>
      </c>
      <c r="L44" s="260">
        <f>J44+H44</f>
        <v>503.322</v>
      </c>
    </row>
    <row r="45" spans="2:12">
      <c r="B45" s="259" t="s">
        <v>1128</v>
      </c>
      <c r="D45" s="260">
        <v>265.10899999999998</v>
      </c>
      <c r="F45" s="260">
        <v>-139.99100000000001</v>
      </c>
      <c r="G45" s="280"/>
      <c r="H45" s="260">
        <v>125.11799999999997</v>
      </c>
      <c r="I45" s="280"/>
      <c r="J45" s="260">
        <v>-198.62100000000001</v>
      </c>
      <c r="L45" s="260">
        <f>J45+H45</f>
        <v>-73.503000000000043</v>
      </c>
    </row>
    <row r="46" spans="2:12">
      <c r="B46" s="259" t="s">
        <v>1076</v>
      </c>
      <c r="D46" s="260">
        <v>7.0999999999999994E-2</v>
      </c>
      <c r="F46" s="260">
        <v>0</v>
      </c>
      <c r="G46" s="280"/>
      <c r="H46" s="260">
        <v>7.0999999999999994E-2</v>
      </c>
      <c r="I46" s="280"/>
      <c r="J46" s="260">
        <v>0</v>
      </c>
      <c r="L46" s="260">
        <f>J46+H46</f>
        <v>7.0999999999999994E-2</v>
      </c>
    </row>
    <row r="47" spans="2:12" ht="15.75" thickBot="1">
      <c r="B47" s="259" t="s">
        <v>1077</v>
      </c>
      <c r="D47" s="260">
        <v>98.995000000000005</v>
      </c>
      <c r="F47" s="260">
        <v>-9.7439999999999998</v>
      </c>
      <c r="G47" s="280"/>
      <c r="H47" s="260">
        <v>89.251000000000005</v>
      </c>
      <c r="I47" s="280"/>
      <c r="J47" s="260">
        <v>-4.4519999999999982</v>
      </c>
      <c r="L47" s="260">
        <f>J47+H47</f>
        <v>84.799000000000007</v>
      </c>
    </row>
    <row r="48" spans="2:12" ht="15.75" thickBot="1">
      <c r="B48" s="28" t="s">
        <v>650</v>
      </c>
      <c r="C48" s="64"/>
      <c r="D48" s="64">
        <f>SUM(D44:D47)</f>
        <v>720.74400000000003</v>
      </c>
      <c r="E48" s="64"/>
      <c r="F48" s="64">
        <f>SUM(F44:F47)</f>
        <v>0</v>
      </c>
      <c r="G48" s="64"/>
      <c r="H48" s="64">
        <f>SUM(H44:H47)</f>
        <v>720.74400000000003</v>
      </c>
      <c r="I48" s="64"/>
      <c r="J48" s="64">
        <f>SUM(J44:J47)</f>
        <v>-206.05500000000001</v>
      </c>
      <c r="K48" s="64"/>
      <c r="L48" s="64">
        <f>SUM(L44:L47)</f>
        <v>514.68899999999996</v>
      </c>
    </row>
    <row r="50" spans="16:16">
      <c r="P50" s="315"/>
    </row>
    <row r="51" spans="16:16">
      <c r="P51" s="206"/>
    </row>
    <row r="52" spans="16:16">
      <c r="P52" s="206"/>
    </row>
    <row r="53" spans="16:16">
      <c r="P53" s="206"/>
    </row>
    <row r="54" spans="16:16">
      <c r="P54" s="206"/>
    </row>
    <row r="55" spans="16:16">
      <c r="P55" s="206"/>
    </row>
    <row r="56" spans="16:16">
      <c r="P56" s="206"/>
    </row>
    <row r="57" spans="16:16" s="280" customFormat="1">
      <c r="P57" s="206"/>
    </row>
    <row r="58" spans="16:16" s="280" customFormat="1">
      <c r="P58" s="206"/>
    </row>
    <row r="59" spans="16:16" s="280" customFormat="1">
      <c r="P59" s="206"/>
    </row>
    <row r="60" spans="16:16" s="280" customFormat="1">
      <c r="P60" s="206"/>
    </row>
    <row r="61" spans="16:16" s="280" customFormat="1"/>
  </sheetData>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7B74C-BE40-4CC6-BFDE-F23CD313C6F4}">
  <dimension ref="B2:AS42"/>
  <sheetViews>
    <sheetView showGridLines="0" zoomScale="90" zoomScaleNormal="90" workbookViewId="0">
      <pane xSplit="7" ySplit="7" topLeftCell="AG8" activePane="bottomRight" state="frozen"/>
      <selection pane="topRight"/>
      <selection pane="bottomLeft"/>
      <selection pane="bottomRight" activeCell="AK3" sqref="AK3"/>
    </sheetView>
  </sheetViews>
  <sheetFormatPr defaultRowHeight="15"/>
  <cols>
    <col min="1" max="1" width="2.5703125" customWidth="1"/>
    <col min="2" max="2" width="47.28515625" bestFit="1" customWidth="1"/>
    <col min="3" max="3" width="1.140625" customWidth="1"/>
    <col min="4" max="4" width="40.5703125" customWidth="1"/>
    <col min="5" max="5" width="1.140625" customWidth="1"/>
    <col min="6" max="6" width="10.42578125" customWidth="1"/>
    <col min="7" max="8" width="2.28515625" customWidth="1"/>
    <col min="9" max="9" width="13.5703125" customWidth="1"/>
    <col min="10" max="10" width="1.140625" customWidth="1"/>
    <col min="11" max="11" width="13.5703125" customWidth="1"/>
    <col min="12" max="12" width="1.140625" customWidth="1"/>
    <col min="13" max="13" width="13.5703125" customWidth="1"/>
    <col min="14" max="14" width="1.140625" customWidth="1"/>
    <col min="15" max="15" width="13.5703125" customWidth="1"/>
    <col min="16" max="16" width="1.140625" customWidth="1"/>
    <col min="17" max="17" width="13.5703125" customWidth="1"/>
    <col min="18" max="18" width="1.140625" customWidth="1"/>
    <col min="19" max="19" width="13.5703125" customWidth="1"/>
    <col min="20" max="20" width="1.140625" customWidth="1"/>
    <col min="21" max="21" width="13.5703125" customWidth="1"/>
    <col min="22" max="22" width="1.140625" customWidth="1"/>
    <col min="23" max="23" width="13.5703125" customWidth="1"/>
    <col min="24" max="24" width="1.140625" customWidth="1"/>
    <col min="25" max="25" width="13.5703125" customWidth="1"/>
    <col min="26" max="26" width="1.140625" customWidth="1"/>
    <col min="27" max="27" width="13.5703125" customWidth="1"/>
    <col min="28" max="28" width="1.140625" customWidth="1"/>
    <col min="29" max="29" width="13.5703125" customWidth="1"/>
    <col min="30" max="30" width="1.140625" customWidth="1"/>
    <col min="31" max="31" width="13.5703125" customWidth="1"/>
    <col min="32" max="32" width="1.140625" customWidth="1"/>
    <col min="33" max="33" width="13.5703125" customWidth="1"/>
    <col min="34" max="34" width="1.140625" customWidth="1"/>
    <col min="35" max="35" width="13.5703125" customWidth="1"/>
    <col min="36" max="36" width="1.140625" customWidth="1"/>
    <col min="37" max="37" width="13.5703125" customWidth="1"/>
    <col min="38" max="38" width="1.140625" customWidth="1"/>
    <col min="39" max="39" width="13.5703125" customWidth="1"/>
    <col min="40" max="40" width="1.140625" customWidth="1"/>
    <col min="41" max="41" width="13.5703125" customWidth="1"/>
    <col min="42" max="42" width="1.140625" customWidth="1"/>
    <col min="43" max="43" width="13.5703125" customWidth="1"/>
    <col min="44" max="44" width="1.140625" customWidth="1"/>
    <col min="45" max="45" width="13.5703125" customWidth="1"/>
    <col min="46" max="47" width="9.85546875" customWidth="1"/>
  </cols>
  <sheetData>
    <row r="2" spans="2:45" ht="18.75">
      <c r="D2" s="43" t="s">
        <v>880</v>
      </c>
    </row>
    <row r="4" spans="2:45" ht="15" customHeight="1"/>
    <row r="5" spans="2:45" ht="3" customHeight="1">
      <c r="C5" s="197"/>
      <c r="E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row>
    <row r="6" spans="2:45">
      <c r="C6" s="160"/>
      <c r="E6" s="160"/>
      <c r="G6" s="160"/>
      <c r="H6" s="160"/>
      <c r="I6" s="204" t="s">
        <v>1005</v>
      </c>
      <c r="J6" s="160"/>
      <c r="K6" s="204" t="s">
        <v>1006</v>
      </c>
      <c r="L6" s="160"/>
      <c r="M6" s="204" t="s">
        <v>866</v>
      </c>
      <c r="N6" s="160"/>
      <c r="O6" s="204" t="s">
        <v>867</v>
      </c>
      <c r="P6" s="160"/>
      <c r="Q6" s="223" t="s">
        <v>924</v>
      </c>
      <c r="R6" s="160"/>
      <c r="S6" s="204" t="s">
        <v>1007</v>
      </c>
      <c r="T6" s="160"/>
      <c r="U6" s="204" t="s">
        <v>1008</v>
      </c>
      <c r="V6" s="160"/>
      <c r="W6" s="204" t="s">
        <v>837</v>
      </c>
      <c r="X6" s="160"/>
      <c r="Y6" s="204" t="s">
        <v>1071</v>
      </c>
      <c r="Z6" s="160"/>
      <c r="AA6" s="204" t="s">
        <v>1059</v>
      </c>
      <c r="AB6" s="160"/>
      <c r="AC6" s="204" t="s">
        <v>1116</v>
      </c>
      <c r="AD6" s="160"/>
      <c r="AE6" s="223" t="s">
        <v>1117</v>
      </c>
      <c r="AF6" s="160"/>
      <c r="AG6" s="204" t="s">
        <v>1130</v>
      </c>
      <c r="AH6" s="160"/>
      <c r="AI6" s="204" t="s">
        <v>1131</v>
      </c>
      <c r="AJ6" s="160"/>
      <c r="AK6" s="337" t="s">
        <v>1259</v>
      </c>
      <c r="AL6" s="160"/>
      <c r="AM6" s="337" t="s">
        <v>1132</v>
      </c>
      <c r="AN6" s="160"/>
      <c r="AO6" s="337" t="s">
        <v>1258</v>
      </c>
      <c r="AP6" s="160"/>
      <c r="AQ6" s="337" t="s">
        <v>1133</v>
      </c>
      <c r="AR6" s="160"/>
      <c r="AS6" s="337">
        <v>2024</v>
      </c>
    </row>
    <row r="7" spans="2:45" ht="3" customHeight="1">
      <c r="C7" s="197"/>
      <c r="E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row>
    <row r="8" spans="2:45" ht="15.75" thickBot="1">
      <c r="B8" s="204" t="s">
        <v>878</v>
      </c>
      <c r="C8" s="205"/>
      <c r="D8" s="204" t="s">
        <v>877</v>
      </c>
      <c r="E8" s="205"/>
      <c r="F8" s="205"/>
    </row>
    <row r="9" spans="2:45" ht="16.5" thickTop="1" thickBot="1">
      <c r="B9" s="198" t="s">
        <v>193</v>
      </c>
      <c r="C9" s="199"/>
      <c r="D9" s="198" t="s">
        <v>719</v>
      </c>
      <c r="E9" s="199"/>
      <c r="F9" s="199" t="s">
        <v>873</v>
      </c>
      <c r="G9" s="201"/>
      <c r="H9" s="201"/>
      <c r="I9" s="200">
        <v>449.89055065562502</v>
      </c>
      <c r="J9" s="201"/>
      <c r="K9" s="200">
        <v>429.39663953122499</v>
      </c>
      <c r="L9" s="201"/>
      <c r="M9" s="200">
        <v>450.77034266027499</v>
      </c>
      <c r="N9" s="201"/>
      <c r="O9" s="200">
        <v>413.358</v>
      </c>
      <c r="P9" s="201"/>
      <c r="Q9" s="200">
        <v>1743.416228534875</v>
      </c>
      <c r="R9" s="201"/>
      <c r="S9" s="200">
        <v>408.54080727300004</v>
      </c>
      <c r="T9" s="201"/>
      <c r="U9" s="200">
        <v>431.58809569840002</v>
      </c>
      <c r="V9" s="201"/>
      <c r="W9" s="200">
        <v>840.12890297140007</v>
      </c>
      <c r="X9" s="201"/>
      <c r="Y9" s="200">
        <v>500.17845842859992</v>
      </c>
      <c r="Z9" s="201"/>
      <c r="AA9" s="200">
        <v>1340.3073614</v>
      </c>
      <c r="AB9" s="201"/>
      <c r="AC9" s="200">
        <v>472.55927947999993</v>
      </c>
      <c r="AD9" s="201"/>
      <c r="AE9" s="200">
        <v>1812.8666408799997</v>
      </c>
      <c r="AF9" s="201"/>
      <c r="AG9" s="200">
        <v>458.77178269000001</v>
      </c>
      <c r="AH9" s="201"/>
      <c r="AI9" s="200">
        <v>532.87940118000006</v>
      </c>
      <c r="AJ9" s="349"/>
      <c r="AK9" s="200">
        <v>991.65118387000007</v>
      </c>
      <c r="AL9" s="349"/>
      <c r="AM9" s="200">
        <v>534.51815552000005</v>
      </c>
      <c r="AN9" s="349"/>
      <c r="AO9" s="200">
        <v>1526.16933939</v>
      </c>
      <c r="AP9" s="349"/>
      <c r="AQ9" s="200"/>
      <c r="AR9" s="349"/>
      <c r="AS9" s="200"/>
    </row>
    <row r="10" spans="2:45" ht="16.5" thickTop="1" thickBot="1">
      <c r="B10" s="198" t="s">
        <v>1036</v>
      </c>
      <c r="C10" s="201"/>
      <c r="D10" s="198" t="s">
        <v>1037</v>
      </c>
      <c r="E10" s="201"/>
      <c r="F10" s="199" t="s">
        <v>873</v>
      </c>
      <c r="G10" s="201"/>
      <c r="H10" s="201"/>
      <c r="I10" s="200">
        <v>535.12055065562504</v>
      </c>
      <c r="J10" s="201"/>
      <c r="K10" s="200">
        <v>559.75763953122498</v>
      </c>
      <c r="L10" s="201"/>
      <c r="M10" s="200">
        <v>578.08634266027502</v>
      </c>
      <c r="N10" s="201"/>
      <c r="O10" s="200">
        <v>512.08199999999999</v>
      </c>
      <c r="P10" s="201"/>
      <c r="Q10" s="200">
        <v>2185.0472285348751</v>
      </c>
      <c r="R10" s="201"/>
      <c r="S10" s="200">
        <v>480.008807273</v>
      </c>
      <c r="T10" s="201"/>
      <c r="U10" s="200">
        <v>491.87409569840003</v>
      </c>
      <c r="V10" s="201"/>
      <c r="W10" s="200">
        <v>971.88290297139997</v>
      </c>
      <c r="X10" s="201"/>
      <c r="Y10" s="200">
        <v>570.78845842860005</v>
      </c>
      <c r="Z10" s="201"/>
      <c r="AA10" s="200">
        <v>1542.6713614</v>
      </c>
      <c r="AB10" s="201"/>
      <c r="AC10" s="200">
        <v>538.4042794799999</v>
      </c>
      <c r="AD10" s="201"/>
      <c r="AE10" s="200">
        <v>2081.0756408799998</v>
      </c>
      <c r="AF10" s="201"/>
      <c r="AG10" s="200">
        <v>517.94178268999997</v>
      </c>
      <c r="AH10" s="201"/>
      <c r="AI10" s="200">
        <v>564.95240118000004</v>
      </c>
      <c r="AJ10" s="349"/>
      <c r="AK10" s="200">
        <v>1082.89418387</v>
      </c>
      <c r="AL10" s="349"/>
      <c r="AM10" s="200">
        <v>565.25315552000006</v>
      </c>
      <c r="AN10" s="349"/>
      <c r="AO10" s="200">
        <v>1648.1473393900001</v>
      </c>
      <c r="AP10" s="349"/>
      <c r="AQ10" s="200"/>
      <c r="AR10" s="349"/>
      <c r="AS10" s="200"/>
    </row>
    <row r="11" spans="2:45" ht="16.5" thickTop="1" thickBot="1">
      <c r="B11" s="198" t="s">
        <v>1233</v>
      </c>
      <c r="C11" s="201"/>
      <c r="D11" s="198" t="s">
        <v>1234</v>
      </c>
      <c r="E11" s="201"/>
      <c r="F11" s="199" t="s">
        <v>874</v>
      </c>
      <c r="G11" s="201"/>
      <c r="H11" s="201"/>
      <c r="I11" s="200">
        <v>1114.1099999999999</v>
      </c>
      <c r="J11" s="201"/>
      <c r="K11" s="200">
        <v>1132.586</v>
      </c>
      <c r="L11" s="201"/>
      <c r="M11" s="200">
        <v>1193.3320000000001</v>
      </c>
      <c r="N11" s="201"/>
      <c r="O11" s="200">
        <v>1232.5282391497124</v>
      </c>
      <c r="P11" s="201"/>
      <c r="Q11" s="200">
        <v>4672.5282198221821</v>
      </c>
      <c r="R11" s="201"/>
      <c r="S11" s="200">
        <v>1250.19</v>
      </c>
      <c r="T11" s="201"/>
      <c r="U11" s="200">
        <v>1413.1389999999999</v>
      </c>
      <c r="V11" s="201"/>
      <c r="W11" s="200">
        <v>2663.3289999999997</v>
      </c>
      <c r="X11" s="201"/>
      <c r="Y11" s="200">
        <v>1475.2773260960168</v>
      </c>
      <c r="Z11" s="201"/>
      <c r="AA11" s="200">
        <v>4138.6063260960163</v>
      </c>
      <c r="AB11" s="201"/>
      <c r="AC11" s="200">
        <v>1388</v>
      </c>
      <c r="AE11" s="200">
        <f>S11+U11+Y11+AC11</f>
        <v>5526.6063260960163</v>
      </c>
      <c r="AF11" s="201"/>
      <c r="AG11" s="200">
        <v>1366</v>
      </c>
      <c r="AH11" s="201"/>
      <c r="AI11" s="200">
        <v>1387.7665676551246</v>
      </c>
      <c r="AJ11" s="349"/>
      <c r="AK11" s="200">
        <v>2753.7665676551246</v>
      </c>
      <c r="AL11" s="349"/>
      <c r="AM11" s="200">
        <v>1385.7599281889568</v>
      </c>
      <c r="AN11" s="349"/>
      <c r="AO11" s="200">
        <v>4139.5264958440812</v>
      </c>
      <c r="AP11" s="349"/>
      <c r="AQ11" s="200"/>
      <c r="AR11" s="349"/>
      <c r="AS11" s="200"/>
    </row>
    <row r="12" spans="2:45" ht="16.5" thickTop="1" thickBot="1">
      <c r="B12" s="198" t="s">
        <v>1038</v>
      </c>
      <c r="C12" s="203"/>
      <c r="D12" s="198" t="s">
        <v>1039</v>
      </c>
      <c r="E12" s="203"/>
      <c r="F12" s="199" t="s">
        <v>875</v>
      </c>
      <c r="G12" s="203"/>
      <c r="H12" s="203"/>
      <c r="I12" s="202">
        <v>77.210632516234952</v>
      </c>
      <c r="J12" s="203"/>
      <c r="K12" s="202">
        <v>77.058819146730499</v>
      </c>
      <c r="L12" s="203"/>
      <c r="M12" s="202">
        <v>71.966513956264507</v>
      </c>
      <c r="N12" s="203"/>
      <c r="O12" s="202">
        <v>63.815585427169388</v>
      </c>
      <c r="P12" s="203"/>
      <c r="Q12" s="202">
        <v>72.25417019003973</v>
      </c>
      <c r="R12" s="203"/>
      <c r="S12" s="202">
        <v>62.905093599263168</v>
      </c>
      <c r="T12" s="203"/>
      <c r="U12" s="202">
        <v>61.689453165907622</v>
      </c>
      <c r="V12" s="203"/>
      <c r="W12" s="202">
        <v>62.188202888286455</v>
      </c>
      <c r="X12" s="203"/>
      <c r="Y12" s="202">
        <v>69.47303184504517</v>
      </c>
      <c r="Z12" s="203"/>
      <c r="AA12" s="202">
        <v>64.663343292200437</v>
      </c>
      <c r="AB12" s="203"/>
      <c r="AC12" s="202">
        <f>AC9*10^3/AC$11/AC$38</f>
        <v>68.734425311108055</v>
      </c>
      <c r="AD12" s="203"/>
      <c r="AE12" s="202">
        <f>AE9*10^3/AE$11/AE$38</f>
        <v>65.676520384325272</v>
      </c>
      <c r="AF12" s="203"/>
      <c r="AG12" s="202">
        <f>AG9*10^3/AG$11/AG$38</f>
        <v>67.907620524880301</v>
      </c>
      <c r="AH12" s="203"/>
      <c r="AI12" s="202">
        <v>73.601793759869452</v>
      </c>
      <c r="AJ12" s="350"/>
      <c r="AK12" s="202">
        <v>70.868160116678851</v>
      </c>
      <c r="AL12" s="350"/>
      <c r="AM12" s="202">
        <f>AM9*1000/AM11/AM38</f>
        <v>69.499467845803366</v>
      </c>
      <c r="AN12" s="350"/>
      <c r="AO12" s="202">
        <f>AO9*1000/AO11/AO38</f>
        <v>70.359180214377048</v>
      </c>
      <c r="AP12" s="350"/>
      <c r="AQ12" s="202"/>
      <c r="AR12" s="350"/>
      <c r="AS12" s="202"/>
    </row>
    <row r="13" spans="2:45" ht="16.5" thickTop="1" thickBot="1">
      <c r="B13" s="198" t="s">
        <v>1040</v>
      </c>
      <c r="C13" s="203"/>
      <c r="D13" s="198" t="s">
        <v>1041</v>
      </c>
      <c r="E13" s="203"/>
      <c r="F13" s="199" t="s">
        <v>875</v>
      </c>
      <c r="G13" s="203"/>
      <c r="H13" s="203"/>
      <c r="I13" s="202">
        <v>91.837883966101415</v>
      </c>
      <c r="J13" s="203"/>
      <c r="K13" s="202">
        <v>100.45319115148961</v>
      </c>
      <c r="L13" s="203"/>
      <c r="M13" s="202">
        <v>92.292803917538933</v>
      </c>
      <c r="N13" s="203"/>
      <c r="O13" s="202">
        <v>79.0569255142413</v>
      </c>
      <c r="P13" s="203"/>
      <c r="Q13" s="202">
        <v>90.557132450528471</v>
      </c>
      <c r="R13" s="203"/>
      <c r="S13" s="202">
        <v>73.90938288767191</v>
      </c>
      <c r="T13" s="203"/>
      <c r="U13" s="202">
        <v>70.306489665817935</v>
      </c>
      <c r="V13" s="203"/>
      <c r="W13" s="202">
        <v>71.940925898248423</v>
      </c>
      <c r="X13" s="203"/>
      <c r="Y13" s="202">
        <v>79.280512946870559</v>
      </c>
      <c r="Z13" s="203"/>
      <c r="AA13" s="202">
        <v>74.426426879471464</v>
      </c>
      <c r="AB13" s="203"/>
      <c r="AC13" s="202">
        <f>AC10*10^3/AC$11/AC$38</f>
        <v>78.311675047035536</v>
      </c>
      <c r="AD13" s="203"/>
      <c r="AE13" s="202">
        <f>AE10*10^3/AE$11/AE$38</f>
        <v>75.393194219312292</v>
      </c>
      <c r="AF13" s="203"/>
      <c r="AG13" s="202">
        <f>AG10*10^3/AG$11/AG$38</f>
        <v>76.665992460698021</v>
      </c>
      <c r="AH13" s="203"/>
      <c r="AI13" s="202">
        <v>78.031746064336375</v>
      </c>
      <c r="AJ13" s="350"/>
      <c r="AK13" s="202">
        <v>77.388823469584011</v>
      </c>
      <c r="AL13" s="350"/>
      <c r="AM13" s="202">
        <v>73.495714039092562</v>
      </c>
      <c r="AN13" s="350"/>
      <c r="AO13" s="202">
        <f>AO10*1000/AO11/AO38</f>
        <v>75.982587697860865</v>
      </c>
      <c r="AP13" s="350"/>
      <c r="AQ13" s="202"/>
      <c r="AR13" s="350"/>
      <c r="AS13" s="202"/>
    </row>
    <row r="14" spans="2:45" ht="15.75" thickTop="1">
      <c r="C14" s="203"/>
      <c r="E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351"/>
      <c r="AK14" s="203"/>
      <c r="AL14" s="351"/>
      <c r="AM14" s="203"/>
      <c r="AN14" s="351"/>
      <c r="AO14" s="203"/>
      <c r="AP14" s="351"/>
      <c r="AQ14" s="203"/>
      <c r="AR14" s="351"/>
      <c r="AS14" s="203"/>
    </row>
    <row r="15" spans="2:45" ht="15.75" thickBot="1">
      <c r="B15" s="204" t="s">
        <v>55</v>
      </c>
      <c r="C15" s="205"/>
      <c r="D15" s="204" t="s">
        <v>879</v>
      </c>
      <c r="E15" s="204"/>
      <c r="F15" s="205"/>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351"/>
      <c r="AK15" s="203"/>
      <c r="AL15" s="351"/>
      <c r="AM15" s="203"/>
      <c r="AN15" s="351"/>
      <c r="AO15" s="203"/>
      <c r="AP15" s="351"/>
      <c r="AQ15" s="203"/>
      <c r="AR15" s="351"/>
      <c r="AS15" s="203"/>
    </row>
    <row r="16" spans="2:45" ht="16.5" thickTop="1" thickBot="1">
      <c r="B16" s="198" t="s">
        <v>93</v>
      </c>
      <c r="C16" s="199"/>
      <c r="D16" s="198" t="s">
        <v>719</v>
      </c>
      <c r="E16" s="199"/>
      <c r="F16" s="199" t="s">
        <v>873</v>
      </c>
      <c r="G16" s="201"/>
      <c r="H16" s="201"/>
      <c r="I16" s="200">
        <v>253.58544934437501</v>
      </c>
      <c r="J16" s="201"/>
      <c r="K16" s="200">
        <v>261.61236046877502</v>
      </c>
      <c r="L16" s="201"/>
      <c r="M16" s="200">
        <v>354.07665732879997</v>
      </c>
      <c r="N16" s="201"/>
      <c r="O16" s="200">
        <v>363.25030431225002</v>
      </c>
      <c r="P16" s="201"/>
      <c r="Q16" s="200">
        <v>1232.5227714651251</v>
      </c>
      <c r="R16" s="201"/>
      <c r="S16" s="200">
        <v>310.671192727</v>
      </c>
      <c r="T16" s="201"/>
      <c r="U16" s="200">
        <v>226.7259043016</v>
      </c>
      <c r="V16" s="201"/>
      <c r="W16" s="200">
        <v>537.3970970286</v>
      </c>
      <c r="X16" s="201"/>
      <c r="Y16" s="200">
        <v>247.65054157139991</v>
      </c>
      <c r="Z16" s="201"/>
      <c r="AA16" s="200">
        <v>785.04763859999991</v>
      </c>
      <c r="AB16" s="201"/>
      <c r="AC16" s="200">
        <v>216.44700658959994</v>
      </c>
      <c r="AD16" s="201"/>
      <c r="AE16" s="200">
        <v>1001.4946451896</v>
      </c>
      <c r="AF16" s="201"/>
      <c r="AG16" s="200">
        <v>284.88201968000004</v>
      </c>
      <c r="AH16" s="201"/>
      <c r="AI16" s="200">
        <v>285.91844555</v>
      </c>
      <c r="AJ16" s="349"/>
      <c r="AK16" s="200">
        <v>570.8004652300001</v>
      </c>
      <c r="AL16" s="349"/>
      <c r="AM16" s="200">
        <v>291.60353477000001</v>
      </c>
      <c r="AN16" s="349"/>
      <c r="AO16" s="200">
        <f>SUM(AM16,AK16)</f>
        <v>862.40400000000011</v>
      </c>
      <c r="AP16" s="349"/>
      <c r="AQ16" s="200"/>
      <c r="AR16" s="349"/>
      <c r="AS16" s="200"/>
    </row>
    <row r="17" spans="2:45" ht="6" customHeight="1" thickTop="1">
      <c r="C17" s="203"/>
      <c r="E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351"/>
      <c r="AK17" s="203"/>
      <c r="AL17" s="351"/>
      <c r="AM17" s="203"/>
      <c r="AN17" s="351"/>
      <c r="AO17" s="203"/>
      <c r="AP17" s="351"/>
      <c r="AQ17" s="203"/>
      <c r="AR17" s="351"/>
      <c r="AS17" s="203"/>
    </row>
    <row r="18" spans="2:45" ht="15.75" thickBot="1">
      <c r="B18" s="228" t="s">
        <v>1009</v>
      </c>
      <c r="C18" s="203"/>
      <c r="E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351"/>
      <c r="AK18" s="203"/>
      <c r="AL18" s="351"/>
      <c r="AM18" s="203"/>
      <c r="AN18" s="351"/>
      <c r="AO18" s="203"/>
      <c r="AP18" s="351"/>
      <c r="AQ18" s="203"/>
      <c r="AR18" s="351"/>
      <c r="AS18" s="203"/>
    </row>
    <row r="19" spans="2:45" ht="16.5" thickTop="1" thickBot="1">
      <c r="B19" s="198" t="s">
        <v>872</v>
      </c>
      <c r="C19" s="203"/>
      <c r="D19" s="198" t="s">
        <v>1010</v>
      </c>
      <c r="E19" s="203"/>
      <c r="F19" s="199" t="s">
        <v>1011</v>
      </c>
      <c r="G19" s="203"/>
      <c r="H19" s="201"/>
      <c r="I19" s="200">
        <v>45129.416810976902</v>
      </c>
      <c r="J19" s="201"/>
      <c r="K19" s="200">
        <v>48712.665817000001</v>
      </c>
      <c r="L19" s="201"/>
      <c r="M19" s="200">
        <v>53826.839423999962</v>
      </c>
      <c r="N19" s="201"/>
      <c r="O19" s="200">
        <v>61700.287996000014</v>
      </c>
      <c r="P19" s="201"/>
      <c r="Q19" s="200">
        <v>209369.21004797687</v>
      </c>
      <c r="R19" s="201"/>
      <c r="S19" s="200">
        <v>60178.729010000039</v>
      </c>
      <c r="T19" s="201"/>
      <c r="U19" s="200">
        <v>62962.254945000044</v>
      </c>
      <c r="V19" s="201"/>
      <c r="W19" s="200">
        <v>123140.98395500009</v>
      </c>
      <c r="X19" s="201"/>
      <c r="Y19" s="200">
        <v>75397.259533087883</v>
      </c>
      <c r="Z19" s="201"/>
      <c r="AA19" s="200">
        <v>198538.24348808799</v>
      </c>
      <c r="AB19" s="201"/>
      <c r="AC19" s="200">
        <v>63562.649634999994</v>
      </c>
      <c r="AD19" s="201"/>
      <c r="AE19" s="200">
        <v>262100.893123088</v>
      </c>
      <c r="AF19" s="201"/>
      <c r="AG19" s="200">
        <v>68071.981098999997</v>
      </c>
      <c r="AH19" s="201"/>
      <c r="AI19" s="200">
        <v>72029.160799000005</v>
      </c>
      <c r="AJ19" s="349"/>
      <c r="AK19" s="200">
        <v>140101.141898</v>
      </c>
      <c r="AL19" s="349"/>
      <c r="AM19" s="200">
        <v>69452.534224500007</v>
      </c>
      <c r="AN19" s="349"/>
      <c r="AO19" s="200">
        <v>209553.67612249998</v>
      </c>
      <c r="AP19" s="349"/>
      <c r="AQ19" s="200"/>
      <c r="AR19" s="349"/>
      <c r="AS19" s="200"/>
    </row>
    <row r="20" spans="2:45" ht="16.5" thickTop="1" thickBot="1">
      <c r="B20" s="198" t="s">
        <v>1012</v>
      </c>
      <c r="C20" s="203"/>
      <c r="D20" s="198" t="s">
        <v>1013</v>
      </c>
      <c r="E20" s="203"/>
      <c r="F20" s="199" t="s">
        <v>1011</v>
      </c>
      <c r="G20" s="203"/>
      <c r="H20" s="201"/>
      <c r="I20" s="200">
        <v>56117.978595139226</v>
      </c>
      <c r="J20" s="201"/>
      <c r="K20" s="200">
        <v>68221.306590000022</v>
      </c>
      <c r="L20" s="201"/>
      <c r="M20" s="200">
        <v>78896.121860000028</v>
      </c>
      <c r="N20" s="201"/>
      <c r="O20" s="200">
        <v>79821.678899999955</v>
      </c>
      <c r="P20" s="201"/>
      <c r="Q20" s="200">
        <v>283057.08594513923</v>
      </c>
      <c r="R20" s="201"/>
      <c r="S20" s="200">
        <v>90413.626871999702</v>
      </c>
      <c r="T20" s="201"/>
      <c r="U20" s="200">
        <v>88605.756254400025</v>
      </c>
      <c r="V20" s="201"/>
      <c r="W20" s="200">
        <v>179019.38312639971</v>
      </c>
      <c r="X20" s="201"/>
      <c r="Y20" s="200">
        <v>90529.39821812023</v>
      </c>
      <c r="Z20" s="201"/>
      <c r="AA20" s="200">
        <v>269548.78134451993</v>
      </c>
      <c r="AB20" s="201"/>
      <c r="AC20" s="200">
        <v>94597.028011565199</v>
      </c>
      <c r="AD20" s="201"/>
      <c r="AE20" s="200">
        <v>364145.80935608514</v>
      </c>
      <c r="AF20" s="201"/>
      <c r="AG20" s="200">
        <v>91091.820843640919</v>
      </c>
      <c r="AH20" s="201"/>
      <c r="AI20" s="200">
        <v>88245.941477638451</v>
      </c>
      <c r="AJ20" s="349"/>
      <c r="AK20" s="200">
        <v>179337.76232127938</v>
      </c>
      <c r="AL20" s="349"/>
      <c r="AM20" s="200">
        <v>94496.865253232623</v>
      </c>
      <c r="AN20" s="349"/>
      <c r="AO20" s="200">
        <v>273834.62757451198</v>
      </c>
      <c r="AP20" s="349"/>
      <c r="AQ20" s="200"/>
      <c r="AR20" s="349"/>
      <c r="AS20" s="200"/>
    </row>
    <row r="21" spans="2:45" ht="16.5" thickTop="1" thickBot="1">
      <c r="B21" s="198" t="s">
        <v>1014</v>
      </c>
      <c r="C21" s="203"/>
      <c r="D21" s="198" t="s">
        <v>1015</v>
      </c>
      <c r="E21" s="203"/>
      <c r="F21" s="199" t="s">
        <v>1011</v>
      </c>
      <c r="G21" s="203"/>
      <c r="H21" s="201"/>
      <c r="I21" s="200">
        <v>101247.39540611612</v>
      </c>
      <c r="J21" s="201"/>
      <c r="K21" s="200">
        <v>116933.97240700002</v>
      </c>
      <c r="L21" s="201"/>
      <c r="M21" s="200">
        <v>132722.96128399999</v>
      </c>
      <c r="N21" s="201"/>
      <c r="O21" s="200">
        <v>141521.96689599997</v>
      </c>
      <c r="P21" s="201"/>
      <c r="Q21" s="200">
        <v>492426.2959931161</v>
      </c>
      <c r="R21" s="201"/>
      <c r="S21" s="200">
        <v>150592.35588199974</v>
      </c>
      <c r="T21" s="201"/>
      <c r="U21" s="200">
        <v>151568.01119940006</v>
      </c>
      <c r="V21" s="201"/>
      <c r="W21" s="200">
        <v>302160.36708139977</v>
      </c>
      <c r="X21" s="201"/>
      <c r="Y21" s="200">
        <v>165926.65775120811</v>
      </c>
      <c r="Z21" s="201"/>
      <c r="AA21" s="200">
        <v>468087.02483260789</v>
      </c>
      <c r="AB21" s="201"/>
      <c r="AC21" s="200">
        <v>158159.67764656519</v>
      </c>
      <c r="AD21" s="201"/>
      <c r="AE21" s="200">
        <v>626246.7024791732</v>
      </c>
      <c r="AF21" s="201"/>
      <c r="AG21" s="200">
        <f>SUM(AG19:AG20)</f>
        <v>159163.80194264092</v>
      </c>
      <c r="AH21" s="201"/>
      <c r="AI21" s="200">
        <v>160275.10227663844</v>
      </c>
      <c r="AJ21" s="349"/>
      <c r="AK21" s="200">
        <v>319438.90421927941</v>
      </c>
      <c r="AL21" s="349"/>
      <c r="AM21" s="200">
        <f>AM20+AM19</f>
        <v>163949.39947773263</v>
      </c>
      <c r="AN21" s="349"/>
      <c r="AO21" s="200">
        <f>AO20+AO19</f>
        <v>483388.30369701196</v>
      </c>
      <c r="AP21" s="349"/>
      <c r="AQ21" s="200"/>
      <c r="AR21" s="349"/>
      <c r="AS21" s="200"/>
    </row>
    <row r="22" spans="2:45" ht="6" customHeight="1" thickTop="1">
      <c r="C22" s="203"/>
      <c r="E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351"/>
      <c r="AK22" s="203"/>
      <c r="AL22" s="351"/>
      <c r="AM22" s="203"/>
      <c r="AN22" s="351"/>
      <c r="AO22" s="203"/>
      <c r="AP22" s="351"/>
      <c r="AQ22" s="203"/>
      <c r="AR22" s="351"/>
      <c r="AS22" s="203"/>
    </row>
    <row r="23" spans="2:45" ht="15.75" thickBot="1">
      <c r="B23" s="228" t="s">
        <v>1016</v>
      </c>
      <c r="C23" s="203"/>
      <c r="E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351"/>
      <c r="AK23" s="203"/>
      <c r="AL23" s="351"/>
      <c r="AM23" s="203"/>
      <c r="AN23" s="351"/>
      <c r="AO23" s="203"/>
      <c r="AP23" s="351"/>
      <c r="AQ23" s="203"/>
      <c r="AR23" s="351"/>
      <c r="AS23" s="203"/>
    </row>
    <row r="24" spans="2:45" ht="16.5" thickTop="1" thickBot="1">
      <c r="B24" s="198" t="s">
        <v>872</v>
      </c>
      <c r="C24" s="203"/>
      <c r="D24" s="198" t="s">
        <v>1010</v>
      </c>
      <c r="E24" s="203"/>
      <c r="F24" s="227" t="s">
        <v>1017</v>
      </c>
      <c r="G24" s="203"/>
      <c r="H24" s="230"/>
      <c r="I24" s="229">
        <v>0.9</v>
      </c>
      <c r="J24" s="230"/>
      <c r="K24" s="229">
        <v>0.9</v>
      </c>
      <c r="L24" s="230"/>
      <c r="M24" s="229">
        <v>0.91</v>
      </c>
      <c r="N24" s="230"/>
      <c r="O24" s="229">
        <v>0.92</v>
      </c>
      <c r="P24" s="230"/>
      <c r="Q24" s="229">
        <v>0.90846482705720633</v>
      </c>
      <c r="R24" s="230"/>
      <c r="S24" s="229">
        <v>0.89</v>
      </c>
      <c r="T24" s="230"/>
      <c r="U24" s="229">
        <v>0.56999999999999995</v>
      </c>
      <c r="V24" s="230"/>
      <c r="W24" s="229">
        <v>0.72638329875809049</v>
      </c>
      <c r="X24" s="230"/>
      <c r="Y24" s="229">
        <v>0.76</v>
      </c>
      <c r="Z24" s="230"/>
      <c r="AA24" s="229">
        <v>0.73914964091793045</v>
      </c>
      <c r="AB24" s="230"/>
      <c r="AC24" s="229">
        <v>0.48</v>
      </c>
      <c r="AD24" s="230"/>
      <c r="AE24" s="229">
        <v>0.67630270578380725</v>
      </c>
      <c r="AF24" s="230"/>
      <c r="AG24" s="229">
        <f>AG28/AG19</f>
        <v>0.90644857118198741</v>
      </c>
      <c r="AH24" s="230"/>
      <c r="AI24" s="229">
        <v>0.92096844393501454</v>
      </c>
      <c r="AJ24" s="352"/>
      <c r="AK24" s="229">
        <v>0.91391356565055681</v>
      </c>
      <c r="AL24" s="352"/>
      <c r="AM24" s="229">
        <f>AM28/AM19</f>
        <v>0.85283137675889831</v>
      </c>
      <c r="AN24" s="352"/>
      <c r="AO24" s="229">
        <f>AO28/AO19</f>
        <v>0.89366904933853886</v>
      </c>
      <c r="AP24" s="352"/>
      <c r="AQ24" s="229"/>
      <c r="AR24" s="352"/>
      <c r="AS24" s="229"/>
    </row>
    <row r="25" spans="2:45" ht="16.5" thickTop="1" thickBot="1">
      <c r="B25" s="198" t="s">
        <v>1012</v>
      </c>
      <c r="C25" s="203"/>
      <c r="D25" s="198" t="s">
        <v>1013</v>
      </c>
      <c r="E25" s="203"/>
      <c r="F25" s="227" t="s">
        <v>1017</v>
      </c>
      <c r="G25" s="203"/>
      <c r="H25" s="230"/>
      <c r="I25" s="229">
        <v>0.92</v>
      </c>
      <c r="J25" s="230"/>
      <c r="K25" s="229">
        <v>0.95</v>
      </c>
      <c r="L25" s="230"/>
      <c r="M25" s="229">
        <v>0.96</v>
      </c>
      <c r="N25" s="230"/>
      <c r="O25" s="229">
        <v>0.94</v>
      </c>
      <c r="P25" s="230"/>
      <c r="Q25" s="229">
        <v>0.94401959882897168</v>
      </c>
      <c r="R25" s="230"/>
      <c r="S25" s="229">
        <v>0.94</v>
      </c>
      <c r="T25" s="230"/>
      <c r="U25" s="229">
        <v>0.93</v>
      </c>
      <c r="V25" s="230"/>
      <c r="W25" s="229">
        <v>0.93505049371151971</v>
      </c>
      <c r="X25" s="230"/>
      <c r="Y25" s="229">
        <v>0.96</v>
      </c>
      <c r="Z25" s="230"/>
      <c r="AA25" s="229">
        <v>0.94342991868561532</v>
      </c>
      <c r="AB25" s="230"/>
      <c r="AC25" s="229">
        <v>0.96</v>
      </c>
      <c r="AD25" s="230"/>
      <c r="AE25" s="229">
        <v>0.94773445935580047</v>
      </c>
      <c r="AF25" s="230"/>
      <c r="AG25" s="229">
        <f>AG29/AG20</f>
        <v>0.94702328359831822</v>
      </c>
      <c r="AH25" s="230"/>
      <c r="AI25" s="229">
        <v>0.9518532761164632</v>
      </c>
      <c r="AJ25" s="352"/>
      <c r="AK25" s="229">
        <v>0.94939995670707522</v>
      </c>
      <c r="AL25" s="352"/>
      <c r="AM25" s="229">
        <f>AM29/AM20</f>
        <v>0.93328341625700961</v>
      </c>
      <c r="AN25" s="352"/>
      <c r="AO25" s="229">
        <f>AO29/AO20</f>
        <v>0.94383834251405774</v>
      </c>
      <c r="AP25" s="352"/>
      <c r="AQ25" s="229"/>
      <c r="AR25" s="352"/>
      <c r="AS25" s="229"/>
    </row>
    <row r="26" spans="2:45" ht="15.75" thickTop="1">
      <c r="C26" s="203"/>
      <c r="E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351"/>
      <c r="AK26" s="203"/>
      <c r="AL26" s="351"/>
      <c r="AM26" s="203"/>
      <c r="AN26" s="351"/>
      <c r="AO26" s="203"/>
      <c r="AP26" s="351"/>
      <c r="AQ26" s="203"/>
      <c r="AR26" s="351"/>
      <c r="AS26" s="203"/>
    </row>
    <row r="27" spans="2:45" ht="15.75" thickBot="1">
      <c r="B27" s="228" t="s">
        <v>1235</v>
      </c>
      <c r="C27" s="203"/>
      <c r="E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351"/>
      <c r="AK27" s="203"/>
      <c r="AL27" s="351"/>
      <c r="AM27" s="203"/>
      <c r="AN27" s="351"/>
      <c r="AO27" s="203"/>
      <c r="AP27" s="351"/>
      <c r="AQ27" s="203"/>
      <c r="AR27" s="351"/>
      <c r="AS27" s="203"/>
    </row>
    <row r="28" spans="2:45" ht="16.5" thickTop="1" thickBot="1">
      <c r="B28" s="198" t="s">
        <v>872</v>
      </c>
      <c r="C28" s="203"/>
      <c r="D28" s="198" t="s">
        <v>1010</v>
      </c>
      <c r="E28" s="203"/>
      <c r="F28" s="199" t="s">
        <v>1011</v>
      </c>
      <c r="G28" s="203"/>
      <c r="H28" s="201"/>
      <c r="I28" s="200">
        <v>40616.475129879211</v>
      </c>
      <c r="J28" s="201"/>
      <c r="K28" s="200">
        <v>43841.399235299999</v>
      </c>
      <c r="L28" s="201"/>
      <c r="M28" s="200">
        <v>48982.423875839966</v>
      </c>
      <c r="N28" s="201"/>
      <c r="O28" s="200">
        <v>56764.264956320018</v>
      </c>
      <c r="P28" s="201"/>
      <c r="Q28" s="200">
        <v>190204.56319733922</v>
      </c>
      <c r="R28" s="201"/>
      <c r="S28" s="200">
        <v>53559.068818900036</v>
      </c>
      <c r="T28" s="201"/>
      <c r="U28" s="200">
        <v>35888.485318650019</v>
      </c>
      <c r="V28" s="201"/>
      <c r="W28" s="200">
        <v>89447.554137550062</v>
      </c>
      <c r="X28" s="201"/>
      <c r="Y28" s="200">
        <v>57301.917245146789</v>
      </c>
      <c r="Z28" s="201"/>
      <c r="AA28" s="200">
        <v>146749.47138269685</v>
      </c>
      <c r="AB28" s="201"/>
      <c r="AC28" s="200">
        <v>30510.071824799998</v>
      </c>
      <c r="AD28" s="201"/>
      <c r="AE28" s="200">
        <v>177259.54320749684</v>
      </c>
      <c r="AF28" s="201"/>
      <c r="AG28" s="200">
        <v>61703.750004715803</v>
      </c>
      <c r="AH28" s="201"/>
      <c r="AI28" s="200">
        <v>66336.584138999984</v>
      </c>
      <c r="AJ28" s="349"/>
      <c r="AK28" s="200">
        <v>128040.33414371579</v>
      </c>
      <c r="AL28" s="349"/>
      <c r="AM28" s="200">
        <v>59231.300382074842</v>
      </c>
      <c r="AN28" s="349"/>
      <c r="AO28" s="200">
        <v>187271.63452579064</v>
      </c>
      <c r="AP28" s="349"/>
      <c r="AQ28" s="200"/>
      <c r="AR28" s="349"/>
      <c r="AS28" s="200"/>
    </row>
    <row r="29" spans="2:45" ht="16.5" thickTop="1" thickBot="1">
      <c r="B29" s="198" t="s">
        <v>1012</v>
      </c>
      <c r="C29" s="203"/>
      <c r="D29" s="198" t="s">
        <v>1013</v>
      </c>
      <c r="E29" s="203"/>
      <c r="F29" s="199" t="s">
        <v>1011</v>
      </c>
      <c r="G29" s="203"/>
      <c r="H29" s="201"/>
      <c r="I29" s="200">
        <v>51628.540307528092</v>
      </c>
      <c r="J29" s="201"/>
      <c r="K29" s="200">
        <v>64810.241260500021</v>
      </c>
      <c r="L29" s="201"/>
      <c r="M29" s="200">
        <v>75740.276985600023</v>
      </c>
      <c r="N29" s="201"/>
      <c r="O29" s="200">
        <v>75032.378165999951</v>
      </c>
      <c r="P29" s="201"/>
      <c r="Q29" s="200">
        <v>267211.43671962811</v>
      </c>
      <c r="R29" s="201"/>
      <c r="S29" s="200">
        <v>84988.809259679721</v>
      </c>
      <c r="T29" s="201"/>
      <c r="U29" s="200">
        <v>82403.353316592023</v>
      </c>
      <c r="V29" s="201"/>
      <c r="W29" s="200">
        <v>167392.16257627174</v>
      </c>
      <c r="X29" s="201"/>
      <c r="Y29" s="200">
        <v>86908.222289395417</v>
      </c>
      <c r="Z29" s="201"/>
      <c r="AA29" s="200">
        <v>254300.38486566715</v>
      </c>
      <c r="AB29" s="201"/>
      <c r="AC29" s="200">
        <v>90813.146891102588</v>
      </c>
      <c r="AD29" s="201"/>
      <c r="AE29" s="200">
        <v>345113.53175676975</v>
      </c>
      <c r="AF29" s="201"/>
      <c r="AG29" s="200">
        <v>86266.075284294551</v>
      </c>
      <c r="AH29" s="201"/>
      <c r="AI29" s="200">
        <v>83997.188499471842</v>
      </c>
      <c r="AJ29" s="349"/>
      <c r="AK29" s="200">
        <v>170263.26378376639</v>
      </c>
      <c r="AL29" s="349"/>
      <c r="AM29" s="200">
        <v>88192.357229115252</v>
      </c>
      <c r="AN29" s="349"/>
      <c r="AO29" s="200">
        <v>258455.62101288169</v>
      </c>
      <c r="AP29" s="349"/>
      <c r="AQ29" s="200"/>
      <c r="AR29" s="349"/>
      <c r="AS29" s="200"/>
    </row>
    <row r="30" spans="2:45" ht="16.5" thickTop="1" thickBot="1">
      <c r="B30" s="198" t="s">
        <v>1236</v>
      </c>
      <c r="C30" s="203"/>
      <c r="D30" s="198" t="s">
        <v>1237</v>
      </c>
      <c r="E30" s="203"/>
      <c r="F30" s="199" t="s">
        <v>1018</v>
      </c>
      <c r="G30" s="203"/>
      <c r="H30" s="201"/>
      <c r="I30" s="200">
        <v>92245.015437407303</v>
      </c>
      <c r="J30" s="201"/>
      <c r="K30" s="200">
        <v>108651.64049580002</v>
      </c>
      <c r="L30" s="201"/>
      <c r="M30" s="200">
        <v>124722.70086143998</v>
      </c>
      <c r="N30" s="201"/>
      <c r="O30" s="200">
        <v>131796.64312231998</v>
      </c>
      <c r="P30" s="201"/>
      <c r="Q30" s="200">
        <v>457415.99991696735</v>
      </c>
      <c r="R30" s="201"/>
      <c r="S30" s="200">
        <v>138547.87807857976</v>
      </c>
      <c r="T30" s="201"/>
      <c r="U30" s="200">
        <v>118291.83863524205</v>
      </c>
      <c r="V30" s="201"/>
      <c r="W30" s="200">
        <v>256839.71671382181</v>
      </c>
      <c r="X30" s="201"/>
      <c r="Y30" s="200">
        <v>144210.13953454222</v>
      </c>
      <c r="Z30" s="201"/>
      <c r="AA30" s="200">
        <v>401049.85624836397</v>
      </c>
      <c r="AB30" s="201"/>
      <c r="AC30" s="200">
        <v>121323.21871590259</v>
      </c>
      <c r="AD30" s="201"/>
      <c r="AE30" s="200">
        <v>522373.07496426662</v>
      </c>
      <c r="AF30" s="201"/>
      <c r="AG30" s="200">
        <f>SUM(AG28:AG29)</f>
        <v>147969.82528901036</v>
      </c>
      <c r="AH30" s="201"/>
      <c r="AI30" s="200">
        <v>150333.77263847183</v>
      </c>
      <c r="AJ30" s="349"/>
      <c r="AK30" s="200">
        <v>298303.59792748222</v>
      </c>
      <c r="AL30" s="349"/>
      <c r="AM30" s="200">
        <f>SUM(AM28:AM29)</f>
        <v>147423.65761119011</v>
      </c>
      <c r="AN30" s="349"/>
      <c r="AO30" s="200">
        <f>SUM(AO28:AO29)</f>
        <v>445727.25553867233</v>
      </c>
      <c r="AP30" s="349"/>
      <c r="AQ30" s="200"/>
      <c r="AR30" s="349"/>
      <c r="AS30" s="200"/>
    </row>
    <row r="31" spans="2:45" ht="15.75" thickTop="1">
      <c r="C31" s="203"/>
      <c r="E31" s="203"/>
      <c r="G31" s="203"/>
      <c r="H31" s="203"/>
      <c r="I31" s="203"/>
      <c r="J31" s="203"/>
      <c r="K31" s="203"/>
      <c r="L31" s="203"/>
      <c r="M31" s="203"/>
      <c r="N31" s="203"/>
      <c r="O31" s="203"/>
      <c r="P31" s="203"/>
      <c r="Q31" s="203"/>
      <c r="R31" s="203"/>
      <c r="S31" s="203"/>
      <c r="T31" s="203"/>
      <c r="V31" s="203"/>
      <c r="W31" s="203"/>
      <c r="X31" s="203"/>
      <c r="Z31" s="203"/>
      <c r="AA31" s="203"/>
      <c r="AB31" s="203"/>
      <c r="AC31" s="203"/>
      <c r="AD31" s="203"/>
      <c r="AE31" s="203"/>
      <c r="AF31" s="203"/>
      <c r="AG31" s="327"/>
      <c r="AH31" s="203"/>
      <c r="AI31" s="327"/>
      <c r="AJ31" s="351"/>
      <c r="AK31" s="327"/>
      <c r="AL31" s="351"/>
      <c r="AM31" s="327"/>
      <c r="AN31" s="351"/>
      <c r="AO31" s="327"/>
      <c r="AP31" s="351"/>
      <c r="AQ31" s="327"/>
      <c r="AR31" s="351"/>
      <c r="AS31" s="327"/>
    </row>
    <row r="32" spans="2:45" ht="15.75" thickBot="1">
      <c r="B32" s="228" t="s">
        <v>1019</v>
      </c>
      <c r="C32" s="203"/>
      <c r="E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327"/>
      <c r="AH32" s="203"/>
      <c r="AI32" s="327"/>
      <c r="AJ32" s="351"/>
      <c r="AK32" s="327"/>
      <c r="AL32" s="351"/>
      <c r="AM32" s="327"/>
      <c r="AN32" s="351"/>
      <c r="AO32" s="327"/>
      <c r="AP32" s="351"/>
      <c r="AQ32" s="327"/>
      <c r="AR32" s="351"/>
      <c r="AS32" s="327"/>
    </row>
    <row r="33" spans="2:45" ht="16.5" thickTop="1" thickBot="1">
      <c r="B33" s="198" t="s">
        <v>1020</v>
      </c>
      <c r="C33" s="227"/>
      <c r="D33" s="198" t="s">
        <v>1021</v>
      </c>
      <c r="E33" s="227"/>
      <c r="F33" s="199" t="s">
        <v>1022</v>
      </c>
      <c r="G33" s="201"/>
      <c r="H33" s="201"/>
      <c r="I33" s="202">
        <v>2.7490422993797967</v>
      </c>
      <c r="J33" s="201"/>
      <c r="K33" s="202">
        <v>2.4078086559483451</v>
      </c>
      <c r="L33" s="201"/>
      <c r="M33" s="202">
        <v>2.8389110794045385</v>
      </c>
      <c r="N33" s="201"/>
      <c r="O33" s="202">
        <v>2.7561423091415063</v>
      </c>
      <c r="P33" s="201"/>
      <c r="Q33" s="202">
        <v>2.6945335792557743</v>
      </c>
      <c r="R33" s="201"/>
      <c r="S33" s="202">
        <v>2.2423381507928806</v>
      </c>
      <c r="T33" s="201"/>
      <c r="U33" s="202">
        <v>1.9166656543459355</v>
      </c>
      <c r="V33" s="201"/>
      <c r="W33" s="202">
        <v>2.0923442211524605</v>
      </c>
      <c r="X33" s="201"/>
      <c r="Y33" s="202">
        <v>1.7172893831926495</v>
      </c>
      <c r="Z33" s="201"/>
      <c r="AA33" s="202">
        <v>1.9574814112732959</v>
      </c>
      <c r="AB33" s="201"/>
      <c r="AC33" s="202">
        <v>1.7840526230716369</v>
      </c>
      <c r="AD33" s="201"/>
      <c r="AE33" s="202">
        <v>1.9172018872873722</v>
      </c>
      <c r="AF33" s="201"/>
      <c r="AG33" s="202">
        <f>AG16*10^3/AG30</f>
        <v>1.9252710417382513</v>
      </c>
      <c r="AH33" s="201"/>
      <c r="AI33" s="202">
        <v>1.9018909758726483</v>
      </c>
      <c r="AJ33" s="349"/>
      <c r="AK33" s="202">
        <v>1.9134883695528273</v>
      </c>
      <c r="AL33" s="349"/>
      <c r="AM33" s="202">
        <f>AM16*10^3/AM30</f>
        <v>1.9779968798431578</v>
      </c>
      <c r="AN33" s="349"/>
      <c r="AO33" s="202">
        <f>AO16*10^3/AO30</f>
        <v>1.9348244678413566</v>
      </c>
      <c r="AP33" s="349"/>
      <c r="AQ33" s="202"/>
      <c r="AR33" s="349"/>
      <c r="AS33" s="202"/>
    </row>
    <row r="34" spans="2:45" ht="16.5" thickTop="1" thickBot="1">
      <c r="B34" s="198" t="s">
        <v>1020</v>
      </c>
      <c r="C34" s="227"/>
      <c r="D34" s="198" t="s">
        <v>1021</v>
      </c>
      <c r="E34" s="227"/>
      <c r="F34" s="199" t="s">
        <v>876</v>
      </c>
      <c r="G34" s="201"/>
      <c r="H34" s="233"/>
      <c r="I34" s="232">
        <v>14.091128272658416</v>
      </c>
      <c r="J34" s="233"/>
      <c r="K34" s="232">
        <v>13.119669762099356</v>
      </c>
      <c r="L34" s="233"/>
      <c r="M34" s="232">
        <v>14.499540599296054</v>
      </c>
      <c r="N34" s="233"/>
      <c r="O34" s="232">
        <v>14.059340905333807</v>
      </c>
      <c r="P34" s="233"/>
      <c r="Q34" s="232">
        <v>13.988250512402541</v>
      </c>
      <c r="R34" s="233"/>
      <c r="S34" s="232">
        <v>11.571603169670395</v>
      </c>
      <c r="T34" s="233"/>
      <c r="U34" s="232">
        <v>10.378599207244358</v>
      </c>
      <c r="V34" s="233"/>
      <c r="W34" s="232">
        <v>11.058241429104537</v>
      </c>
      <c r="X34" s="233"/>
      <c r="Y34" s="232">
        <v>9.4335348019587535</v>
      </c>
      <c r="Z34" s="233"/>
      <c r="AA34" s="232">
        <v>10.477834901244417</v>
      </c>
      <c r="AB34" s="233"/>
      <c r="AC34" s="232">
        <v>9.6556423636315092</v>
      </c>
      <c r="AD34" s="233"/>
      <c r="AE34" s="232">
        <v>10.290505055331659</v>
      </c>
      <c r="AF34" s="233"/>
      <c r="AG34" s="232">
        <f>AG33/AG38*$F$40</f>
        <v>10.435912465021531</v>
      </c>
      <c r="AH34" s="233"/>
      <c r="AI34" s="232">
        <v>9.7729919160822938</v>
      </c>
      <c r="AJ34" s="353"/>
      <c r="AK34" s="232">
        <v>10.09511353896025</v>
      </c>
      <c r="AL34" s="353"/>
      <c r="AM34" s="232">
        <f>AM33/AM38*$F$40</f>
        <v>9.5542951629771817</v>
      </c>
      <c r="AN34" s="353"/>
      <c r="AO34" s="232">
        <f>AO33/AO38*$F$40</f>
        <v>9.8986579802171502</v>
      </c>
      <c r="AP34" s="353"/>
      <c r="AQ34" s="232"/>
      <c r="AR34" s="353"/>
      <c r="AS34" s="232"/>
    </row>
    <row r="35" spans="2:45" ht="15.75" thickTop="1">
      <c r="C35" s="203"/>
      <c r="E35" s="203"/>
      <c r="G35" s="203"/>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326"/>
      <c r="AH35" s="234"/>
      <c r="AI35" s="326"/>
      <c r="AJ35" s="234"/>
      <c r="AK35" s="326"/>
      <c r="AL35" s="234"/>
      <c r="AM35" s="326"/>
      <c r="AN35" s="234"/>
      <c r="AO35" s="326"/>
      <c r="AP35" s="234"/>
      <c r="AQ35" s="326"/>
      <c r="AR35" s="234"/>
      <c r="AS35" s="326"/>
    </row>
    <row r="36" spans="2:45">
      <c r="AG36" s="325"/>
      <c r="AI36" s="325"/>
      <c r="AK36" s="325"/>
      <c r="AM36" s="325"/>
      <c r="AO36" s="325"/>
      <c r="AQ36" s="325"/>
      <c r="AS36" s="325"/>
    </row>
    <row r="37" spans="2:45" ht="15.75" thickBot="1">
      <c r="B37" s="204" t="s">
        <v>1026</v>
      </c>
      <c r="C37" s="205"/>
      <c r="D37" s="204"/>
      <c r="E37" s="204"/>
      <c r="F37" s="205"/>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327"/>
      <c r="AH37" s="203"/>
      <c r="AI37" s="327"/>
      <c r="AJ37" s="351"/>
      <c r="AK37" s="327"/>
      <c r="AL37" s="351"/>
      <c r="AM37" s="327"/>
      <c r="AN37" s="351"/>
      <c r="AO37" s="327"/>
      <c r="AP37" s="351"/>
      <c r="AQ37" s="327"/>
      <c r="AR37" s="351"/>
      <c r="AS37" s="327"/>
    </row>
    <row r="38" spans="2:45" ht="16.5" thickTop="1" thickBot="1">
      <c r="B38" s="198" t="s">
        <v>1023</v>
      </c>
      <c r="C38" s="199"/>
      <c r="D38" s="198" t="s">
        <v>1024</v>
      </c>
      <c r="E38" s="199"/>
      <c r="F38" s="199" t="s">
        <v>1025</v>
      </c>
      <c r="G38" s="201"/>
      <c r="H38" s="203"/>
      <c r="I38" s="231">
        <v>5.23</v>
      </c>
      <c r="J38" s="203"/>
      <c r="K38" s="231">
        <v>4.92</v>
      </c>
      <c r="L38" s="203"/>
      <c r="M38" s="231">
        <v>5.248842995169082</v>
      </c>
      <c r="N38" s="203"/>
      <c r="O38" s="231">
        <v>5.255362903225806</v>
      </c>
      <c r="P38" s="203"/>
      <c r="Q38" s="231">
        <v>5.1639999999999997</v>
      </c>
      <c r="R38" s="203"/>
      <c r="S38" s="231">
        <v>5.1948571428571437</v>
      </c>
      <c r="T38" s="203"/>
      <c r="U38" s="231">
        <v>4.9507803030303021</v>
      </c>
      <c r="V38" s="203"/>
      <c r="W38" s="231">
        <v>5.0723954142878052</v>
      </c>
      <c r="X38" s="203"/>
      <c r="Y38" s="231">
        <v>4.88017126984127</v>
      </c>
      <c r="Z38" s="256"/>
      <c r="AA38" s="231">
        <v>5.0083206994722929</v>
      </c>
      <c r="AB38" s="203"/>
      <c r="AC38" s="231">
        <v>4.9532759523809533</v>
      </c>
      <c r="AD38" s="256"/>
      <c r="AE38" s="231">
        <v>4.9945595126994577</v>
      </c>
      <c r="AF38" s="256"/>
      <c r="AG38" s="231">
        <v>4.9456967741935474</v>
      </c>
      <c r="AH38" s="256"/>
      <c r="AI38" s="231">
        <v>5.2170393578643584</v>
      </c>
      <c r="AJ38" s="354"/>
      <c r="AK38" s="231">
        <v>5.0813680660289533</v>
      </c>
      <c r="AL38" s="354"/>
      <c r="AM38" s="231">
        <v>5.55</v>
      </c>
      <c r="AN38" s="354"/>
      <c r="AO38" s="231">
        <v>5.24</v>
      </c>
      <c r="AP38" s="354"/>
      <c r="AQ38" s="231"/>
      <c r="AR38" s="354"/>
      <c r="AS38" s="231"/>
    </row>
    <row r="39" spans="2:45" ht="16.5" thickTop="1" thickBot="1">
      <c r="B39" s="198" t="s">
        <v>1027</v>
      </c>
      <c r="C39" s="199"/>
      <c r="D39" s="198" t="s">
        <v>1028</v>
      </c>
      <c r="E39" s="199"/>
      <c r="F39" s="243" t="s">
        <v>1029</v>
      </c>
      <c r="G39" s="201"/>
      <c r="H39" s="233"/>
      <c r="I39" s="232">
        <v>101.4</v>
      </c>
      <c r="J39" s="233"/>
      <c r="K39" s="232">
        <v>111.4</v>
      </c>
      <c r="L39" s="233"/>
      <c r="M39" s="232">
        <v>100.85208628566666</v>
      </c>
      <c r="N39" s="233"/>
      <c r="O39" s="232">
        <v>88.713999999999999</v>
      </c>
      <c r="P39" s="233"/>
      <c r="Q39" s="232">
        <v>101.19</v>
      </c>
      <c r="R39" s="233"/>
      <c r="S39" s="232">
        <v>81.27</v>
      </c>
      <c r="T39" s="233"/>
      <c r="U39" s="232">
        <v>78.39</v>
      </c>
      <c r="V39" s="233"/>
      <c r="W39" s="232">
        <v>79.83</v>
      </c>
      <c r="X39" s="233"/>
      <c r="Y39" s="232">
        <v>86.76</v>
      </c>
      <c r="Z39" s="257"/>
      <c r="AA39" s="232">
        <v>82.14</v>
      </c>
      <c r="AB39" s="233"/>
      <c r="AC39" s="232">
        <v>84.045199210526334</v>
      </c>
      <c r="AD39" s="257"/>
      <c r="AE39" s="232">
        <v>82.617557205964914</v>
      </c>
      <c r="AF39" s="257"/>
      <c r="AG39" s="232">
        <v>83.16</v>
      </c>
      <c r="AH39" s="257"/>
      <c r="AI39" s="232">
        <v>84.97</v>
      </c>
      <c r="AJ39" s="355"/>
      <c r="AK39" s="232">
        <v>84.06</v>
      </c>
      <c r="AL39" s="355"/>
      <c r="AM39" s="232">
        <v>80.34</v>
      </c>
      <c r="AN39" s="355"/>
      <c r="AO39" s="232">
        <v>82.79</v>
      </c>
      <c r="AP39" s="355"/>
      <c r="AQ39" s="232"/>
      <c r="AR39" s="355"/>
      <c r="AS39" s="232"/>
    </row>
    <row r="40" spans="2:45" ht="16.5" thickTop="1" thickBot="1">
      <c r="B40" s="198" t="s">
        <v>1034</v>
      </c>
      <c r="D40" s="198" t="s">
        <v>1033</v>
      </c>
      <c r="F40" s="244">
        <v>26.8081</v>
      </c>
    </row>
    <row r="41" spans="2:45" ht="6" customHeight="1" thickTop="1">
      <c r="C41" s="203"/>
      <c r="E41" s="203"/>
      <c r="G41" s="203"/>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row>
    <row r="42" spans="2:45">
      <c r="B42" s="159" t="s">
        <v>1035</v>
      </c>
    </row>
  </sheetData>
  <pageMargins left="0.511811024" right="0.511811024" top="0.78740157499999996" bottom="0.78740157499999996" header="0.31496062000000002" footer="0.31496062000000002"/>
  <pageSetup paperSize="9" orientation="portrait" r:id="rId1"/>
  <ignoredErrors>
    <ignoredError sqref="AE6"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57B12-3B5C-450B-A858-72CC0FFFA39D}">
  <dimension ref="B3:P24"/>
  <sheetViews>
    <sheetView showGridLines="0" zoomScaleNormal="100" workbookViewId="0">
      <pane xSplit="4" ySplit="4" topLeftCell="E5" activePane="bottomRight" state="frozen"/>
      <selection pane="topRight"/>
      <selection pane="bottomLeft"/>
      <selection pane="bottomRight" activeCell="P12" sqref="P12"/>
    </sheetView>
  </sheetViews>
  <sheetFormatPr defaultRowHeight="15"/>
  <cols>
    <col min="1" max="1" width="2.5703125" customWidth="1"/>
    <col min="2" max="2" width="51.5703125" customWidth="1"/>
    <col min="3" max="3" width="38.85546875" customWidth="1"/>
    <col min="4" max="5" width="2.5703125" customWidth="1"/>
    <col min="6" max="6" width="13.140625" customWidth="1"/>
    <col min="7" max="14" width="12.7109375" customWidth="1"/>
  </cols>
  <sheetData>
    <row r="3" spans="2:16" ht="18.75">
      <c r="C3" s="43" t="s">
        <v>835</v>
      </c>
    </row>
    <row r="4" spans="2:16">
      <c r="D4" s="44"/>
    </row>
    <row r="5" spans="2:16">
      <c r="D5" s="44"/>
    </row>
    <row r="6" spans="2:16">
      <c r="B6" s="23" t="s">
        <v>1288</v>
      </c>
      <c r="C6" s="23" t="s">
        <v>1288</v>
      </c>
      <c r="D6" s="1"/>
      <c r="F6">
        <v>2021</v>
      </c>
      <c r="G6" s="22">
        <v>2022</v>
      </c>
      <c r="H6" s="22" t="s">
        <v>1007</v>
      </c>
      <c r="I6" s="22" t="s">
        <v>1008</v>
      </c>
      <c r="J6" s="22" t="s">
        <v>1071</v>
      </c>
      <c r="K6" s="22" t="s">
        <v>1116</v>
      </c>
      <c r="L6" s="22">
        <v>2023</v>
      </c>
      <c r="M6" s="22" t="s">
        <v>1130</v>
      </c>
      <c r="N6" s="22" t="s">
        <v>1131</v>
      </c>
      <c r="O6" s="22" t="s">
        <v>1132</v>
      </c>
      <c r="P6" s="22" t="s">
        <v>1258</v>
      </c>
    </row>
    <row r="7" spans="2:16" ht="15.75" customHeight="1" thickBot="1"/>
    <row r="8" spans="2:16" s="19" customFormat="1" ht="15.75" customHeight="1" thickBot="1">
      <c r="B8" s="343" t="s">
        <v>1287</v>
      </c>
      <c r="C8" s="343" t="s">
        <v>1289</v>
      </c>
      <c r="D8" s="343"/>
      <c r="E8" s="343"/>
      <c r="F8" s="345">
        <v>12.86</v>
      </c>
      <c r="G8" s="344">
        <v>12.438034133746788</v>
      </c>
      <c r="H8" s="344">
        <v>12.92</v>
      </c>
      <c r="I8" s="344">
        <v>13.54</v>
      </c>
      <c r="J8" s="344">
        <v>12.148316652041261</v>
      </c>
      <c r="K8" s="344">
        <v>14.283155030371152</v>
      </c>
      <c r="L8" s="344">
        <v>13.07466187886585</v>
      </c>
      <c r="M8" s="344">
        <v>13.331691871455417</v>
      </c>
      <c r="N8" s="344">
        <v>12.624076713676295</v>
      </c>
      <c r="O8" s="344">
        <v>13.76879518579411</v>
      </c>
      <c r="P8" s="344">
        <v>13.251071955534725</v>
      </c>
    </row>
    <row r="9" spans="2:16" ht="6" customHeight="1">
      <c r="B9" s="10"/>
      <c r="C9" s="10"/>
    </row>
    <row r="10" spans="2:16">
      <c r="B10" s="10" t="s">
        <v>1291</v>
      </c>
      <c r="C10" s="10" t="s">
        <v>1290</v>
      </c>
      <c r="F10" s="346">
        <v>20.18</v>
      </c>
      <c r="G10" s="303">
        <v>16.739999999999998</v>
      </c>
      <c r="H10" s="303">
        <v>17.25</v>
      </c>
      <c r="I10" s="303">
        <v>16.97</v>
      </c>
      <c r="J10" s="303">
        <v>16.096643204155129</v>
      </c>
      <c r="K10" s="303">
        <v>15.899267015973019</v>
      </c>
      <c r="L10" s="303">
        <v>16.2742593589413</v>
      </c>
      <c r="M10" s="303">
        <v>15.12</v>
      </c>
      <c r="N10" s="303">
        <v>15.292538027517281</v>
      </c>
      <c r="O10" s="303">
        <v>16.087031870086165</v>
      </c>
      <c r="P10" s="303">
        <v>15.597042018112894</v>
      </c>
    </row>
    <row r="11" spans="2:16">
      <c r="B11" s="14"/>
      <c r="C11" s="14"/>
      <c r="G11" s="303"/>
      <c r="H11" s="303"/>
      <c r="I11" s="303"/>
      <c r="J11" s="303"/>
      <c r="K11" s="303"/>
      <c r="L11" s="303"/>
      <c r="M11" s="303"/>
      <c r="N11" s="303"/>
      <c r="O11" s="303"/>
      <c r="P11" s="303"/>
    </row>
    <row r="12" spans="2:16">
      <c r="B12" s="3" t="s">
        <v>872</v>
      </c>
      <c r="C12" s="3" t="s">
        <v>1010</v>
      </c>
      <c r="F12" s="346">
        <v>9.41</v>
      </c>
      <c r="G12" s="303">
        <v>9.08</v>
      </c>
      <c r="H12" s="303">
        <v>9.1199999999999992</v>
      </c>
      <c r="I12" s="303">
        <v>10.44</v>
      </c>
      <c r="J12" s="303">
        <v>8.8820249628153007</v>
      </c>
      <c r="K12" s="303">
        <v>12.680106202566742</v>
      </c>
      <c r="L12" s="303">
        <v>10.206072556926083</v>
      </c>
      <c r="M12" s="303">
        <v>11.61</v>
      </c>
      <c r="N12" s="303">
        <v>10.282100213127244</v>
      </c>
      <c r="O12" s="303">
        <v>11.500078585515997</v>
      </c>
      <c r="P12" s="303">
        <v>11.115649116639792</v>
      </c>
    </row>
    <row r="14" spans="2:16">
      <c r="C14" s="255"/>
    </row>
    <row r="22" spans="2:3">
      <c r="B22" s="101"/>
      <c r="C22" s="101"/>
    </row>
    <row r="23" spans="2:3">
      <c r="B23" s="101"/>
      <c r="C23" s="101"/>
    </row>
    <row r="24" spans="2:3">
      <c r="B24" s="101"/>
      <c r="C24" s="101"/>
    </row>
  </sheetData>
  <pageMargins left="0.511811024" right="0.511811024" top="0.78740157499999996" bottom="0.78740157499999996" header="0.31496062000000002" footer="0.31496062000000002"/>
  <pageSetup paperSize="9" scale="80" orientation="portrait" r:id="rId1"/>
  <colBreaks count="1" manualBreakCount="1">
    <brk id="10"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C5A2B-611E-423C-9600-3B4488534790}">
  <dimension ref="B2:S163"/>
  <sheetViews>
    <sheetView showGridLines="0" topLeftCell="A74" workbookViewId="0">
      <selection activeCell="N160" sqref="N160"/>
    </sheetView>
  </sheetViews>
  <sheetFormatPr defaultRowHeight="15"/>
  <cols>
    <col min="1" max="1" width="2.5703125" customWidth="1"/>
    <col min="2" max="2" width="19.140625" customWidth="1"/>
    <col min="3" max="3" width="2.5703125" customWidth="1"/>
    <col min="4" max="18" width="9.85546875" customWidth="1"/>
  </cols>
  <sheetData>
    <row r="2" spans="2:19" ht="18.75">
      <c r="F2" s="43" t="s">
        <v>748</v>
      </c>
    </row>
    <row r="3" spans="2:19">
      <c r="C3" s="44"/>
    </row>
    <row r="4" spans="2:19" ht="15.75" thickBot="1"/>
    <row r="5" spans="2:19" ht="12.75" customHeight="1">
      <c r="B5" s="357" t="s">
        <v>747</v>
      </c>
      <c r="D5" s="3" t="s">
        <v>195</v>
      </c>
      <c r="E5" s="3"/>
      <c r="F5" s="3"/>
      <c r="G5" s="3"/>
      <c r="H5" s="75"/>
      <c r="I5" s="3"/>
      <c r="J5" s="3"/>
      <c r="K5" s="3"/>
      <c r="L5" s="3"/>
      <c r="M5" s="3"/>
      <c r="N5" s="3"/>
      <c r="O5" s="3"/>
      <c r="P5" s="3"/>
      <c r="Q5" s="3"/>
      <c r="R5" s="3"/>
      <c r="S5" s="3"/>
    </row>
    <row r="6" spans="2:19" ht="12.75" customHeight="1">
      <c r="B6" s="358"/>
      <c r="D6" s="3" t="s">
        <v>749</v>
      </c>
      <c r="E6" s="3"/>
      <c r="F6" s="3"/>
      <c r="G6" s="3"/>
      <c r="H6" s="75"/>
      <c r="I6" s="3"/>
      <c r="J6" s="3"/>
      <c r="K6" s="3"/>
      <c r="L6" s="3"/>
      <c r="M6" s="3"/>
      <c r="N6" s="3"/>
      <c r="O6" s="3"/>
      <c r="P6" s="3"/>
      <c r="Q6" s="3"/>
      <c r="R6" s="3"/>
      <c r="S6" s="3"/>
    </row>
    <row r="7" spans="2:19" ht="18.75" customHeight="1" thickBot="1">
      <c r="B7" s="359"/>
      <c r="D7" s="101" t="s">
        <v>194</v>
      </c>
      <c r="E7" s="101"/>
      <c r="F7" s="68"/>
      <c r="G7" s="68"/>
      <c r="H7" s="68"/>
      <c r="I7" s="3"/>
      <c r="J7" s="3"/>
      <c r="K7" s="3"/>
      <c r="L7" s="3"/>
      <c r="M7" s="3"/>
      <c r="N7" s="3"/>
      <c r="O7" s="3"/>
      <c r="P7" s="3"/>
      <c r="Q7" s="3"/>
      <c r="R7" s="3"/>
      <c r="S7" s="3"/>
    </row>
    <row r="8" spans="2:19" ht="5.25" customHeight="1">
      <c r="D8" s="3"/>
      <c r="E8" s="71"/>
      <c r="F8" s="71"/>
      <c r="G8" s="71"/>
      <c r="H8" s="71"/>
      <c r="I8" s="3"/>
      <c r="J8" s="3"/>
      <c r="K8" s="3"/>
      <c r="L8" s="3"/>
      <c r="M8" s="3"/>
      <c r="N8" s="3"/>
      <c r="O8" s="3"/>
      <c r="P8" s="3"/>
      <c r="Q8" s="3"/>
      <c r="R8" s="3"/>
      <c r="S8" s="3"/>
    </row>
    <row r="9" spans="2:19" ht="12.75" customHeight="1">
      <c r="D9" s="3" t="s">
        <v>892</v>
      </c>
      <c r="E9" s="71"/>
      <c r="F9" s="71"/>
      <c r="G9" s="71"/>
      <c r="H9" s="71"/>
      <c r="I9" s="3"/>
      <c r="J9" s="3"/>
      <c r="K9" s="3"/>
      <c r="L9" s="3"/>
      <c r="M9" s="3"/>
      <c r="N9" s="3"/>
      <c r="O9" s="3"/>
      <c r="P9" s="3"/>
      <c r="Q9" s="3"/>
      <c r="R9" s="3"/>
      <c r="S9" s="3"/>
    </row>
    <row r="10" spans="2:19" ht="12.75" customHeight="1">
      <c r="D10" s="3" t="s">
        <v>893</v>
      </c>
      <c r="E10" s="71"/>
      <c r="F10" s="71"/>
      <c r="G10" s="71"/>
      <c r="H10" s="71"/>
      <c r="I10" s="3"/>
      <c r="J10" s="3"/>
      <c r="K10" s="3"/>
      <c r="L10" s="3"/>
      <c r="M10" s="3"/>
      <c r="N10" s="3"/>
      <c r="O10" s="3"/>
      <c r="P10" s="3"/>
      <c r="Q10" s="3"/>
      <c r="R10" s="3"/>
      <c r="S10" s="3"/>
    </row>
    <row r="11" spans="2:19" ht="5.25" customHeight="1">
      <c r="D11" s="3"/>
      <c r="E11" s="71"/>
      <c r="F11" s="71"/>
      <c r="G11" s="71"/>
      <c r="H11" s="71"/>
      <c r="I11" s="3"/>
      <c r="J11" s="3"/>
      <c r="K11" s="3"/>
      <c r="L11" s="3"/>
      <c r="M11" s="3"/>
      <c r="N11" s="3"/>
      <c r="O11" s="3"/>
      <c r="P11" s="3"/>
      <c r="Q11" s="3"/>
      <c r="R11" s="3"/>
      <c r="S11" s="3"/>
    </row>
    <row r="12" spans="2:19" s="3" customFormat="1" ht="12.75">
      <c r="D12" s="368" t="s">
        <v>891</v>
      </c>
      <c r="E12" s="368"/>
      <c r="F12" s="368"/>
      <c r="G12" s="368"/>
      <c r="H12" s="368"/>
      <c r="I12" s="368"/>
      <c r="J12" s="67"/>
      <c r="K12" s="67"/>
      <c r="L12" s="67"/>
      <c r="M12" s="67"/>
      <c r="N12" s="67"/>
      <c r="O12" s="67"/>
      <c r="P12" s="67"/>
      <c r="Q12" s="67"/>
      <c r="R12" s="67"/>
      <c r="S12" s="67"/>
    </row>
    <row r="13" spans="2:19" ht="9" customHeight="1">
      <c r="D13" s="3"/>
      <c r="E13" s="71"/>
      <c r="F13" s="71"/>
      <c r="G13" s="71"/>
      <c r="H13" s="71"/>
      <c r="I13" s="3"/>
      <c r="J13" s="3"/>
      <c r="K13" s="3"/>
      <c r="L13" s="3"/>
      <c r="M13" s="3"/>
      <c r="N13" s="3"/>
      <c r="O13" s="3"/>
      <c r="P13" s="3"/>
      <c r="Q13" s="3"/>
      <c r="R13" s="3"/>
      <c r="S13" s="3"/>
    </row>
    <row r="14" spans="2:19" ht="16.5" customHeight="1">
      <c r="D14" s="360" t="s">
        <v>96</v>
      </c>
      <c r="E14" s="360" t="s">
        <v>97</v>
      </c>
      <c r="F14" s="362" t="s">
        <v>98</v>
      </c>
      <c r="G14" s="363"/>
      <c r="H14" s="363"/>
      <c r="I14" s="364"/>
      <c r="J14" s="365" t="s">
        <v>99</v>
      </c>
      <c r="K14" s="366"/>
      <c r="L14" s="365" t="s">
        <v>100</v>
      </c>
      <c r="M14" s="367"/>
      <c r="N14" s="367"/>
      <c r="O14" s="367"/>
      <c r="P14" s="367"/>
      <c r="Q14" s="367"/>
      <c r="R14" s="366"/>
      <c r="S14" s="76"/>
    </row>
    <row r="15" spans="2:19" ht="25.5">
      <c r="D15" s="361"/>
      <c r="E15" s="361"/>
      <c r="F15" s="77" t="s">
        <v>101</v>
      </c>
      <c r="G15" s="77" t="s">
        <v>102</v>
      </c>
      <c r="H15" s="78" t="s">
        <v>103</v>
      </c>
      <c r="I15" s="77" t="s">
        <v>104</v>
      </c>
      <c r="J15" s="78" t="s">
        <v>105</v>
      </c>
      <c r="K15" s="77" t="s">
        <v>106</v>
      </c>
      <c r="L15" s="79" t="s">
        <v>107</v>
      </c>
      <c r="M15" s="77" t="s">
        <v>108</v>
      </c>
      <c r="N15" s="78" t="s">
        <v>106</v>
      </c>
      <c r="O15" s="78" t="s">
        <v>109</v>
      </c>
      <c r="P15" s="78" t="s">
        <v>110</v>
      </c>
      <c r="Q15" s="79" t="s">
        <v>111</v>
      </c>
      <c r="R15" s="79" t="s">
        <v>112</v>
      </c>
      <c r="S15" s="76"/>
    </row>
    <row r="16" spans="2:19">
      <c r="D16" s="369" t="s">
        <v>113</v>
      </c>
      <c r="E16" s="370"/>
      <c r="F16" s="370"/>
      <c r="G16" s="370"/>
      <c r="H16" s="370"/>
      <c r="I16" s="370"/>
      <c r="J16" s="370"/>
      <c r="K16" s="370"/>
      <c r="L16" s="370"/>
      <c r="M16" s="370"/>
      <c r="N16" s="370"/>
      <c r="O16" s="370"/>
      <c r="P16" s="370"/>
      <c r="Q16" s="370"/>
      <c r="R16" s="371"/>
      <c r="S16" s="76"/>
    </row>
    <row r="17" spans="4:19">
      <c r="D17" s="80" t="s">
        <v>114</v>
      </c>
      <c r="E17" s="80" t="s">
        <v>115</v>
      </c>
      <c r="F17" s="86">
        <v>83.71</v>
      </c>
      <c r="G17" s="86">
        <v>86</v>
      </c>
      <c r="H17" s="86">
        <v>82.88</v>
      </c>
      <c r="I17" s="86">
        <v>85.99</v>
      </c>
      <c r="J17" s="86">
        <v>85.91</v>
      </c>
      <c r="K17" s="86">
        <v>2.4500000000000002</v>
      </c>
      <c r="L17" s="87">
        <v>213534</v>
      </c>
      <c r="M17" s="87">
        <v>433320</v>
      </c>
      <c r="N17" s="88">
        <v>-5843</v>
      </c>
      <c r="O17" s="88">
        <v>0</v>
      </c>
      <c r="P17" s="88">
        <v>0</v>
      </c>
      <c r="Q17" s="87">
        <v>5566</v>
      </c>
      <c r="R17" s="87">
        <v>65450</v>
      </c>
      <c r="S17" s="76"/>
    </row>
    <row r="18" spans="4:19">
      <c r="D18" s="81" t="s">
        <v>114</v>
      </c>
      <c r="E18" s="81" t="s">
        <v>116</v>
      </c>
      <c r="F18" s="89">
        <v>83.55</v>
      </c>
      <c r="G18" s="89">
        <v>85.75</v>
      </c>
      <c r="H18" s="89">
        <v>82.8</v>
      </c>
      <c r="I18" s="89">
        <v>85.73</v>
      </c>
      <c r="J18" s="89">
        <v>85.65</v>
      </c>
      <c r="K18" s="89">
        <v>2.34</v>
      </c>
      <c r="L18" s="90">
        <v>79612</v>
      </c>
      <c r="M18" s="90">
        <v>256908</v>
      </c>
      <c r="N18" s="90">
        <v>6449</v>
      </c>
      <c r="O18" s="91">
        <v>0</v>
      </c>
      <c r="P18" s="91">
        <v>0</v>
      </c>
      <c r="Q18" s="91">
        <v>2819</v>
      </c>
      <c r="R18" s="90">
        <v>59057</v>
      </c>
      <c r="S18" s="76"/>
    </row>
    <row r="19" spans="4:19">
      <c r="D19" s="80" t="s">
        <v>114</v>
      </c>
      <c r="E19" s="80" t="s">
        <v>117</v>
      </c>
      <c r="F19" s="86">
        <v>83.27</v>
      </c>
      <c r="G19" s="86">
        <v>85.4</v>
      </c>
      <c r="H19" s="86">
        <v>82.49</v>
      </c>
      <c r="I19" s="86">
        <v>85.36</v>
      </c>
      <c r="J19" s="86">
        <v>85.27</v>
      </c>
      <c r="K19" s="86">
        <v>2.2599999999999998</v>
      </c>
      <c r="L19" s="87">
        <v>38474</v>
      </c>
      <c r="M19" s="87">
        <v>157185</v>
      </c>
      <c r="N19" s="87">
        <v>844</v>
      </c>
      <c r="O19" s="88">
        <v>0</v>
      </c>
      <c r="P19" s="88">
        <v>0</v>
      </c>
      <c r="Q19" s="88">
        <v>371</v>
      </c>
      <c r="R19" s="87">
        <v>32735</v>
      </c>
      <c r="S19" s="76"/>
    </row>
    <row r="20" spans="4:19">
      <c r="D20" s="81" t="s">
        <v>114</v>
      </c>
      <c r="E20" s="81" t="s">
        <v>118</v>
      </c>
      <c r="F20" s="89">
        <v>82.83</v>
      </c>
      <c r="G20" s="89">
        <v>84.89</v>
      </c>
      <c r="H20" s="89">
        <v>82</v>
      </c>
      <c r="I20" s="89">
        <v>84.85</v>
      </c>
      <c r="J20" s="89">
        <v>84.76</v>
      </c>
      <c r="K20" s="89">
        <v>2.1800000000000002</v>
      </c>
      <c r="L20" s="90">
        <v>51320</v>
      </c>
      <c r="M20" s="90">
        <v>222926</v>
      </c>
      <c r="N20" s="90">
        <v>304</v>
      </c>
      <c r="O20" s="91">
        <v>0</v>
      </c>
      <c r="P20" s="91">
        <v>0</v>
      </c>
      <c r="Q20" s="90">
        <v>2917</v>
      </c>
      <c r="R20" s="90">
        <v>41268</v>
      </c>
      <c r="S20" s="76"/>
    </row>
    <row r="21" spans="4:19">
      <c r="D21" s="80" t="s">
        <v>114</v>
      </c>
      <c r="E21" s="80" t="s">
        <v>119</v>
      </c>
      <c r="F21" s="86">
        <v>82.4</v>
      </c>
      <c r="G21" s="86">
        <v>84.3</v>
      </c>
      <c r="H21" s="86">
        <v>81.569999999999993</v>
      </c>
      <c r="I21" s="86">
        <v>84.29</v>
      </c>
      <c r="J21" s="86">
        <v>84.2</v>
      </c>
      <c r="K21" s="86">
        <v>2.11</v>
      </c>
      <c r="L21" s="87">
        <v>13224</v>
      </c>
      <c r="M21" s="87">
        <v>78197</v>
      </c>
      <c r="N21" s="88">
        <v>192</v>
      </c>
      <c r="O21" s="88">
        <v>0</v>
      </c>
      <c r="P21" s="88">
        <v>0</v>
      </c>
      <c r="Q21" s="88">
        <v>0</v>
      </c>
      <c r="R21" s="87">
        <v>12704</v>
      </c>
      <c r="S21" s="76"/>
    </row>
    <row r="22" spans="4:19">
      <c r="D22" s="81" t="s">
        <v>114</v>
      </c>
      <c r="E22" s="81" t="s">
        <v>120</v>
      </c>
      <c r="F22" s="89">
        <v>82.1</v>
      </c>
      <c r="G22" s="89">
        <v>83.78</v>
      </c>
      <c r="H22" s="89">
        <v>80.98</v>
      </c>
      <c r="I22" s="89">
        <v>83.74</v>
      </c>
      <c r="J22" s="89">
        <v>83.63</v>
      </c>
      <c r="K22" s="89">
        <v>2.04</v>
      </c>
      <c r="L22" s="90">
        <v>8232</v>
      </c>
      <c r="M22" s="90">
        <v>57113</v>
      </c>
      <c r="N22" s="91">
        <v>-112</v>
      </c>
      <c r="O22" s="91">
        <v>0</v>
      </c>
      <c r="P22" s="91">
        <v>0</v>
      </c>
      <c r="Q22" s="90">
        <v>0</v>
      </c>
      <c r="R22" s="90">
        <v>7888</v>
      </c>
      <c r="S22" s="76"/>
    </row>
    <row r="23" spans="4:19">
      <c r="D23" s="80" t="s">
        <v>114</v>
      </c>
      <c r="E23" s="80" t="s">
        <v>121</v>
      </c>
      <c r="F23" s="86">
        <v>81.56</v>
      </c>
      <c r="G23" s="86">
        <v>83.21</v>
      </c>
      <c r="H23" s="86">
        <v>80.5</v>
      </c>
      <c r="I23" s="86">
        <v>83.19</v>
      </c>
      <c r="J23" s="86">
        <v>83.1</v>
      </c>
      <c r="K23" s="86">
        <v>2</v>
      </c>
      <c r="L23" s="87">
        <v>13043</v>
      </c>
      <c r="M23" s="87">
        <v>67350</v>
      </c>
      <c r="N23" s="87">
        <v>254</v>
      </c>
      <c r="O23" s="88">
        <v>0</v>
      </c>
      <c r="P23" s="88">
        <v>0</v>
      </c>
      <c r="Q23" s="88">
        <v>51</v>
      </c>
      <c r="R23" s="87">
        <v>12813</v>
      </c>
      <c r="S23" s="76"/>
    </row>
    <row r="24" spans="4:19">
      <c r="D24" s="81" t="s">
        <v>114</v>
      </c>
      <c r="E24" s="81" t="s">
        <v>122</v>
      </c>
      <c r="F24" s="89">
        <v>80.989999999999995</v>
      </c>
      <c r="G24" s="89">
        <v>82.67</v>
      </c>
      <c r="H24" s="89">
        <v>80.08</v>
      </c>
      <c r="I24" s="89">
        <v>82.67</v>
      </c>
      <c r="J24" s="89">
        <v>82.57</v>
      </c>
      <c r="K24" s="89">
        <v>1.95</v>
      </c>
      <c r="L24" s="90">
        <v>6133</v>
      </c>
      <c r="M24" s="90">
        <v>39276</v>
      </c>
      <c r="N24" s="91">
        <v>1120</v>
      </c>
      <c r="O24" s="91">
        <v>0</v>
      </c>
      <c r="P24" s="91">
        <v>0</v>
      </c>
      <c r="Q24" s="91">
        <v>0</v>
      </c>
      <c r="R24" s="90">
        <v>6119</v>
      </c>
      <c r="S24" s="76"/>
    </row>
    <row r="25" spans="4:19">
      <c r="D25" s="80" t="s">
        <v>114</v>
      </c>
      <c r="E25" s="80" t="s">
        <v>123</v>
      </c>
      <c r="F25" s="86">
        <v>80.34</v>
      </c>
      <c r="G25" s="86">
        <v>82.17</v>
      </c>
      <c r="H25" s="86">
        <v>79.64</v>
      </c>
      <c r="I25" s="86">
        <v>82.11</v>
      </c>
      <c r="J25" s="86">
        <v>82.09</v>
      </c>
      <c r="K25" s="86">
        <v>1.89</v>
      </c>
      <c r="L25" s="87">
        <v>3361</v>
      </c>
      <c r="M25" s="87">
        <v>34489</v>
      </c>
      <c r="N25" s="88">
        <v>201</v>
      </c>
      <c r="O25" s="88">
        <v>0</v>
      </c>
      <c r="P25" s="88">
        <v>0</v>
      </c>
      <c r="Q25" s="88">
        <v>0</v>
      </c>
      <c r="R25" s="87">
        <v>3343</v>
      </c>
      <c r="S25" s="76"/>
    </row>
    <row r="26" spans="4:19">
      <c r="D26" s="81" t="s">
        <v>114</v>
      </c>
      <c r="E26" s="81" t="s">
        <v>124</v>
      </c>
      <c r="F26" s="89">
        <v>80.25</v>
      </c>
      <c r="G26" s="89">
        <v>81.790000000000006</v>
      </c>
      <c r="H26" s="89">
        <v>79.290000000000006</v>
      </c>
      <c r="I26" s="89">
        <v>81.73</v>
      </c>
      <c r="J26" s="89">
        <v>81.650000000000006</v>
      </c>
      <c r="K26" s="89">
        <v>1.84</v>
      </c>
      <c r="L26" s="90">
        <v>25732</v>
      </c>
      <c r="M26" s="90">
        <v>180745</v>
      </c>
      <c r="N26" s="91">
        <v>814</v>
      </c>
      <c r="O26" s="91">
        <v>0</v>
      </c>
      <c r="P26" s="91">
        <v>0</v>
      </c>
      <c r="Q26" s="91">
        <v>500</v>
      </c>
      <c r="R26" s="90">
        <v>22267</v>
      </c>
      <c r="S26" s="76"/>
    </row>
    <row r="27" spans="4:19">
      <c r="D27" s="80" t="s">
        <v>114</v>
      </c>
      <c r="E27" s="80" t="s">
        <v>125</v>
      </c>
      <c r="F27" s="86">
        <v>80.27</v>
      </c>
      <c r="G27" s="86">
        <v>81.7</v>
      </c>
      <c r="H27" s="86">
        <v>80.27</v>
      </c>
      <c r="I27" s="86">
        <v>81.62</v>
      </c>
      <c r="J27" s="86">
        <v>81.19</v>
      </c>
      <c r="K27" s="86">
        <v>1.79</v>
      </c>
      <c r="L27" s="88">
        <v>551</v>
      </c>
      <c r="M27" s="87">
        <v>25676</v>
      </c>
      <c r="N27" s="88">
        <v>251</v>
      </c>
      <c r="O27" s="88">
        <v>0</v>
      </c>
      <c r="P27" s="88">
        <v>0</v>
      </c>
      <c r="Q27" s="88">
        <v>0</v>
      </c>
      <c r="R27" s="88">
        <v>539</v>
      </c>
      <c r="S27" s="76"/>
    </row>
    <row r="28" spans="4:19">
      <c r="D28" s="81" t="s">
        <v>114</v>
      </c>
      <c r="E28" s="81" t="s">
        <v>126</v>
      </c>
      <c r="F28" s="92">
        <v>81.209999999999994</v>
      </c>
      <c r="G28" s="92">
        <v>81.209999999999994</v>
      </c>
      <c r="H28" s="92">
        <v>81.209999999999994</v>
      </c>
      <c r="I28" s="92">
        <v>81.209999999999994</v>
      </c>
      <c r="J28" s="89">
        <v>80.72</v>
      </c>
      <c r="K28" s="89">
        <v>1.74</v>
      </c>
      <c r="L28" s="91">
        <v>594</v>
      </c>
      <c r="M28" s="90">
        <v>32277</v>
      </c>
      <c r="N28" s="91">
        <v>-24</v>
      </c>
      <c r="O28" s="91">
        <v>0</v>
      </c>
      <c r="P28" s="91">
        <v>0</v>
      </c>
      <c r="Q28" s="91">
        <v>0</v>
      </c>
      <c r="R28" s="91">
        <v>545</v>
      </c>
      <c r="S28" s="76"/>
    </row>
    <row r="29" spans="4:19">
      <c r="D29" s="80" t="s">
        <v>114</v>
      </c>
      <c r="E29" s="80" t="s">
        <v>127</v>
      </c>
      <c r="F29" s="93">
        <v>79.349999999999994</v>
      </c>
      <c r="G29" s="93">
        <v>79.48</v>
      </c>
      <c r="H29" s="93">
        <v>79.349999999999994</v>
      </c>
      <c r="I29" s="93">
        <v>79.48</v>
      </c>
      <c r="J29" s="86">
        <v>80.3</v>
      </c>
      <c r="K29" s="86">
        <v>1.72</v>
      </c>
      <c r="L29" s="88">
        <v>1420</v>
      </c>
      <c r="M29" s="87">
        <v>23719</v>
      </c>
      <c r="N29" s="88">
        <v>457</v>
      </c>
      <c r="O29" s="88">
        <v>0</v>
      </c>
      <c r="P29" s="88">
        <v>0</v>
      </c>
      <c r="Q29" s="88">
        <v>0</v>
      </c>
      <c r="R29" s="88">
        <v>1400</v>
      </c>
      <c r="S29" s="76"/>
    </row>
    <row r="30" spans="4:19">
      <c r="D30" s="81" t="s">
        <v>114</v>
      </c>
      <c r="E30" s="81" t="s">
        <v>128</v>
      </c>
      <c r="F30" s="92">
        <v>79.08</v>
      </c>
      <c r="G30" s="92">
        <v>79.599999999999994</v>
      </c>
      <c r="H30" s="92">
        <v>79.08</v>
      </c>
      <c r="I30" s="92">
        <v>79.599999999999994</v>
      </c>
      <c r="J30" s="89">
        <v>79.89</v>
      </c>
      <c r="K30" s="89">
        <v>1.68</v>
      </c>
      <c r="L30" s="91">
        <v>190</v>
      </c>
      <c r="M30" s="90">
        <v>7976</v>
      </c>
      <c r="N30" s="91">
        <v>3</v>
      </c>
      <c r="O30" s="91">
        <v>0</v>
      </c>
      <c r="P30" s="91">
        <v>0</v>
      </c>
      <c r="Q30" s="91">
        <v>0</v>
      </c>
      <c r="R30" s="91">
        <v>168</v>
      </c>
      <c r="S30" s="76"/>
    </row>
    <row r="31" spans="4:19">
      <c r="D31" s="80" t="s">
        <v>114</v>
      </c>
      <c r="E31" s="80" t="s">
        <v>129</v>
      </c>
      <c r="F31" s="93">
        <v>78.680000000000007</v>
      </c>
      <c r="G31" s="93">
        <v>78.680000000000007</v>
      </c>
      <c r="H31" s="93">
        <v>78.680000000000007</v>
      </c>
      <c r="I31" s="93">
        <v>78.680000000000007</v>
      </c>
      <c r="J31" s="86">
        <v>79.48</v>
      </c>
      <c r="K31" s="86">
        <v>1.63</v>
      </c>
      <c r="L31" s="88">
        <v>437</v>
      </c>
      <c r="M31" s="87">
        <v>7669</v>
      </c>
      <c r="N31" s="88">
        <v>-21</v>
      </c>
      <c r="O31" s="88">
        <v>0</v>
      </c>
      <c r="P31" s="88">
        <v>0</v>
      </c>
      <c r="Q31" s="88">
        <v>0</v>
      </c>
      <c r="R31" s="88">
        <v>418</v>
      </c>
      <c r="S31" s="76"/>
    </row>
    <row r="32" spans="4:19">
      <c r="D32" s="81" t="s">
        <v>114</v>
      </c>
      <c r="E32" s="81" t="s">
        <v>130</v>
      </c>
      <c r="F32" s="89">
        <v>77.92</v>
      </c>
      <c r="G32" s="89">
        <v>79.150000000000006</v>
      </c>
      <c r="H32" s="89">
        <v>77.13</v>
      </c>
      <c r="I32" s="89">
        <v>79.11</v>
      </c>
      <c r="J32" s="89">
        <v>79.099999999999994</v>
      </c>
      <c r="K32" s="89">
        <v>1.6</v>
      </c>
      <c r="L32" s="90">
        <v>5749</v>
      </c>
      <c r="M32" s="90">
        <v>54516</v>
      </c>
      <c r="N32" s="91">
        <v>119</v>
      </c>
      <c r="O32" s="91">
        <v>0</v>
      </c>
      <c r="P32" s="91">
        <v>0</v>
      </c>
      <c r="Q32" s="91">
        <v>0</v>
      </c>
      <c r="R32" s="90">
        <v>5372</v>
      </c>
      <c r="S32" s="76"/>
    </row>
    <row r="33" spans="4:19">
      <c r="D33" s="80" t="s">
        <v>114</v>
      </c>
      <c r="E33" s="80" t="s">
        <v>131</v>
      </c>
      <c r="F33" s="93">
        <v>78</v>
      </c>
      <c r="G33" s="93">
        <v>78.040000000000006</v>
      </c>
      <c r="H33" s="93">
        <v>78</v>
      </c>
      <c r="I33" s="93">
        <v>78.040000000000006</v>
      </c>
      <c r="J33" s="86">
        <v>78.7</v>
      </c>
      <c r="K33" s="86">
        <v>1.58</v>
      </c>
      <c r="L33" s="88">
        <v>160</v>
      </c>
      <c r="M33" s="87">
        <v>6701</v>
      </c>
      <c r="N33" s="88">
        <v>53</v>
      </c>
      <c r="O33" s="88">
        <v>0</v>
      </c>
      <c r="P33" s="88">
        <v>0</v>
      </c>
      <c r="Q33" s="88">
        <v>0</v>
      </c>
      <c r="R33" s="88">
        <v>141</v>
      </c>
      <c r="S33" s="76"/>
    </row>
    <row r="34" spans="4:19">
      <c r="D34" s="81" t="s">
        <v>114</v>
      </c>
      <c r="E34" s="81" t="s">
        <v>132</v>
      </c>
      <c r="F34" s="92"/>
      <c r="G34" s="92"/>
      <c r="H34" s="92"/>
      <c r="I34" s="92"/>
      <c r="J34" s="89">
        <v>78.36</v>
      </c>
      <c r="K34" s="89">
        <v>1.56</v>
      </c>
      <c r="L34" s="91">
        <v>112</v>
      </c>
      <c r="M34" s="90">
        <v>6501</v>
      </c>
      <c r="N34" s="91">
        <v>98</v>
      </c>
      <c r="O34" s="91">
        <v>0</v>
      </c>
      <c r="P34" s="91">
        <v>0</v>
      </c>
      <c r="Q34" s="91">
        <v>0</v>
      </c>
      <c r="R34" s="91">
        <v>112</v>
      </c>
      <c r="S34" s="76"/>
    </row>
    <row r="35" spans="4:19">
      <c r="D35" s="80" t="s">
        <v>114</v>
      </c>
      <c r="E35" s="80" t="s">
        <v>133</v>
      </c>
      <c r="F35" s="93">
        <v>77.47</v>
      </c>
      <c r="G35" s="93">
        <v>77.47</v>
      </c>
      <c r="H35" s="93">
        <v>77.47</v>
      </c>
      <c r="I35" s="93">
        <v>77.47</v>
      </c>
      <c r="J35" s="86">
        <v>78.05</v>
      </c>
      <c r="K35" s="86">
        <v>1.52</v>
      </c>
      <c r="L35" s="88">
        <v>1298</v>
      </c>
      <c r="M35" s="87">
        <v>10392</v>
      </c>
      <c r="N35" s="88">
        <v>187</v>
      </c>
      <c r="O35" s="88">
        <v>0</v>
      </c>
      <c r="P35" s="88">
        <v>0</v>
      </c>
      <c r="Q35" s="88">
        <v>0</v>
      </c>
      <c r="R35" s="88">
        <v>1262</v>
      </c>
      <c r="S35" s="76"/>
    </row>
    <row r="36" spans="4:19">
      <c r="D36" s="81" t="s">
        <v>114</v>
      </c>
      <c r="E36" s="81" t="s">
        <v>134</v>
      </c>
      <c r="F36" s="92"/>
      <c r="G36" s="92"/>
      <c r="H36" s="92"/>
      <c r="I36" s="92"/>
      <c r="J36" s="89">
        <v>77.739999999999995</v>
      </c>
      <c r="K36" s="89">
        <v>1.48</v>
      </c>
      <c r="L36" s="91">
        <v>1217</v>
      </c>
      <c r="M36" s="90">
        <v>6270</v>
      </c>
      <c r="N36" s="91">
        <v>678</v>
      </c>
      <c r="O36" s="91">
        <v>0</v>
      </c>
      <c r="P36" s="91">
        <v>0</v>
      </c>
      <c r="Q36" s="91">
        <v>0</v>
      </c>
      <c r="R36" s="91">
        <v>1217</v>
      </c>
      <c r="S36" s="76"/>
    </row>
    <row r="37" spans="4:19">
      <c r="D37" s="80" t="s">
        <v>114</v>
      </c>
      <c r="E37" s="80" t="s">
        <v>135</v>
      </c>
      <c r="F37" s="93"/>
      <c r="G37" s="93"/>
      <c r="H37" s="93"/>
      <c r="I37" s="93"/>
      <c r="J37" s="86">
        <v>77.38</v>
      </c>
      <c r="K37" s="86">
        <v>1.44</v>
      </c>
      <c r="L37" s="88">
        <v>1458</v>
      </c>
      <c r="M37" s="87">
        <v>4385</v>
      </c>
      <c r="N37" s="88">
        <v>-74</v>
      </c>
      <c r="O37" s="88">
        <v>0</v>
      </c>
      <c r="P37" s="88">
        <v>0</v>
      </c>
      <c r="Q37" s="88">
        <v>0</v>
      </c>
      <c r="R37" s="88">
        <v>1458</v>
      </c>
      <c r="S37" s="76"/>
    </row>
    <row r="38" spans="4:19">
      <c r="D38" s="81" t="s">
        <v>114</v>
      </c>
      <c r="E38" s="81" t="s">
        <v>136</v>
      </c>
      <c r="F38" s="89">
        <v>75.989999999999995</v>
      </c>
      <c r="G38" s="89">
        <v>77.08</v>
      </c>
      <c r="H38" s="89">
        <v>75.27</v>
      </c>
      <c r="I38" s="89">
        <v>77.08</v>
      </c>
      <c r="J38" s="89">
        <v>77.010000000000005</v>
      </c>
      <c r="K38" s="89">
        <v>1.4</v>
      </c>
      <c r="L38" s="90">
        <v>6239</v>
      </c>
      <c r="M38" s="90">
        <v>80033</v>
      </c>
      <c r="N38" s="91">
        <v>-331</v>
      </c>
      <c r="O38" s="91">
        <v>0</v>
      </c>
      <c r="P38" s="88">
        <v>0</v>
      </c>
      <c r="Q38" s="91">
        <v>0</v>
      </c>
      <c r="R38" s="90">
        <v>5510</v>
      </c>
      <c r="S38" s="76"/>
    </row>
    <row r="39" spans="4:19">
      <c r="D39" s="80" t="s">
        <v>114</v>
      </c>
      <c r="E39" s="80" t="s">
        <v>137</v>
      </c>
      <c r="F39" s="93"/>
      <c r="G39" s="93"/>
      <c r="H39" s="93"/>
      <c r="I39" s="93"/>
      <c r="J39" s="86">
        <v>76.64</v>
      </c>
      <c r="K39" s="86">
        <v>1.38</v>
      </c>
      <c r="L39" s="88">
        <v>111</v>
      </c>
      <c r="M39" s="87">
        <v>3095</v>
      </c>
      <c r="N39" s="88">
        <v>37</v>
      </c>
      <c r="O39" s="88">
        <v>0</v>
      </c>
      <c r="P39" s="88">
        <v>0</v>
      </c>
      <c r="Q39" s="88">
        <v>0</v>
      </c>
      <c r="R39" s="88">
        <v>111</v>
      </c>
      <c r="S39" s="76"/>
    </row>
    <row r="40" spans="4:19">
      <c r="D40" s="81" t="s">
        <v>114</v>
      </c>
      <c r="E40" s="81" t="s">
        <v>138</v>
      </c>
      <c r="F40" s="92"/>
      <c r="G40" s="92"/>
      <c r="H40" s="92"/>
      <c r="I40" s="92"/>
      <c r="J40" s="89">
        <v>76.290000000000006</v>
      </c>
      <c r="K40" s="89">
        <v>1.36</v>
      </c>
      <c r="L40" s="91">
        <v>42</v>
      </c>
      <c r="M40" s="90">
        <v>1775</v>
      </c>
      <c r="N40" s="91">
        <v>28</v>
      </c>
      <c r="O40" s="91">
        <v>0</v>
      </c>
      <c r="P40" s="88">
        <v>0</v>
      </c>
      <c r="Q40" s="91">
        <v>0</v>
      </c>
      <c r="R40" s="91">
        <v>42</v>
      </c>
      <c r="S40" s="76"/>
    </row>
    <row r="41" spans="4:19">
      <c r="D41" s="80" t="s">
        <v>114</v>
      </c>
      <c r="E41" s="80" t="s">
        <v>139</v>
      </c>
      <c r="F41" s="93">
        <v>75.400000000000006</v>
      </c>
      <c r="G41" s="93">
        <v>75.400000000000006</v>
      </c>
      <c r="H41" s="93">
        <v>75.400000000000006</v>
      </c>
      <c r="I41" s="93">
        <v>75.400000000000006</v>
      </c>
      <c r="J41" s="86">
        <v>75.97</v>
      </c>
      <c r="K41" s="86">
        <v>1.33</v>
      </c>
      <c r="L41" s="88">
        <v>147</v>
      </c>
      <c r="M41" s="87">
        <v>1377</v>
      </c>
      <c r="N41" s="88">
        <v>77</v>
      </c>
      <c r="O41" s="88">
        <v>0</v>
      </c>
      <c r="P41" s="88">
        <v>0</v>
      </c>
      <c r="Q41" s="88">
        <v>0</v>
      </c>
      <c r="R41" s="88">
        <v>130</v>
      </c>
      <c r="S41" s="76"/>
    </row>
    <row r="42" spans="4:19">
      <c r="D42" s="82" t="s">
        <v>114</v>
      </c>
      <c r="E42" s="82" t="s">
        <v>140</v>
      </c>
      <c r="F42" s="94"/>
      <c r="G42" s="94"/>
      <c r="H42" s="94"/>
      <c r="I42" s="94"/>
      <c r="J42" s="95">
        <v>75.7</v>
      </c>
      <c r="K42" s="95">
        <v>1.3</v>
      </c>
      <c r="L42" s="96">
        <v>30</v>
      </c>
      <c r="M42" s="96">
        <v>441</v>
      </c>
      <c r="N42" s="96">
        <v>0</v>
      </c>
      <c r="O42" s="96">
        <v>0</v>
      </c>
      <c r="P42" s="88">
        <v>0</v>
      </c>
      <c r="Q42" s="96">
        <v>0</v>
      </c>
      <c r="R42" s="96">
        <v>30</v>
      </c>
      <c r="S42" s="76"/>
    </row>
    <row r="43" spans="4:19">
      <c r="D43" s="80" t="s">
        <v>114</v>
      </c>
      <c r="E43" s="80" t="s">
        <v>141</v>
      </c>
      <c r="F43" s="93"/>
      <c r="G43" s="93"/>
      <c r="H43" s="93"/>
      <c r="I43" s="93"/>
      <c r="J43" s="86">
        <v>75.42</v>
      </c>
      <c r="K43" s="86">
        <v>1.27</v>
      </c>
      <c r="L43" s="88">
        <v>0</v>
      </c>
      <c r="M43" s="88">
        <v>784</v>
      </c>
      <c r="N43" s="88">
        <v>0</v>
      </c>
      <c r="O43" s="88">
        <v>0</v>
      </c>
      <c r="P43" s="88">
        <v>0</v>
      </c>
      <c r="Q43" s="88">
        <v>0</v>
      </c>
      <c r="R43" s="88">
        <v>0</v>
      </c>
      <c r="S43" s="76"/>
    </row>
    <row r="44" spans="4:19">
      <c r="D44" s="81" t="s">
        <v>114</v>
      </c>
      <c r="E44" s="81" t="s">
        <v>142</v>
      </c>
      <c r="F44" s="89">
        <v>74.23</v>
      </c>
      <c r="G44" s="89">
        <v>75</v>
      </c>
      <c r="H44" s="89">
        <v>73.64</v>
      </c>
      <c r="I44" s="89">
        <v>75</v>
      </c>
      <c r="J44" s="89">
        <v>75.13</v>
      </c>
      <c r="K44" s="89">
        <v>1.24</v>
      </c>
      <c r="L44" s="91">
        <v>300</v>
      </c>
      <c r="M44" s="90">
        <v>11564</v>
      </c>
      <c r="N44" s="91">
        <v>-15</v>
      </c>
      <c r="O44" s="91">
        <v>0</v>
      </c>
      <c r="P44" s="88">
        <v>0</v>
      </c>
      <c r="Q44" s="91">
        <v>0</v>
      </c>
      <c r="R44" s="91">
        <v>296</v>
      </c>
      <c r="S44" s="76"/>
    </row>
    <row r="45" spans="4:19">
      <c r="D45" s="80" t="s">
        <v>114</v>
      </c>
      <c r="E45" s="80" t="s">
        <v>143</v>
      </c>
      <c r="F45" s="93"/>
      <c r="G45" s="93"/>
      <c r="H45" s="93"/>
      <c r="I45" s="93"/>
      <c r="J45" s="86">
        <v>74.87</v>
      </c>
      <c r="K45" s="86">
        <v>1.22</v>
      </c>
      <c r="L45" s="88">
        <v>0</v>
      </c>
      <c r="M45" s="88">
        <v>681</v>
      </c>
      <c r="N45" s="88">
        <v>0</v>
      </c>
      <c r="O45" s="88">
        <v>0</v>
      </c>
      <c r="P45" s="88">
        <v>0</v>
      </c>
      <c r="Q45" s="88">
        <v>0</v>
      </c>
      <c r="R45" s="88">
        <v>0</v>
      </c>
      <c r="S45" s="76"/>
    </row>
    <row r="46" spans="4:19">
      <c r="D46" s="81" t="s">
        <v>114</v>
      </c>
      <c r="E46" s="81" t="s">
        <v>144</v>
      </c>
      <c r="F46" s="92"/>
      <c r="G46" s="92"/>
      <c r="H46" s="92"/>
      <c r="I46" s="92"/>
      <c r="J46" s="89">
        <v>74.61</v>
      </c>
      <c r="K46" s="89">
        <v>1.2</v>
      </c>
      <c r="L46" s="91">
        <v>0</v>
      </c>
      <c r="M46" s="91">
        <v>157</v>
      </c>
      <c r="N46" s="91">
        <v>0</v>
      </c>
      <c r="O46" s="91">
        <v>0</v>
      </c>
      <c r="P46" s="88">
        <v>0</v>
      </c>
      <c r="Q46" s="91">
        <v>0</v>
      </c>
      <c r="R46" s="91">
        <v>0</v>
      </c>
      <c r="S46" s="76"/>
    </row>
    <row r="47" spans="4:19">
      <c r="D47" s="80" t="s">
        <v>114</v>
      </c>
      <c r="E47" s="80" t="s">
        <v>145</v>
      </c>
      <c r="F47" s="93"/>
      <c r="G47" s="93"/>
      <c r="H47" s="93"/>
      <c r="I47" s="93"/>
      <c r="J47" s="86">
        <v>74.349999999999994</v>
      </c>
      <c r="K47" s="86">
        <v>1.18</v>
      </c>
      <c r="L47" s="88">
        <v>0</v>
      </c>
      <c r="M47" s="87">
        <v>1138</v>
      </c>
      <c r="N47" s="88">
        <v>0</v>
      </c>
      <c r="O47" s="88">
        <v>0</v>
      </c>
      <c r="P47" s="88">
        <v>0</v>
      </c>
      <c r="Q47" s="88">
        <v>0</v>
      </c>
      <c r="R47" s="88">
        <v>0</v>
      </c>
      <c r="S47" s="76"/>
    </row>
    <row r="48" spans="4:19">
      <c r="D48" s="81" t="s">
        <v>114</v>
      </c>
      <c r="E48" s="81" t="s">
        <v>146</v>
      </c>
      <c r="F48" s="92"/>
      <c r="G48" s="92"/>
      <c r="H48" s="92"/>
      <c r="I48" s="92"/>
      <c r="J48" s="89">
        <v>74.099999999999994</v>
      </c>
      <c r="K48" s="89">
        <v>1.1599999999999999</v>
      </c>
      <c r="L48" s="91">
        <v>0</v>
      </c>
      <c r="M48" s="91">
        <v>1032</v>
      </c>
      <c r="N48" s="91">
        <v>0</v>
      </c>
      <c r="O48" s="91">
        <v>0</v>
      </c>
      <c r="P48" s="91">
        <v>0</v>
      </c>
      <c r="Q48" s="91">
        <v>0</v>
      </c>
      <c r="R48" s="91">
        <v>0</v>
      </c>
      <c r="S48" s="76"/>
    </row>
    <row r="49" spans="4:19">
      <c r="D49" s="80" t="s">
        <v>114</v>
      </c>
      <c r="E49" s="80" t="s">
        <v>147</v>
      </c>
      <c r="F49" s="93"/>
      <c r="G49" s="93"/>
      <c r="H49" s="93"/>
      <c r="I49" s="93"/>
      <c r="J49" s="86">
        <v>73.84</v>
      </c>
      <c r="K49" s="86">
        <v>1.1399999999999999</v>
      </c>
      <c r="L49" s="88">
        <v>0</v>
      </c>
      <c r="M49" s="88">
        <v>478</v>
      </c>
      <c r="N49" s="88">
        <v>0</v>
      </c>
      <c r="O49" s="88">
        <v>0</v>
      </c>
      <c r="P49" s="88">
        <v>0</v>
      </c>
      <c r="Q49" s="88">
        <v>0</v>
      </c>
      <c r="R49" s="88">
        <v>0</v>
      </c>
      <c r="S49" s="76"/>
    </row>
    <row r="50" spans="4:19">
      <c r="D50" s="81" t="s">
        <v>114</v>
      </c>
      <c r="E50" s="81" t="s">
        <v>148</v>
      </c>
      <c r="F50" s="89">
        <v>72.78</v>
      </c>
      <c r="G50" s="89">
        <v>73.22</v>
      </c>
      <c r="H50" s="89">
        <v>72.239999999999995</v>
      </c>
      <c r="I50" s="89">
        <v>73.22</v>
      </c>
      <c r="J50" s="89">
        <v>73.569999999999993</v>
      </c>
      <c r="K50" s="89">
        <v>1.1200000000000001</v>
      </c>
      <c r="L50" s="90">
        <v>557</v>
      </c>
      <c r="M50" s="90">
        <v>26796</v>
      </c>
      <c r="N50" s="91">
        <v>56</v>
      </c>
      <c r="O50" s="91">
        <v>0</v>
      </c>
      <c r="P50" s="91">
        <v>0</v>
      </c>
      <c r="Q50" s="91">
        <v>0</v>
      </c>
      <c r="R50" s="90">
        <v>519</v>
      </c>
      <c r="S50" s="76"/>
    </row>
    <row r="51" spans="4:19">
      <c r="D51" s="80" t="s">
        <v>114</v>
      </c>
      <c r="E51" s="80" t="s">
        <v>149</v>
      </c>
      <c r="F51" s="93"/>
      <c r="G51" s="93"/>
      <c r="H51" s="93"/>
      <c r="I51" s="93"/>
      <c r="J51" s="86">
        <v>73.349999999999994</v>
      </c>
      <c r="K51" s="86">
        <v>1.1100000000000001</v>
      </c>
      <c r="L51" s="88">
        <v>0</v>
      </c>
      <c r="M51" s="88">
        <v>172</v>
      </c>
      <c r="N51" s="88">
        <v>0</v>
      </c>
      <c r="O51" s="88">
        <v>0</v>
      </c>
      <c r="P51" s="88">
        <v>0</v>
      </c>
      <c r="Q51" s="88">
        <v>0</v>
      </c>
      <c r="R51" s="88">
        <v>0</v>
      </c>
      <c r="S51" s="76"/>
    </row>
    <row r="52" spans="4:19">
      <c r="D52" s="81" t="s">
        <v>114</v>
      </c>
      <c r="E52" s="81" t="s">
        <v>150</v>
      </c>
      <c r="F52" s="92"/>
      <c r="G52" s="92"/>
      <c r="H52" s="92"/>
      <c r="I52" s="92"/>
      <c r="J52" s="89">
        <v>73.12</v>
      </c>
      <c r="K52" s="89">
        <v>1.1000000000000001</v>
      </c>
      <c r="L52" s="91">
        <v>0</v>
      </c>
      <c r="M52" s="91">
        <v>7</v>
      </c>
      <c r="N52" s="91">
        <v>0</v>
      </c>
      <c r="O52" s="91">
        <v>0</v>
      </c>
      <c r="P52" s="88">
        <v>0</v>
      </c>
      <c r="Q52" s="91">
        <v>0</v>
      </c>
      <c r="R52" s="91">
        <v>0</v>
      </c>
      <c r="S52" s="76"/>
    </row>
    <row r="53" spans="4:19">
      <c r="D53" s="80" t="s">
        <v>114</v>
      </c>
      <c r="E53" s="80" t="s">
        <v>151</v>
      </c>
      <c r="F53" s="93"/>
      <c r="G53" s="93"/>
      <c r="H53" s="93"/>
      <c r="I53" s="93"/>
      <c r="J53" s="86">
        <v>72.89</v>
      </c>
      <c r="K53" s="86">
        <v>1.0900000000000001</v>
      </c>
      <c r="L53" s="88">
        <v>0</v>
      </c>
      <c r="M53" s="88">
        <v>0</v>
      </c>
      <c r="N53" s="88">
        <v>0</v>
      </c>
      <c r="O53" s="88">
        <v>0</v>
      </c>
      <c r="P53" s="88"/>
      <c r="Q53" s="88">
        <v>0</v>
      </c>
      <c r="R53" s="88">
        <v>0</v>
      </c>
      <c r="S53" s="76"/>
    </row>
    <row r="54" spans="4:19">
      <c r="D54" s="81" t="s">
        <v>114</v>
      </c>
      <c r="E54" s="81" t="s">
        <v>152</v>
      </c>
      <c r="F54" s="92"/>
      <c r="G54" s="92"/>
      <c r="H54" s="92"/>
      <c r="I54" s="92"/>
      <c r="J54" s="89">
        <v>72.66</v>
      </c>
      <c r="K54" s="89">
        <v>1.08</v>
      </c>
      <c r="L54" s="91">
        <v>0</v>
      </c>
      <c r="M54" s="91">
        <v>0</v>
      </c>
      <c r="N54" s="91">
        <v>0</v>
      </c>
      <c r="O54" s="91">
        <v>0</v>
      </c>
      <c r="P54" s="88">
        <v>0</v>
      </c>
      <c r="Q54" s="91">
        <v>0</v>
      </c>
      <c r="R54" s="91">
        <v>0</v>
      </c>
      <c r="S54" s="76"/>
    </row>
    <row r="55" spans="4:19">
      <c r="D55" s="80" t="s">
        <v>114</v>
      </c>
      <c r="E55" s="80" t="s">
        <v>153</v>
      </c>
      <c r="F55" s="93"/>
      <c r="G55" s="93"/>
      <c r="H55" s="93"/>
      <c r="I55" s="93"/>
      <c r="J55" s="86">
        <v>72.42</v>
      </c>
      <c r="K55" s="86">
        <v>1.06</v>
      </c>
      <c r="L55" s="88">
        <v>0</v>
      </c>
      <c r="M55" s="88">
        <v>0</v>
      </c>
      <c r="N55" s="88">
        <v>0</v>
      </c>
      <c r="O55" s="88">
        <v>0</v>
      </c>
      <c r="P55" s="88">
        <v>0</v>
      </c>
      <c r="Q55" s="88">
        <v>0</v>
      </c>
      <c r="R55" s="88">
        <v>0</v>
      </c>
      <c r="S55" s="76"/>
    </row>
    <row r="56" spans="4:19">
      <c r="D56" s="81" t="s">
        <v>114</v>
      </c>
      <c r="E56" s="81" t="s">
        <v>154</v>
      </c>
      <c r="F56" s="89"/>
      <c r="G56" s="89"/>
      <c r="H56" s="89"/>
      <c r="I56" s="89"/>
      <c r="J56" s="89">
        <v>72.19</v>
      </c>
      <c r="K56" s="89">
        <v>1.04</v>
      </c>
      <c r="L56" s="91">
        <v>0</v>
      </c>
      <c r="M56" s="90">
        <v>836</v>
      </c>
      <c r="N56" s="91">
        <v>0</v>
      </c>
      <c r="O56" s="91">
        <v>0</v>
      </c>
      <c r="P56" s="88">
        <v>0</v>
      </c>
      <c r="Q56" s="91">
        <v>0</v>
      </c>
      <c r="R56" s="91">
        <v>0</v>
      </c>
      <c r="S56" s="76"/>
    </row>
    <row r="57" spans="4:19">
      <c r="D57" s="80" t="s">
        <v>114</v>
      </c>
      <c r="E57" s="80" t="s">
        <v>155</v>
      </c>
      <c r="F57" s="93"/>
      <c r="G57" s="93"/>
      <c r="H57" s="93"/>
      <c r="I57" s="93"/>
      <c r="J57" s="86">
        <v>71.989999999999995</v>
      </c>
      <c r="K57" s="86">
        <v>1.03</v>
      </c>
      <c r="L57" s="88">
        <v>0</v>
      </c>
      <c r="M57" s="88">
        <v>0</v>
      </c>
      <c r="N57" s="88">
        <v>0</v>
      </c>
      <c r="O57" s="88">
        <v>0</v>
      </c>
      <c r="P57" s="88">
        <v>0</v>
      </c>
      <c r="Q57" s="88">
        <v>0</v>
      </c>
      <c r="R57" s="88">
        <v>0</v>
      </c>
      <c r="S57" s="76"/>
    </row>
    <row r="58" spans="4:19">
      <c r="D58" s="81" t="s">
        <v>114</v>
      </c>
      <c r="E58" s="81" t="s">
        <v>156</v>
      </c>
      <c r="F58" s="92"/>
      <c r="G58" s="92"/>
      <c r="H58" s="92"/>
      <c r="I58" s="92"/>
      <c r="J58" s="89">
        <v>71.790000000000006</v>
      </c>
      <c r="K58" s="89">
        <v>1.02</v>
      </c>
      <c r="L58" s="91">
        <v>0</v>
      </c>
      <c r="M58" s="91">
        <v>0</v>
      </c>
      <c r="N58" s="91">
        <v>0</v>
      </c>
      <c r="O58" s="91">
        <v>0</v>
      </c>
      <c r="P58" s="88">
        <v>0</v>
      </c>
      <c r="Q58" s="91">
        <v>0</v>
      </c>
      <c r="R58" s="91">
        <v>0</v>
      </c>
      <c r="S58" s="76"/>
    </row>
    <row r="59" spans="4:19">
      <c r="D59" s="80" t="s">
        <v>114</v>
      </c>
      <c r="E59" s="80" t="s">
        <v>157</v>
      </c>
      <c r="F59" s="93"/>
      <c r="G59" s="93"/>
      <c r="H59" s="93"/>
      <c r="I59" s="93"/>
      <c r="J59" s="86">
        <v>71.58</v>
      </c>
      <c r="K59" s="86">
        <v>1.01</v>
      </c>
      <c r="L59" s="88">
        <v>0</v>
      </c>
      <c r="M59" s="88">
        <v>0</v>
      </c>
      <c r="N59" s="88">
        <v>0</v>
      </c>
      <c r="O59" s="88">
        <v>0</v>
      </c>
      <c r="P59" s="88">
        <v>0</v>
      </c>
      <c r="Q59" s="88">
        <v>0</v>
      </c>
      <c r="R59" s="88">
        <v>0</v>
      </c>
      <c r="S59" s="76"/>
    </row>
    <row r="60" spans="4:19">
      <c r="D60" s="81" t="s">
        <v>114</v>
      </c>
      <c r="E60" s="81" t="s">
        <v>158</v>
      </c>
      <c r="F60" s="92"/>
      <c r="G60" s="92"/>
      <c r="H60" s="92"/>
      <c r="I60" s="92"/>
      <c r="J60" s="89">
        <v>71.37</v>
      </c>
      <c r="K60" s="89">
        <v>1</v>
      </c>
      <c r="L60" s="91">
        <v>0</v>
      </c>
      <c r="M60" s="91">
        <v>0</v>
      </c>
      <c r="N60" s="91">
        <v>0</v>
      </c>
      <c r="O60" s="91">
        <v>0</v>
      </c>
      <c r="P60" s="91">
        <v>0</v>
      </c>
      <c r="Q60" s="91">
        <v>0</v>
      </c>
      <c r="R60" s="91">
        <v>0</v>
      </c>
      <c r="S60" s="76"/>
    </row>
    <row r="61" spans="4:19">
      <c r="D61" s="80" t="s">
        <v>114</v>
      </c>
      <c r="E61" s="80" t="s">
        <v>159</v>
      </c>
      <c r="F61" s="93"/>
      <c r="G61" s="93"/>
      <c r="H61" s="93"/>
      <c r="I61" s="93"/>
      <c r="J61" s="86">
        <v>71.150000000000006</v>
      </c>
      <c r="K61" s="86">
        <v>0.98</v>
      </c>
      <c r="L61" s="88">
        <v>0</v>
      </c>
      <c r="M61" s="88">
        <v>0</v>
      </c>
      <c r="N61" s="88">
        <v>0</v>
      </c>
      <c r="O61" s="88">
        <v>0</v>
      </c>
      <c r="P61" s="88">
        <v>0</v>
      </c>
      <c r="Q61" s="88">
        <v>0</v>
      </c>
      <c r="R61" s="88">
        <v>0</v>
      </c>
      <c r="S61" s="76"/>
    </row>
    <row r="62" spans="4:19">
      <c r="D62" s="81" t="s">
        <v>114</v>
      </c>
      <c r="E62" s="81" t="s">
        <v>160</v>
      </c>
      <c r="F62" s="89">
        <v>70.2</v>
      </c>
      <c r="G62" s="89">
        <v>70.37</v>
      </c>
      <c r="H62" s="89">
        <v>70.2</v>
      </c>
      <c r="I62" s="89">
        <v>70.37</v>
      </c>
      <c r="J62" s="89">
        <v>70.930000000000007</v>
      </c>
      <c r="K62" s="89">
        <v>0.97</v>
      </c>
      <c r="L62" s="91">
        <v>88</v>
      </c>
      <c r="M62" s="90">
        <v>8914</v>
      </c>
      <c r="N62" s="91">
        <v>-16</v>
      </c>
      <c r="O62" s="91">
        <v>0</v>
      </c>
      <c r="P62" s="91">
        <v>0</v>
      </c>
      <c r="Q62" s="91">
        <v>0</v>
      </c>
      <c r="R62" s="91">
        <v>68</v>
      </c>
      <c r="S62" s="76"/>
    </row>
    <row r="63" spans="4:19">
      <c r="D63" s="80" t="s">
        <v>114</v>
      </c>
      <c r="E63" s="80" t="s">
        <v>161</v>
      </c>
      <c r="F63" s="93"/>
      <c r="G63" s="93"/>
      <c r="H63" s="93"/>
      <c r="I63" s="93"/>
      <c r="J63" s="86">
        <v>70.75</v>
      </c>
      <c r="K63" s="86">
        <v>0.97</v>
      </c>
      <c r="L63" s="88">
        <v>0</v>
      </c>
      <c r="M63" s="88">
        <v>0</v>
      </c>
      <c r="N63" s="88">
        <v>0</v>
      </c>
      <c r="O63" s="88">
        <v>0</v>
      </c>
      <c r="P63" s="88">
        <v>0</v>
      </c>
      <c r="Q63" s="88">
        <v>0</v>
      </c>
      <c r="R63" s="88">
        <v>0</v>
      </c>
      <c r="S63" s="76"/>
    </row>
    <row r="64" spans="4:19">
      <c r="D64" s="81" t="s">
        <v>114</v>
      </c>
      <c r="E64" s="81" t="s">
        <v>162</v>
      </c>
      <c r="F64" s="92"/>
      <c r="G64" s="92"/>
      <c r="H64" s="92"/>
      <c r="I64" s="92"/>
      <c r="J64" s="89">
        <v>70.59</v>
      </c>
      <c r="K64" s="89">
        <v>0.97</v>
      </c>
      <c r="L64" s="91">
        <v>0</v>
      </c>
      <c r="M64" s="91">
        <v>0</v>
      </c>
      <c r="N64" s="91">
        <v>0</v>
      </c>
      <c r="O64" s="91">
        <v>0</v>
      </c>
      <c r="P64" s="91">
        <v>0</v>
      </c>
      <c r="Q64" s="91">
        <v>0</v>
      </c>
      <c r="R64" s="91">
        <v>0</v>
      </c>
      <c r="S64" s="76"/>
    </row>
    <row r="65" spans="4:19">
      <c r="D65" s="80" t="s">
        <v>114</v>
      </c>
      <c r="E65" s="80" t="s">
        <v>163</v>
      </c>
      <c r="F65" s="93"/>
      <c r="G65" s="93"/>
      <c r="H65" s="93"/>
      <c r="I65" s="93"/>
      <c r="J65" s="86">
        <v>70.42</v>
      </c>
      <c r="K65" s="86">
        <v>0.97</v>
      </c>
      <c r="L65" s="88">
        <v>0</v>
      </c>
      <c r="M65" s="88">
        <v>0</v>
      </c>
      <c r="N65" s="88">
        <v>0</v>
      </c>
      <c r="O65" s="88">
        <v>0</v>
      </c>
      <c r="P65" s="88">
        <v>0</v>
      </c>
      <c r="Q65" s="88">
        <v>0</v>
      </c>
      <c r="R65" s="88">
        <v>0</v>
      </c>
      <c r="S65" s="76"/>
    </row>
    <row r="66" spans="4:19">
      <c r="D66" s="81" t="s">
        <v>114</v>
      </c>
      <c r="E66" s="81" t="s">
        <v>164</v>
      </c>
      <c r="F66" s="92"/>
      <c r="G66" s="92"/>
      <c r="H66" s="92"/>
      <c r="I66" s="92"/>
      <c r="J66" s="89">
        <v>70.25</v>
      </c>
      <c r="K66" s="89">
        <v>0.97</v>
      </c>
      <c r="L66" s="91">
        <v>0</v>
      </c>
      <c r="M66" s="91">
        <v>0</v>
      </c>
      <c r="N66" s="91">
        <v>0</v>
      </c>
      <c r="O66" s="91">
        <v>0</v>
      </c>
      <c r="P66" s="88">
        <v>0</v>
      </c>
      <c r="Q66" s="91">
        <v>0</v>
      </c>
      <c r="R66" s="91">
        <v>0</v>
      </c>
      <c r="S66" s="76"/>
    </row>
    <row r="67" spans="4:19">
      <c r="D67" s="80" t="s">
        <v>114</v>
      </c>
      <c r="E67" s="80" t="s">
        <v>165</v>
      </c>
      <c r="F67" s="93"/>
      <c r="G67" s="93"/>
      <c r="H67" s="93"/>
      <c r="I67" s="93"/>
      <c r="J67" s="86">
        <v>70.099999999999994</v>
      </c>
      <c r="K67" s="86">
        <v>0.98</v>
      </c>
      <c r="L67" s="88">
        <v>0</v>
      </c>
      <c r="M67" s="88">
        <v>0</v>
      </c>
      <c r="N67" s="88">
        <v>0</v>
      </c>
      <c r="O67" s="88">
        <v>0</v>
      </c>
      <c r="P67" s="88">
        <v>0</v>
      </c>
      <c r="Q67" s="88">
        <v>0</v>
      </c>
      <c r="R67" s="88">
        <v>0</v>
      </c>
      <c r="S67" s="76"/>
    </row>
    <row r="68" spans="4:19">
      <c r="D68" s="81" t="s">
        <v>114</v>
      </c>
      <c r="E68" s="81" t="s">
        <v>166</v>
      </c>
      <c r="F68" s="92"/>
      <c r="G68" s="92"/>
      <c r="H68" s="92"/>
      <c r="I68" s="92"/>
      <c r="J68" s="89">
        <v>69.94</v>
      </c>
      <c r="K68" s="89">
        <v>0.99</v>
      </c>
      <c r="L68" s="91">
        <v>0</v>
      </c>
      <c r="M68" s="91">
        <v>0</v>
      </c>
      <c r="N68" s="91">
        <v>0</v>
      </c>
      <c r="O68" s="91">
        <v>0</v>
      </c>
      <c r="P68" s="88">
        <v>0</v>
      </c>
      <c r="Q68" s="91">
        <v>0</v>
      </c>
      <c r="R68" s="91">
        <v>0</v>
      </c>
      <c r="S68" s="76"/>
    </row>
    <row r="69" spans="4:19">
      <c r="D69" s="80" t="s">
        <v>114</v>
      </c>
      <c r="E69" s="80" t="s">
        <v>167</v>
      </c>
      <c r="F69" s="93"/>
      <c r="G69" s="93"/>
      <c r="H69" s="93"/>
      <c r="I69" s="93"/>
      <c r="J69" s="86">
        <v>69.78</v>
      </c>
      <c r="K69" s="86">
        <v>0.99</v>
      </c>
      <c r="L69" s="88">
        <v>0</v>
      </c>
      <c r="M69" s="88">
        <v>0</v>
      </c>
      <c r="N69" s="88">
        <v>0</v>
      </c>
      <c r="O69" s="88">
        <v>0</v>
      </c>
      <c r="P69" s="88">
        <v>0</v>
      </c>
      <c r="Q69" s="88">
        <v>0</v>
      </c>
      <c r="R69" s="88">
        <v>0</v>
      </c>
      <c r="S69" s="76"/>
    </row>
    <row r="70" spans="4:19">
      <c r="D70" s="82" t="s">
        <v>114</v>
      </c>
      <c r="E70" s="82" t="s">
        <v>168</v>
      </c>
      <c r="F70" s="94"/>
      <c r="G70" s="94"/>
      <c r="H70" s="94"/>
      <c r="I70" s="94"/>
      <c r="J70" s="95">
        <v>69.61</v>
      </c>
      <c r="K70" s="95">
        <v>0.99</v>
      </c>
      <c r="L70" s="96">
        <v>0</v>
      </c>
      <c r="M70" s="96">
        <v>0</v>
      </c>
      <c r="N70" s="96">
        <v>0</v>
      </c>
      <c r="O70" s="96">
        <v>0</v>
      </c>
      <c r="P70" s="88">
        <v>0</v>
      </c>
      <c r="Q70" s="96">
        <v>0</v>
      </c>
      <c r="R70" s="96">
        <v>0</v>
      </c>
      <c r="S70" s="76"/>
    </row>
    <row r="71" spans="4:19">
      <c r="D71" s="80" t="s">
        <v>114</v>
      </c>
      <c r="E71" s="80" t="s">
        <v>169</v>
      </c>
      <c r="F71" s="93"/>
      <c r="G71" s="93"/>
      <c r="H71" s="93"/>
      <c r="I71" s="93"/>
      <c r="J71" s="86">
        <v>69.45</v>
      </c>
      <c r="K71" s="86">
        <v>0.99</v>
      </c>
      <c r="L71" s="88">
        <v>0</v>
      </c>
      <c r="M71" s="88">
        <v>0</v>
      </c>
      <c r="N71" s="88">
        <v>0</v>
      </c>
      <c r="O71" s="88">
        <v>0</v>
      </c>
      <c r="P71" s="88">
        <v>0</v>
      </c>
      <c r="Q71" s="88">
        <v>0</v>
      </c>
      <c r="R71" s="88">
        <v>0</v>
      </c>
      <c r="S71" s="76"/>
    </row>
    <row r="72" spans="4:19">
      <c r="D72" s="81" t="s">
        <v>114</v>
      </c>
      <c r="E72" s="81" t="s">
        <v>170</v>
      </c>
      <c r="F72" s="92"/>
      <c r="G72" s="92"/>
      <c r="H72" s="92"/>
      <c r="I72" s="92"/>
      <c r="J72" s="89">
        <v>69.3</v>
      </c>
      <c r="K72" s="89">
        <v>1</v>
      </c>
      <c r="L72" s="91">
        <v>0</v>
      </c>
      <c r="M72" s="91">
        <v>0</v>
      </c>
      <c r="N72" s="91">
        <v>0</v>
      </c>
      <c r="O72" s="91">
        <v>0</v>
      </c>
      <c r="P72" s="88">
        <v>0</v>
      </c>
      <c r="Q72" s="91">
        <v>0</v>
      </c>
      <c r="R72" s="91">
        <v>0</v>
      </c>
      <c r="S72" s="76"/>
    </row>
    <row r="73" spans="4:19">
      <c r="D73" s="80" t="s">
        <v>114</v>
      </c>
      <c r="E73" s="80" t="s">
        <v>171</v>
      </c>
      <c r="F73" s="93"/>
      <c r="G73" s="93"/>
      <c r="H73" s="93"/>
      <c r="I73" s="93"/>
      <c r="J73" s="86">
        <v>69.150000000000006</v>
      </c>
      <c r="K73" s="86">
        <v>1</v>
      </c>
      <c r="L73" s="88">
        <v>0</v>
      </c>
      <c r="M73" s="88">
        <v>0</v>
      </c>
      <c r="N73" s="88">
        <v>0</v>
      </c>
      <c r="O73" s="88">
        <v>0</v>
      </c>
      <c r="P73" s="88">
        <v>0</v>
      </c>
      <c r="Q73" s="88">
        <v>0</v>
      </c>
      <c r="R73" s="88">
        <v>0</v>
      </c>
      <c r="S73" s="76"/>
    </row>
    <row r="74" spans="4:19">
      <c r="D74" s="81" t="s">
        <v>114</v>
      </c>
      <c r="E74" s="81" t="s">
        <v>172</v>
      </c>
      <c r="F74" s="89">
        <v>68.349999999999994</v>
      </c>
      <c r="G74" s="89">
        <v>68.45</v>
      </c>
      <c r="H74" s="89">
        <v>68.349999999999994</v>
      </c>
      <c r="I74" s="89">
        <v>68.45</v>
      </c>
      <c r="J74" s="89">
        <v>68.989999999999995</v>
      </c>
      <c r="K74" s="89">
        <v>1</v>
      </c>
      <c r="L74" s="91">
        <v>11</v>
      </c>
      <c r="M74" s="90">
        <v>1669</v>
      </c>
      <c r="N74" s="91">
        <v>5</v>
      </c>
      <c r="O74" s="91">
        <v>0</v>
      </c>
      <c r="P74" s="91">
        <v>0</v>
      </c>
      <c r="Q74" s="91">
        <v>0</v>
      </c>
      <c r="R74" s="91">
        <v>11</v>
      </c>
      <c r="S74" s="76"/>
    </row>
    <row r="75" spans="4:19">
      <c r="D75" s="80" t="s">
        <v>114</v>
      </c>
      <c r="E75" s="80" t="s">
        <v>173</v>
      </c>
      <c r="F75" s="93"/>
      <c r="G75" s="93"/>
      <c r="H75" s="93"/>
      <c r="I75" s="93"/>
      <c r="J75" s="86">
        <v>68.89</v>
      </c>
      <c r="K75" s="86">
        <v>1</v>
      </c>
      <c r="L75" s="88">
        <v>0</v>
      </c>
      <c r="M75" s="88">
        <v>0</v>
      </c>
      <c r="N75" s="88">
        <v>0</v>
      </c>
      <c r="O75" s="88">
        <v>0</v>
      </c>
      <c r="P75" s="88">
        <v>0</v>
      </c>
      <c r="Q75" s="88">
        <v>0</v>
      </c>
      <c r="R75" s="88">
        <v>0</v>
      </c>
      <c r="S75" s="76"/>
    </row>
    <row r="76" spans="4:19">
      <c r="D76" s="81" t="s">
        <v>114</v>
      </c>
      <c r="E76" s="81" t="s">
        <v>174</v>
      </c>
      <c r="F76" s="92"/>
      <c r="G76" s="92"/>
      <c r="H76" s="92"/>
      <c r="I76" s="92"/>
      <c r="J76" s="89">
        <v>68.790000000000006</v>
      </c>
      <c r="K76" s="89">
        <v>1</v>
      </c>
      <c r="L76" s="91">
        <v>0</v>
      </c>
      <c r="M76" s="91">
        <v>0</v>
      </c>
      <c r="N76" s="91">
        <v>0</v>
      </c>
      <c r="O76" s="91">
        <v>0</v>
      </c>
      <c r="P76" s="91">
        <v>0</v>
      </c>
      <c r="Q76" s="91">
        <v>0</v>
      </c>
      <c r="R76" s="91">
        <v>0</v>
      </c>
      <c r="S76" s="76"/>
    </row>
    <row r="77" spans="4:19">
      <c r="D77" s="80" t="s">
        <v>114</v>
      </c>
      <c r="E77" s="80" t="s">
        <v>175</v>
      </c>
      <c r="F77" s="93"/>
      <c r="G77" s="93"/>
      <c r="H77" s="93"/>
      <c r="I77" s="93"/>
      <c r="J77" s="86">
        <v>68.69</v>
      </c>
      <c r="K77" s="86">
        <v>1</v>
      </c>
      <c r="L77" s="88">
        <v>0</v>
      </c>
      <c r="M77" s="88">
        <v>0</v>
      </c>
      <c r="N77" s="88">
        <v>0</v>
      </c>
      <c r="O77" s="88">
        <v>0</v>
      </c>
      <c r="P77" s="88">
        <v>0</v>
      </c>
      <c r="Q77" s="88">
        <v>0</v>
      </c>
      <c r="R77" s="88">
        <v>0</v>
      </c>
      <c r="S77" s="76"/>
    </row>
    <row r="78" spans="4:19">
      <c r="D78" s="81" t="s">
        <v>114</v>
      </c>
      <c r="E78" s="81" t="s">
        <v>176</v>
      </c>
      <c r="F78" s="92"/>
      <c r="G78" s="92"/>
      <c r="H78" s="92"/>
      <c r="I78" s="92"/>
      <c r="J78" s="89">
        <v>68.59</v>
      </c>
      <c r="K78" s="89">
        <v>1</v>
      </c>
      <c r="L78" s="91">
        <v>0</v>
      </c>
      <c r="M78" s="91">
        <v>0</v>
      </c>
      <c r="N78" s="91">
        <v>0</v>
      </c>
      <c r="O78" s="91">
        <v>0</v>
      </c>
      <c r="P78" s="91">
        <v>0</v>
      </c>
      <c r="Q78" s="91">
        <v>0</v>
      </c>
      <c r="R78" s="91">
        <v>0</v>
      </c>
      <c r="S78" s="76"/>
    </row>
    <row r="79" spans="4:19">
      <c r="D79" s="80" t="s">
        <v>114</v>
      </c>
      <c r="E79" s="80" t="s">
        <v>177</v>
      </c>
      <c r="F79" s="93"/>
      <c r="G79" s="93"/>
      <c r="H79" s="93"/>
      <c r="I79" s="93"/>
      <c r="J79" s="86">
        <v>68.489999999999995</v>
      </c>
      <c r="K79" s="86">
        <v>1</v>
      </c>
      <c r="L79" s="88">
        <v>0</v>
      </c>
      <c r="M79" s="88">
        <v>0</v>
      </c>
      <c r="N79" s="88">
        <v>0</v>
      </c>
      <c r="O79" s="88">
        <v>0</v>
      </c>
      <c r="P79" s="88">
        <v>0</v>
      </c>
      <c r="Q79" s="88">
        <v>0</v>
      </c>
      <c r="R79" s="88">
        <v>0</v>
      </c>
      <c r="S79" s="76"/>
    </row>
    <row r="80" spans="4:19">
      <c r="D80" s="81" t="s">
        <v>114</v>
      </c>
      <c r="E80" s="81" t="s">
        <v>178</v>
      </c>
      <c r="F80" s="92"/>
      <c r="G80" s="92"/>
      <c r="H80" s="92"/>
      <c r="I80" s="92"/>
      <c r="J80" s="89">
        <v>68.39</v>
      </c>
      <c r="K80" s="89">
        <v>1</v>
      </c>
      <c r="L80" s="91">
        <v>0</v>
      </c>
      <c r="M80" s="91">
        <v>1</v>
      </c>
      <c r="N80" s="91">
        <v>0</v>
      </c>
      <c r="O80" s="91">
        <v>0</v>
      </c>
      <c r="P80" s="91">
        <v>0</v>
      </c>
      <c r="Q80" s="91">
        <v>0</v>
      </c>
      <c r="R80" s="91">
        <v>0</v>
      </c>
      <c r="S80" s="76"/>
    </row>
    <row r="81" spans="4:19">
      <c r="D81" s="80" t="s">
        <v>114</v>
      </c>
      <c r="E81" s="80" t="s">
        <v>179</v>
      </c>
      <c r="F81" s="93"/>
      <c r="G81" s="93"/>
      <c r="H81" s="93"/>
      <c r="I81" s="93"/>
      <c r="J81" s="86">
        <v>68.290000000000006</v>
      </c>
      <c r="K81" s="86">
        <v>1</v>
      </c>
      <c r="L81" s="88">
        <v>0</v>
      </c>
      <c r="M81" s="88">
        <v>0</v>
      </c>
      <c r="N81" s="88">
        <v>0</v>
      </c>
      <c r="O81" s="88">
        <v>0</v>
      </c>
      <c r="P81" s="88">
        <v>0</v>
      </c>
      <c r="Q81" s="88">
        <v>0</v>
      </c>
      <c r="R81" s="88">
        <v>0</v>
      </c>
      <c r="S81" s="76"/>
    </row>
    <row r="82" spans="4:19">
      <c r="D82" s="81" t="s">
        <v>114</v>
      </c>
      <c r="E82" s="81" t="s">
        <v>180</v>
      </c>
      <c r="F82" s="92"/>
      <c r="G82" s="92"/>
      <c r="H82" s="92"/>
      <c r="I82" s="92"/>
      <c r="J82" s="89">
        <v>68.180000000000007</v>
      </c>
      <c r="K82" s="89">
        <v>1</v>
      </c>
      <c r="L82" s="91">
        <v>0</v>
      </c>
      <c r="M82" s="91">
        <v>0</v>
      </c>
      <c r="N82" s="91">
        <v>0</v>
      </c>
      <c r="O82" s="91">
        <v>0</v>
      </c>
      <c r="P82" s="91">
        <v>0</v>
      </c>
      <c r="Q82" s="91">
        <v>0</v>
      </c>
      <c r="R82" s="91">
        <v>0</v>
      </c>
      <c r="S82" s="76"/>
    </row>
    <row r="83" spans="4:19">
      <c r="D83" s="80" t="s">
        <v>114</v>
      </c>
      <c r="E83" s="80" t="s">
        <v>181</v>
      </c>
      <c r="F83" s="93"/>
      <c r="G83" s="93"/>
      <c r="H83" s="93"/>
      <c r="I83" s="93"/>
      <c r="J83" s="86">
        <v>68.069999999999993</v>
      </c>
      <c r="K83" s="86">
        <v>1</v>
      </c>
      <c r="L83" s="88">
        <v>0</v>
      </c>
      <c r="M83" s="88">
        <v>0</v>
      </c>
      <c r="N83" s="88">
        <v>0</v>
      </c>
      <c r="O83" s="88">
        <v>0</v>
      </c>
      <c r="P83" s="88">
        <v>0</v>
      </c>
      <c r="Q83" s="88">
        <v>0</v>
      </c>
      <c r="R83" s="88">
        <v>0</v>
      </c>
      <c r="S83" s="76"/>
    </row>
    <row r="84" spans="4:19">
      <c r="D84" s="81" t="s">
        <v>114</v>
      </c>
      <c r="E84" s="81" t="s">
        <v>182</v>
      </c>
      <c r="F84" s="92"/>
      <c r="G84" s="92"/>
      <c r="H84" s="92"/>
      <c r="I84" s="92"/>
      <c r="J84" s="89">
        <v>67.95</v>
      </c>
      <c r="K84" s="89">
        <v>1</v>
      </c>
      <c r="L84" s="91">
        <v>0</v>
      </c>
      <c r="M84" s="91">
        <v>0</v>
      </c>
      <c r="N84" s="91">
        <v>0</v>
      </c>
      <c r="O84" s="91">
        <v>0</v>
      </c>
      <c r="P84" s="91">
        <v>0</v>
      </c>
      <c r="Q84" s="91">
        <v>0</v>
      </c>
      <c r="R84" s="91">
        <v>0</v>
      </c>
      <c r="S84" s="76"/>
    </row>
    <row r="85" spans="4:19">
      <c r="D85" s="80" t="s">
        <v>114</v>
      </c>
      <c r="E85" s="80" t="s">
        <v>183</v>
      </c>
      <c r="F85" s="93"/>
      <c r="G85" s="93"/>
      <c r="H85" s="93"/>
      <c r="I85" s="93"/>
      <c r="J85" s="86">
        <v>67.83</v>
      </c>
      <c r="K85" s="86">
        <v>1</v>
      </c>
      <c r="L85" s="88">
        <v>0</v>
      </c>
      <c r="M85" s="88">
        <v>0</v>
      </c>
      <c r="N85" s="88">
        <v>0</v>
      </c>
      <c r="O85" s="88">
        <v>0</v>
      </c>
      <c r="P85" s="88">
        <v>0</v>
      </c>
      <c r="Q85" s="88">
        <v>0</v>
      </c>
      <c r="R85" s="88">
        <v>0</v>
      </c>
      <c r="S85" s="76"/>
    </row>
    <row r="86" spans="4:19">
      <c r="D86" s="81" t="s">
        <v>114</v>
      </c>
      <c r="E86" s="81" t="s">
        <v>184</v>
      </c>
      <c r="F86" s="92"/>
      <c r="G86" s="92"/>
      <c r="H86" s="92"/>
      <c r="I86" s="92"/>
      <c r="J86" s="89">
        <v>67.709999999999994</v>
      </c>
      <c r="K86" s="89">
        <v>1</v>
      </c>
      <c r="L86" s="91">
        <v>0</v>
      </c>
      <c r="M86" s="91">
        <v>125</v>
      </c>
      <c r="N86" s="91">
        <v>0</v>
      </c>
      <c r="O86" s="91">
        <v>0</v>
      </c>
      <c r="P86" s="91">
        <v>0</v>
      </c>
      <c r="Q86" s="91">
        <v>0</v>
      </c>
      <c r="R86" s="91">
        <v>0</v>
      </c>
      <c r="S86" s="76"/>
    </row>
    <row r="87" spans="4:19">
      <c r="D87" s="80" t="s">
        <v>114</v>
      </c>
      <c r="E87" s="80" t="s">
        <v>185</v>
      </c>
      <c r="F87" s="93"/>
      <c r="G87" s="93"/>
      <c r="H87" s="93"/>
      <c r="I87" s="93"/>
      <c r="J87" s="86">
        <v>67.599999999999994</v>
      </c>
      <c r="K87" s="86">
        <v>1</v>
      </c>
      <c r="L87" s="88">
        <v>0</v>
      </c>
      <c r="M87" s="88">
        <v>0</v>
      </c>
      <c r="N87" s="88">
        <v>0</v>
      </c>
      <c r="O87" s="88">
        <v>0</v>
      </c>
      <c r="P87" s="88">
        <v>0</v>
      </c>
      <c r="Q87" s="88">
        <v>0</v>
      </c>
      <c r="R87" s="88">
        <v>0</v>
      </c>
      <c r="S87" s="76"/>
    </row>
    <row r="88" spans="4:19">
      <c r="D88" s="81" t="s">
        <v>114</v>
      </c>
      <c r="E88" s="81" t="s">
        <v>186</v>
      </c>
      <c r="F88" s="92"/>
      <c r="G88" s="92"/>
      <c r="H88" s="92"/>
      <c r="I88" s="92"/>
      <c r="J88" s="89">
        <v>67.52</v>
      </c>
      <c r="K88" s="89">
        <v>1</v>
      </c>
      <c r="L88" s="91">
        <v>0</v>
      </c>
      <c r="M88" s="91">
        <v>0</v>
      </c>
      <c r="N88" s="91">
        <v>0</v>
      </c>
      <c r="O88" s="91">
        <v>0</v>
      </c>
      <c r="P88" s="91">
        <v>0</v>
      </c>
      <c r="Q88" s="91">
        <v>0</v>
      </c>
      <c r="R88" s="91">
        <v>0</v>
      </c>
      <c r="S88" s="76"/>
    </row>
    <row r="89" spans="4:19">
      <c r="D89" s="80" t="s">
        <v>114</v>
      </c>
      <c r="E89" s="80" t="s">
        <v>187</v>
      </c>
      <c r="F89" s="93"/>
      <c r="G89" s="93"/>
      <c r="H89" s="93"/>
      <c r="I89" s="93"/>
      <c r="J89" s="86">
        <v>67.45</v>
      </c>
      <c r="K89" s="86">
        <v>1</v>
      </c>
      <c r="L89" s="88">
        <v>0</v>
      </c>
      <c r="M89" s="88">
        <v>0</v>
      </c>
      <c r="N89" s="88">
        <v>0</v>
      </c>
      <c r="O89" s="88">
        <v>0</v>
      </c>
      <c r="P89" s="88">
        <v>0</v>
      </c>
      <c r="Q89" s="88">
        <v>0</v>
      </c>
      <c r="R89" s="88">
        <v>0</v>
      </c>
      <c r="S89" s="76"/>
    </row>
    <row r="90" spans="4:19">
      <c r="D90" s="81" t="s">
        <v>114</v>
      </c>
      <c r="E90" s="81" t="s">
        <v>894</v>
      </c>
      <c r="F90" s="92"/>
      <c r="G90" s="92"/>
      <c r="H90" s="92"/>
      <c r="I90" s="92"/>
      <c r="J90" s="89">
        <v>67.42</v>
      </c>
      <c r="K90" s="89">
        <v>1</v>
      </c>
      <c r="L90" s="91">
        <v>0</v>
      </c>
      <c r="M90" s="91">
        <v>0</v>
      </c>
      <c r="N90" s="91">
        <v>0</v>
      </c>
      <c r="O90" s="91">
        <v>0</v>
      </c>
      <c r="P90" s="91">
        <v>0</v>
      </c>
      <c r="Q90" s="91">
        <v>0</v>
      </c>
      <c r="R90" s="91">
        <v>0</v>
      </c>
      <c r="S90" s="76"/>
    </row>
    <row r="91" spans="4:19">
      <c r="D91" s="80" t="s">
        <v>114</v>
      </c>
      <c r="E91" s="80" t="s">
        <v>895</v>
      </c>
      <c r="F91" s="93"/>
      <c r="G91" s="93"/>
      <c r="H91" s="93"/>
      <c r="I91" s="93"/>
      <c r="J91" s="86">
        <v>67.39</v>
      </c>
      <c r="K91" s="86">
        <v>1</v>
      </c>
      <c r="L91" s="88">
        <v>0</v>
      </c>
      <c r="M91" s="88">
        <v>0</v>
      </c>
      <c r="N91" s="88">
        <v>0</v>
      </c>
      <c r="O91" s="88">
        <v>0</v>
      </c>
      <c r="P91" s="88">
        <v>0</v>
      </c>
      <c r="Q91" s="88">
        <v>0</v>
      </c>
      <c r="R91" s="88">
        <v>0</v>
      </c>
      <c r="S91" s="76"/>
    </row>
    <row r="92" spans="4:19">
      <c r="D92" s="81" t="s">
        <v>114</v>
      </c>
      <c r="E92" s="81" t="s">
        <v>896</v>
      </c>
      <c r="F92" s="92"/>
      <c r="G92" s="92"/>
      <c r="H92" s="92"/>
      <c r="I92" s="92"/>
      <c r="J92" s="89">
        <v>67.36</v>
      </c>
      <c r="K92" s="89">
        <v>1</v>
      </c>
      <c r="L92" s="91">
        <v>0</v>
      </c>
      <c r="M92" s="91">
        <v>0</v>
      </c>
      <c r="N92" s="91">
        <v>0</v>
      </c>
      <c r="O92" s="91">
        <v>0</v>
      </c>
      <c r="P92" s="91">
        <v>0</v>
      </c>
      <c r="Q92" s="91">
        <v>0</v>
      </c>
      <c r="R92" s="91">
        <v>0</v>
      </c>
      <c r="S92" s="76"/>
    </row>
    <row r="93" spans="4:19">
      <c r="D93" s="80" t="s">
        <v>114</v>
      </c>
      <c r="E93" s="80" t="s">
        <v>897</v>
      </c>
      <c r="F93" s="93"/>
      <c r="G93" s="93"/>
      <c r="H93" s="93"/>
      <c r="I93" s="93"/>
      <c r="J93" s="86">
        <v>67.33</v>
      </c>
      <c r="K93" s="86">
        <v>1</v>
      </c>
      <c r="L93" s="88">
        <v>0</v>
      </c>
      <c r="M93" s="88">
        <v>0</v>
      </c>
      <c r="N93" s="88">
        <v>0</v>
      </c>
      <c r="O93" s="88">
        <v>0</v>
      </c>
      <c r="P93" s="88">
        <v>0</v>
      </c>
      <c r="Q93" s="88">
        <v>0</v>
      </c>
      <c r="R93" s="88">
        <v>0</v>
      </c>
      <c r="S93" s="76"/>
    </row>
    <row r="94" spans="4:19">
      <c r="D94" s="81" t="s">
        <v>114</v>
      </c>
      <c r="E94" s="81" t="s">
        <v>898</v>
      </c>
      <c r="F94" s="92"/>
      <c r="G94" s="92"/>
      <c r="H94" s="92"/>
      <c r="I94" s="92"/>
      <c r="J94" s="89">
        <v>67.3</v>
      </c>
      <c r="K94" s="89">
        <v>1</v>
      </c>
      <c r="L94" s="91">
        <v>0</v>
      </c>
      <c r="M94" s="91">
        <v>0</v>
      </c>
      <c r="N94" s="91">
        <v>0</v>
      </c>
      <c r="O94" s="91">
        <v>0</v>
      </c>
      <c r="P94" s="91">
        <v>0</v>
      </c>
      <c r="Q94" s="91">
        <v>0</v>
      </c>
      <c r="R94" s="91">
        <v>0</v>
      </c>
      <c r="S94" s="76"/>
    </row>
    <row r="95" spans="4:19">
      <c r="D95" s="80" t="s">
        <v>114</v>
      </c>
      <c r="E95" s="80" t="s">
        <v>899</v>
      </c>
      <c r="F95" s="93"/>
      <c r="G95" s="93"/>
      <c r="H95" s="93"/>
      <c r="I95" s="93"/>
      <c r="J95" s="86">
        <v>67.27</v>
      </c>
      <c r="K95" s="86">
        <v>1</v>
      </c>
      <c r="L95" s="88">
        <v>0</v>
      </c>
      <c r="M95" s="88">
        <v>0</v>
      </c>
      <c r="N95" s="88">
        <v>0</v>
      </c>
      <c r="O95" s="88">
        <v>0</v>
      </c>
      <c r="P95" s="88">
        <v>0</v>
      </c>
      <c r="Q95" s="88">
        <v>0</v>
      </c>
      <c r="R95" s="88">
        <v>0</v>
      </c>
      <c r="S95" s="76"/>
    </row>
    <row r="96" spans="4:19">
      <c r="D96" s="81" t="s">
        <v>114</v>
      </c>
      <c r="E96" s="81" t="s">
        <v>900</v>
      </c>
      <c r="F96" s="92"/>
      <c r="G96" s="92"/>
      <c r="H96" s="92"/>
      <c r="I96" s="92"/>
      <c r="J96" s="89">
        <v>67.239999999999995</v>
      </c>
      <c r="K96" s="89">
        <v>1</v>
      </c>
      <c r="L96" s="91">
        <v>0</v>
      </c>
      <c r="M96" s="91">
        <v>0</v>
      </c>
      <c r="N96" s="91">
        <v>0</v>
      </c>
      <c r="O96" s="91">
        <v>0</v>
      </c>
      <c r="P96" s="91">
        <v>0</v>
      </c>
      <c r="Q96" s="91">
        <v>0</v>
      </c>
      <c r="R96" s="91">
        <v>0</v>
      </c>
      <c r="S96" s="76"/>
    </row>
    <row r="97" spans="2:19">
      <c r="D97" s="80" t="s">
        <v>114</v>
      </c>
      <c r="E97" s="80" t="s">
        <v>901</v>
      </c>
      <c r="F97" s="93"/>
      <c r="G97" s="93"/>
      <c r="H97" s="93"/>
      <c r="I97" s="93"/>
      <c r="J97" s="86">
        <v>67.209999999999994</v>
      </c>
      <c r="K97" s="86">
        <v>1</v>
      </c>
      <c r="L97" s="88">
        <v>0</v>
      </c>
      <c r="M97" s="88">
        <v>0</v>
      </c>
      <c r="N97" s="88">
        <v>0</v>
      </c>
      <c r="O97" s="88">
        <v>0</v>
      </c>
      <c r="P97" s="88">
        <v>0</v>
      </c>
      <c r="Q97" s="88">
        <v>0</v>
      </c>
      <c r="R97" s="88">
        <v>0</v>
      </c>
      <c r="S97" s="76"/>
    </row>
    <row r="98" spans="2:19">
      <c r="D98" s="82" t="s">
        <v>114</v>
      </c>
      <c r="E98" s="82" t="s">
        <v>902</v>
      </c>
      <c r="F98" s="94"/>
      <c r="G98" s="94"/>
      <c r="H98" s="94"/>
      <c r="I98" s="94"/>
      <c r="J98" s="95">
        <v>67.180000000000007</v>
      </c>
      <c r="K98" s="95">
        <v>1</v>
      </c>
      <c r="L98" s="96">
        <v>0</v>
      </c>
      <c r="M98" s="96">
        <v>0</v>
      </c>
      <c r="N98" s="96">
        <v>0</v>
      </c>
      <c r="O98" s="96">
        <v>0</v>
      </c>
      <c r="P98" s="96">
        <v>0</v>
      </c>
      <c r="Q98" s="96">
        <v>0</v>
      </c>
      <c r="R98" s="96">
        <v>0</v>
      </c>
      <c r="S98" s="76"/>
    </row>
    <row r="99" spans="2:19">
      <c r="D99" s="80" t="s">
        <v>114</v>
      </c>
      <c r="E99" s="80" t="s">
        <v>903</v>
      </c>
      <c r="F99" s="93"/>
      <c r="G99" s="93"/>
      <c r="H99" s="93"/>
      <c r="I99" s="93"/>
      <c r="J99" s="86">
        <v>67.16</v>
      </c>
      <c r="K99" s="86">
        <v>1</v>
      </c>
      <c r="L99" s="88">
        <v>0</v>
      </c>
      <c r="M99" s="88">
        <v>0</v>
      </c>
      <c r="N99" s="88">
        <v>0</v>
      </c>
      <c r="O99" s="88">
        <v>0</v>
      </c>
      <c r="P99" s="88">
        <v>0</v>
      </c>
      <c r="Q99" s="88">
        <v>0</v>
      </c>
      <c r="R99" s="88">
        <v>0</v>
      </c>
      <c r="S99" s="76"/>
    </row>
    <row r="100" spans="2:19">
      <c r="D100" s="81" t="s">
        <v>114</v>
      </c>
      <c r="E100" s="81" t="s">
        <v>904</v>
      </c>
      <c r="F100" s="92"/>
      <c r="G100" s="92"/>
      <c r="H100" s="92"/>
      <c r="I100" s="92"/>
      <c r="J100" s="89">
        <v>67.14</v>
      </c>
      <c r="K100" s="89">
        <v>1</v>
      </c>
      <c r="L100" s="91">
        <v>0</v>
      </c>
      <c r="M100" s="91">
        <v>0</v>
      </c>
      <c r="N100" s="91">
        <v>0</v>
      </c>
      <c r="O100" s="91">
        <v>0</v>
      </c>
      <c r="P100" s="91">
        <v>0</v>
      </c>
      <c r="Q100" s="91">
        <v>0</v>
      </c>
      <c r="R100" s="91">
        <v>0</v>
      </c>
      <c r="S100" s="76"/>
    </row>
    <row r="101" spans="2:19">
      <c r="D101" s="83" t="s">
        <v>114</v>
      </c>
      <c r="E101" s="83" t="s">
        <v>905</v>
      </c>
      <c r="F101" s="97"/>
      <c r="G101" s="97"/>
      <c r="H101" s="97"/>
      <c r="I101" s="97"/>
      <c r="J101" s="98">
        <v>67.12</v>
      </c>
      <c r="K101" s="98">
        <v>1</v>
      </c>
      <c r="L101" s="99">
        <v>0</v>
      </c>
      <c r="M101" s="99">
        <v>0</v>
      </c>
      <c r="N101" s="99">
        <v>0</v>
      </c>
      <c r="O101" s="99">
        <v>0</v>
      </c>
      <c r="P101" s="99">
        <v>0</v>
      </c>
      <c r="Q101" s="99">
        <v>0</v>
      </c>
      <c r="R101" s="99">
        <v>0</v>
      </c>
      <c r="S101" s="76"/>
    </row>
    <row r="102" spans="2:19">
      <c r="D102" s="372" t="s">
        <v>188</v>
      </c>
      <c r="E102" s="373"/>
      <c r="F102" s="373"/>
      <c r="G102" s="373"/>
      <c r="H102" s="373"/>
      <c r="I102" s="373"/>
      <c r="J102" s="373"/>
      <c r="K102" s="374"/>
      <c r="L102" s="84">
        <v>473376</v>
      </c>
      <c r="M102" s="84">
        <v>1854666</v>
      </c>
      <c r="N102" s="84">
        <v>5791</v>
      </c>
      <c r="O102" s="85">
        <v>0</v>
      </c>
      <c r="P102" s="85">
        <v>0</v>
      </c>
      <c r="Q102" s="84">
        <v>12224</v>
      </c>
      <c r="R102" s="84">
        <v>282993</v>
      </c>
      <c r="S102" s="76"/>
    </row>
    <row r="103" spans="2:19" ht="51.75" customHeight="1">
      <c r="D103" s="375" t="s">
        <v>189</v>
      </c>
      <c r="E103" s="375"/>
      <c r="F103" s="375"/>
      <c r="G103" s="375"/>
      <c r="H103" s="375"/>
      <c r="I103" s="375"/>
      <c r="J103" s="375"/>
      <c r="K103" s="375"/>
      <c r="L103" s="375"/>
      <c r="M103" s="375"/>
      <c r="N103" s="375"/>
      <c r="O103" s="375"/>
      <c r="P103" s="375"/>
      <c r="Q103" s="375"/>
      <c r="R103" s="375"/>
      <c r="S103" s="375"/>
    </row>
    <row r="104" spans="2:19">
      <c r="D104" s="376" t="s">
        <v>190</v>
      </c>
      <c r="E104" s="376"/>
      <c r="F104" s="376"/>
      <c r="G104" s="376"/>
      <c r="H104" s="376"/>
      <c r="I104" s="376"/>
      <c r="J104" s="376"/>
      <c r="K104" s="376"/>
      <c r="L104" s="376"/>
      <c r="M104" s="376"/>
      <c r="N104" s="376"/>
      <c r="O104" s="376"/>
      <c r="P104" s="376"/>
      <c r="Q104" s="376"/>
      <c r="R104" s="376"/>
      <c r="S104" s="376"/>
    </row>
    <row r="105" spans="2:19">
      <c r="D105" s="3"/>
      <c r="E105" s="3"/>
      <c r="F105" s="3"/>
      <c r="G105" s="3"/>
      <c r="H105" s="3"/>
      <c r="I105" s="3"/>
      <c r="J105" s="3"/>
      <c r="K105" s="3"/>
      <c r="L105" s="3"/>
      <c r="M105" s="3"/>
      <c r="N105" s="3"/>
      <c r="O105" s="3"/>
      <c r="P105" s="3"/>
      <c r="Q105" s="3"/>
      <c r="R105" s="3"/>
      <c r="S105" s="3"/>
    </row>
    <row r="106" spans="2:19">
      <c r="D106" s="3"/>
      <c r="E106" s="3"/>
      <c r="F106" s="3"/>
      <c r="G106" s="3"/>
      <c r="H106" s="3"/>
      <c r="I106" s="3"/>
      <c r="J106" s="3"/>
      <c r="K106" s="3"/>
      <c r="L106" s="3"/>
      <c r="M106" s="3"/>
      <c r="N106" s="3"/>
      <c r="O106" s="3"/>
      <c r="P106" s="3"/>
      <c r="Q106" s="3"/>
      <c r="R106" s="3"/>
      <c r="S106" s="3"/>
    </row>
    <row r="108" spans="2:19" ht="15.75" thickBot="1"/>
    <row r="109" spans="2:19" ht="15" customHeight="1">
      <c r="B109" s="357" t="s">
        <v>750</v>
      </c>
      <c r="D109" s="3" t="s">
        <v>197</v>
      </c>
      <c r="E109" s="3"/>
      <c r="F109" s="3"/>
      <c r="G109" s="3"/>
      <c r="H109" s="3"/>
    </row>
    <row r="110" spans="2:19" ht="15" customHeight="1">
      <c r="B110" s="358"/>
      <c r="D110" s="3" t="s">
        <v>751</v>
      </c>
      <c r="E110" s="3"/>
      <c r="F110" s="3"/>
      <c r="G110" s="3"/>
      <c r="H110" s="3"/>
    </row>
    <row r="111" spans="2:19" ht="21" customHeight="1" thickBot="1">
      <c r="B111" s="359"/>
      <c r="D111" s="101" t="s">
        <v>196</v>
      </c>
      <c r="E111" s="3"/>
      <c r="F111" s="3"/>
      <c r="G111" s="3"/>
      <c r="H111" s="3"/>
    </row>
    <row r="112" spans="2:19" ht="5.25" customHeight="1">
      <c r="D112" s="3"/>
      <c r="E112" s="71"/>
      <c r="F112" s="71"/>
      <c r="G112" s="71"/>
      <c r="H112" s="71"/>
      <c r="I112" s="3"/>
      <c r="J112" s="3"/>
      <c r="K112" s="3"/>
      <c r="L112" s="3"/>
      <c r="M112" s="3"/>
      <c r="N112" s="3"/>
      <c r="O112" s="3"/>
      <c r="P112" s="3"/>
      <c r="Q112" s="3"/>
      <c r="R112" s="3"/>
      <c r="S112" s="3"/>
    </row>
    <row r="113" spans="4:19" ht="5.25" customHeight="1">
      <c r="D113" s="3"/>
      <c r="E113" s="71"/>
      <c r="F113" s="71"/>
      <c r="G113" s="71"/>
      <c r="H113" s="71"/>
      <c r="I113" s="3"/>
      <c r="J113" s="3"/>
      <c r="K113" s="3"/>
      <c r="L113" s="3"/>
      <c r="M113" s="3"/>
      <c r="N113" s="3"/>
      <c r="O113" s="3"/>
      <c r="P113" s="3"/>
      <c r="Q113" s="3"/>
      <c r="R113" s="3"/>
      <c r="S113" s="3"/>
    </row>
    <row r="114" spans="4:19">
      <c r="D114" s="3" t="s">
        <v>198</v>
      </c>
      <c r="E114" s="3"/>
      <c r="F114" s="3"/>
      <c r="G114" s="3"/>
      <c r="H114" s="3"/>
    </row>
    <row r="115" spans="4:19" ht="5.25" customHeight="1">
      <c r="D115" s="3"/>
      <c r="E115" s="71"/>
      <c r="F115" s="71"/>
      <c r="G115" s="71"/>
      <c r="H115" s="71"/>
      <c r="I115" s="3"/>
      <c r="J115" s="3"/>
      <c r="K115" s="3"/>
      <c r="L115" s="3"/>
      <c r="M115" s="3"/>
      <c r="N115" s="3"/>
      <c r="O115" s="3"/>
      <c r="P115" s="3"/>
      <c r="Q115" s="3"/>
      <c r="R115" s="3"/>
      <c r="S115" s="3"/>
    </row>
    <row r="116" spans="4:19" s="3" customFormat="1" ht="12.75">
      <c r="D116" s="103" t="s">
        <v>199</v>
      </c>
      <c r="E116" s="104" t="s">
        <v>200</v>
      </c>
      <c r="F116" s="104" t="s">
        <v>201</v>
      </c>
      <c r="G116" s="104" t="s">
        <v>29</v>
      </c>
      <c r="H116" s="104" t="s">
        <v>202</v>
      </c>
      <c r="I116" s="104" t="s">
        <v>203</v>
      </c>
      <c r="J116" s="104" t="s">
        <v>32</v>
      </c>
      <c r="K116" s="104" t="s">
        <v>33</v>
      </c>
      <c r="L116" s="104" t="s">
        <v>204</v>
      </c>
      <c r="M116" s="104" t="s">
        <v>205</v>
      </c>
      <c r="N116" s="104" t="s">
        <v>206</v>
      </c>
      <c r="O116" s="104" t="s">
        <v>37</v>
      </c>
      <c r="P116" s="104" t="s">
        <v>207</v>
      </c>
    </row>
    <row r="117" spans="4:19" s="3" customFormat="1" ht="12.75">
      <c r="D117" s="105" t="s">
        <v>208</v>
      </c>
      <c r="E117" s="106"/>
      <c r="F117" s="106"/>
      <c r="G117" s="106"/>
      <c r="H117" s="106"/>
      <c r="I117" s="106" t="s">
        <v>209</v>
      </c>
      <c r="J117" s="106" t="s">
        <v>210</v>
      </c>
      <c r="K117" s="106" t="s">
        <v>211</v>
      </c>
      <c r="L117" s="106" t="s">
        <v>212</v>
      </c>
      <c r="M117" s="106" t="s">
        <v>213</v>
      </c>
      <c r="N117" s="106" t="s">
        <v>214</v>
      </c>
      <c r="O117" s="106" t="s">
        <v>215</v>
      </c>
      <c r="P117" s="106" t="s">
        <v>216</v>
      </c>
    </row>
    <row r="118" spans="4:19" s="3" customFormat="1" ht="12.75">
      <c r="D118" s="105" t="s">
        <v>217</v>
      </c>
      <c r="E118" s="106" t="s">
        <v>218</v>
      </c>
      <c r="F118" s="106" t="s">
        <v>219</v>
      </c>
      <c r="G118" s="106" t="s">
        <v>220</v>
      </c>
      <c r="H118" s="106" t="s">
        <v>221</v>
      </c>
      <c r="I118" s="106" t="s">
        <v>222</v>
      </c>
      <c r="J118" s="106" t="s">
        <v>223</v>
      </c>
      <c r="K118" s="106" t="s">
        <v>224</v>
      </c>
      <c r="L118" s="106" t="s">
        <v>225</v>
      </c>
      <c r="M118" s="106" t="s">
        <v>226</v>
      </c>
      <c r="N118" s="106" t="s">
        <v>227</v>
      </c>
      <c r="O118" s="106" t="s">
        <v>228</v>
      </c>
      <c r="P118" s="106" t="s">
        <v>229</v>
      </c>
    </row>
    <row r="119" spans="4:19" s="3" customFormat="1" ht="12.75">
      <c r="D119" s="105" t="s">
        <v>230</v>
      </c>
      <c r="E119" s="106" t="s">
        <v>231</v>
      </c>
      <c r="F119" s="106" t="s">
        <v>232</v>
      </c>
      <c r="G119" s="106" t="s">
        <v>233</v>
      </c>
      <c r="H119" s="106" t="s">
        <v>234</v>
      </c>
      <c r="I119" s="106" t="s">
        <v>235</v>
      </c>
      <c r="J119" s="106" t="s">
        <v>236</v>
      </c>
      <c r="K119" s="106" t="s">
        <v>237</v>
      </c>
      <c r="L119" s="106" t="s">
        <v>238</v>
      </c>
      <c r="M119" s="106" t="s">
        <v>239</v>
      </c>
      <c r="N119" s="106" t="s">
        <v>240</v>
      </c>
      <c r="O119" s="106" t="s">
        <v>241</v>
      </c>
      <c r="P119" s="106" t="s">
        <v>242</v>
      </c>
    </row>
    <row r="120" spans="4:19" s="3" customFormat="1" ht="12.75">
      <c r="D120" s="356"/>
      <c r="E120" s="356"/>
      <c r="F120" s="356"/>
      <c r="G120" s="356"/>
      <c r="H120" s="356"/>
      <c r="I120" s="356"/>
      <c r="J120" s="356"/>
      <c r="K120" s="356"/>
      <c r="L120" s="356"/>
      <c r="M120" s="356"/>
      <c r="N120" s="356"/>
      <c r="O120" s="356"/>
      <c r="P120" s="356"/>
    </row>
    <row r="121" spans="4:19" s="3" customFormat="1" ht="12.75">
      <c r="D121" s="105" t="s">
        <v>243</v>
      </c>
      <c r="E121" s="106" t="s">
        <v>244</v>
      </c>
      <c r="F121" s="106" t="s">
        <v>245</v>
      </c>
      <c r="G121" s="106" t="s">
        <v>246</v>
      </c>
      <c r="H121" s="106" t="s">
        <v>247</v>
      </c>
      <c r="I121" s="106" t="s">
        <v>248</v>
      </c>
      <c r="J121" s="106" t="s">
        <v>249</v>
      </c>
      <c r="K121" s="106" t="s">
        <v>231</v>
      </c>
      <c r="L121" s="106" t="s">
        <v>250</v>
      </c>
      <c r="M121" s="106" t="s">
        <v>251</v>
      </c>
      <c r="N121" s="106" t="s">
        <v>252</v>
      </c>
      <c r="O121" s="106" t="s">
        <v>253</v>
      </c>
      <c r="P121" s="106" t="s">
        <v>254</v>
      </c>
    </row>
    <row r="122" spans="4:19" s="3" customFormat="1" ht="12.75">
      <c r="D122" s="105" t="s">
        <v>255</v>
      </c>
      <c r="E122" s="106" t="s">
        <v>256</v>
      </c>
      <c r="F122" s="106" t="s">
        <v>257</v>
      </c>
      <c r="G122" s="106" t="s">
        <v>258</v>
      </c>
      <c r="H122" s="106" t="s">
        <v>259</v>
      </c>
      <c r="I122" s="106" t="s">
        <v>260</v>
      </c>
      <c r="J122" s="106" t="s">
        <v>261</v>
      </c>
      <c r="K122" s="106" t="s">
        <v>262</v>
      </c>
      <c r="L122" s="106" t="s">
        <v>263</v>
      </c>
      <c r="M122" s="106" t="s">
        <v>264</v>
      </c>
      <c r="N122" s="106" t="s">
        <v>265</v>
      </c>
      <c r="O122" s="106" t="s">
        <v>266</v>
      </c>
      <c r="P122" s="106" t="s">
        <v>267</v>
      </c>
    </row>
    <row r="123" spans="4:19" s="3" customFormat="1" ht="12.75">
      <c r="D123" s="105" t="s">
        <v>268</v>
      </c>
      <c r="E123" s="106" t="s">
        <v>269</v>
      </c>
      <c r="F123" s="106" t="s">
        <v>270</v>
      </c>
      <c r="G123" s="106" t="s">
        <v>271</v>
      </c>
      <c r="H123" s="106" t="s">
        <v>272</v>
      </c>
      <c r="I123" s="106" t="s">
        <v>273</v>
      </c>
      <c r="J123" s="106" t="s">
        <v>274</v>
      </c>
      <c r="K123" s="106" t="s">
        <v>275</v>
      </c>
      <c r="L123" s="106" t="s">
        <v>276</v>
      </c>
      <c r="M123" s="106" t="s">
        <v>277</v>
      </c>
      <c r="N123" s="106" t="s">
        <v>278</v>
      </c>
      <c r="O123" s="106" t="s">
        <v>279</v>
      </c>
      <c r="P123" s="106" t="s">
        <v>280</v>
      </c>
    </row>
    <row r="124" spans="4:19" s="3" customFormat="1" ht="12.75">
      <c r="D124" s="105" t="s">
        <v>281</v>
      </c>
      <c r="E124" s="106" t="s">
        <v>282</v>
      </c>
      <c r="F124" s="106" t="s">
        <v>283</v>
      </c>
      <c r="G124" s="106" t="s">
        <v>284</v>
      </c>
      <c r="H124" s="106" t="s">
        <v>285</v>
      </c>
      <c r="I124" s="106" t="s">
        <v>286</v>
      </c>
      <c r="J124" s="106" t="s">
        <v>287</v>
      </c>
      <c r="K124" s="106" t="s">
        <v>288</v>
      </c>
      <c r="L124" s="106" t="s">
        <v>289</v>
      </c>
      <c r="M124" s="106" t="s">
        <v>290</v>
      </c>
      <c r="N124" s="106" t="s">
        <v>247</v>
      </c>
      <c r="O124" s="106" t="s">
        <v>291</v>
      </c>
      <c r="P124" s="106" t="s">
        <v>292</v>
      </c>
    </row>
    <row r="125" spans="4:19" s="3" customFormat="1" ht="12.75">
      <c r="D125" s="105" t="s">
        <v>293</v>
      </c>
      <c r="E125" s="106" t="s">
        <v>294</v>
      </c>
      <c r="F125" s="106" t="s">
        <v>295</v>
      </c>
      <c r="G125" s="106" t="s">
        <v>296</v>
      </c>
      <c r="H125" s="106" t="s">
        <v>297</v>
      </c>
      <c r="I125" s="106" t="s">
        <v>298</v>
      </c>
      <c r="J125" s="106" t="s">
        <v>299</v>
      </c>
      <c r="K125" s="106" t="s">
        <v>300</v>
      </c>
      <c r="L125" s="106" t="s">
        <v>232</v>
      </c>
      <c r="M125" s="106" t="s">
        <v>301</v>
      </c>
      <c r="N125" s="106" t="s">
        <v>302</v>
      </c>
      <c r="O125" s="106" t="s">
        <v>303</v>
      </c>
      <c r="P125" s="106" t="s">
        <v>304</v>
      </c>
    </row>
    <row r="126" spans="4:19" s="3" customFormat="1" ht="12.75">
      <c r="D126" s="356"/>
      <c r="E126" s="356"/>
      <c r="F126" s="356"/>
      <c r="G126" s="356"/>
      <c r="H126" s="356"/>
      <c r="I126" s="356"/>
      <c r="J126" s="356"/>
      <c r="K126" s="356"/>
      <c r="L126" s="356"/>
      <c r="M126" s="356"/>
      <c r="N126" s="356"/>
      <c r="O126" s="356"/>
      <c r="P126" s="356"/>
    </row>
    <row r="127" spans="4:19" s="3" customFormat="1" ht="12.75">
      <c r="D127" s="105" t="s">
        <v>305</v>
      </c>
      <c r="E127" s="106" t="s">
        <v>306</v>
      </c>
      <c r="F127" s="106" t="s">
        <v>307</v>
      </c>
      <c r="G127" s="106" t="s">
        <v>308</v>
      </c>
      <c r="H127" s="106" t="s">
        <v>309</v>
      </c>
      <c r="I127" s="106" t="s">
        <v>310</v>
      </c>
      <c r="J127" s="106" t="s">
        <v>311</v>
      </c>
      <c r="K127" s="106" t="s">
        <v>312</v>
      </c>
      <c r="L127" s="106" t="s">
        <v>313</v>
      </c>
      <c r="M127" s="106" t="s">
        <v>289</v>
      </c>
      <c r="N127" s="106" t="s">
        <v>314</v>
      </c>
      <c r="O127" s="106" t="s">
        <v>315</v>
      </c>
      <c r="P127" s="106" t="s">
        <v>316</v>
      </c>
    </row>
    <row r="128" spans="4:19" s="3" customFormat="1" ht="12.75">
      <c r="D128" s="105" t="s">
        <v>317</v>
      </c>
      <c r="E128" s="106" t="s">
        <v>318</v>
      </c>
      <c r="F128" s="106" t="s">
        <v>319</v>
      </c>
      <c r="G128" s="106" t="s">
        <v>320</v>
      </c>
      <c r="H128" s="106" t="s">
        <v>321</v>
      </c>
      <c r="I128" s="106" t="s">
        <v>322</v>
      </c>
      <c r="J128" s="106" t="s">
        <v>323</v>
      </c>
      <c r="K128" s="106" t="s">
        <v>324</v>
      </c>
      <c r="L128" s="106" t="s">
        <v>325</v>
      </c>
      <c r="M128" s="106" t="s">
        <v>326</v>
      </c>
      <c r="N128" s="106" t="s">
        <v>327</v>
      </c>
      <c r="O128" s="106" t="s">
        <v>328</v>
      </c>
      <c r="P128" s="106" t="s">
        <v>329</v>
      </c>
    </row>
    <row r="129" spans="4:16" s="3" customFormat="1" ht="12.75">
      <c r="D129" s="105" t="s">
        <v>330</v>
      </c>
      <c r="E129" s="106" t="s">
        <v>331</v>
      </c>
      <c r="F129" s="106" t="s">
        <v>332</v>
      </c>
      <c r="G129" s="106" t="s">
        <v>333</v>
      </c>
      <c r="H129" s="106" t="s">
        <v>334</v>
      </c>
      <c r="I129" s="106" t="s">
        <v>335</v>
      </c>
      <c r="J129" s="106" t="s">
        <v>336</v>
      </c>
      <c r="K129" s="106" t="s">
        <v>323</v>
      </c>
      <c r="L129" s="106" t="s">
        <v>337</v>
      </c>
      <c r="M129" s="106" t="s">
        <v>323</v>
      </c>
      <c r="N129" s="106" t="s">
        <v>338</v>
      </c>
      <c r="O129" s="106" t="s">
        <v>339</v>
      </c>
      <c r="P129" s="106" t="s">
        <v>340</v>
      </c>
    </row>
    <row r="130" spans="4:16" s="3" customFormat="1" ht="12.75">
      <c r="D130" s="105" t="s">
        <v>341</v>
      </c>
      <c r="E130" s="106" t="s">
        <v>342</v>
      </c>
      <c r="F130" s="106" t="s">
        <v>343</v>
      </c>
      <c r="G130" s="106" t="s">
        <v>344</v>
      </c>
      <c r="H130" s="106" t="s">
        <v>345</v>
      </c>
      <c r="I130" s="106" t="s">
        <v>346</v>
      </c>
      <c r="J130" s="106" t="s">
        <v>347</v>
      </c>
      <c r="K130" s="106" t="s">
        <v>348</v>
      </c>
      <c r="L130" s="106" t="s">
        <v>349</v>
      </c>
      <c r="M130" s="106" t="s">
        <v>350</v>
      </c>
      <c r="N130" s="106" t="s">
        <v>351</v>
      </c>
      <c r="O130" s="106" t="s">
        <v>352</v>
      </c>
      <c r="P130" s="106" t="s">
        <v>353</v>
      </c>
    </row>
    <row r="131" spans="4:16" s="3" customFormat="1" ht="12.75">
      <c r="D131" s="105" t="s">
        <v>354</v>
      </c>
      <c r="E131" s="106" t="s">
        <v>355</v>
      </c>
      <c r="F131" s="106" t="s">
        <v>356</v>
      </c>
      <c r="G131" s="106" t="s">
        <v>357</v>
      </c>
      <c r="H131" s="106" t="s">
        <v>358</v>
      </c>
      <c r="I131" s="106" t="s">
        <v>297</v>
      </c>
      <c r="J131" s="106" t="s">
        <v>359</v>
      </c>
      <c r="K131" s="106" t="s">
        <v>258</v>
      </c>
      <c r="L131" s="106" t="s">
        <v>360</v>
      </c>
      <c r="M131" s="106" t="s">
        <v>361</v>
      </c>
      <c r="N131" s="106" t="s">
        <v>362</v>
      </c>
      <c r="O131" s="106" t="s">
        <v>363</v>
      </c>
      <c r="P131" s="106" t="s">
        <v>364</v>
      </c>
    </row>
    <row r="132" spans="4:16" s="3" customFormat="1" ht="12.75">
      <c r="D132" s="356"/>
      <c r="E132" s="356"/>
      <c r="F132" s="356"/>
      <c r="G132" s="356"/>
      <c r="H132" s="356"/>
      <c r="I132" s="356"/>
      <c r="J132" s="356"/>
      <c r="K132" s="356"/>
      <c r="L132" s="356"/>
      <c r="M132" s="356"/>
      <c r="N132" s="356"/>
      <c r="O132" s="356"/>
      <c r="P132" s="356"/>
    </row>
    <row r="133" spans="4:16" s="3" customFormat="1" ht="12.75">
      <c r="D133" s="105" t="s">
        <v>365</v>
      </c>
      <c r="E133" s="106" t="s">
        <v>366</v>
      </c>
      <c r="F133" s="106" t="s">
        <v>367</v>
      </c>
      <c r="G133" s="106" t="s">
        <v>368</v>
      </c>
      <c r="H133" s="106" t="s">
        <v>328</v>
      </c>
      <c r="I133" s="106" t="s">
        <v>369</v>
      </c>
      <c r="J133" s="106" t="s">
        <v>370</v>
      </c>
      <c r="K133" s="106" t="s">
        <v>371</v>
      </c>
      <c r="L133" s="106" t="s">
        <v>372</v>
      </c>
      <c r="M133" s="106" t="s">
        <v>373</v>
      </c>
      <c r="N133" s="106" t="s">
        <v>374</v>
      </c>
      <c r="O133" s="106" t="s">
        <v>375</v>
      </c>
      <c r="P133" s="106" t="s">
        <v>376</v>
      </c>
    </row>
    <row r="134" spans="4:16" s="3" customFormat="1" ht="12.75">
      <c r="D134" s="105" t="s">
        <v>377</v>
      </c>
      <c r="E134" s="106" t="s">
        <v>378</v>
      </c>
      <c r="F134" s="106" t="s">
        <v>379</v>
      </c>
      <c r="G134" s="106" t="s">
        <v>380</v>
      </c>
      <c r="H134" s="106" t="s">
        <v>376</v>
      </c>
      <c r="I134" s="106" t="s">
        <v>381</v>
      </c>
      <c r="J134" s="106" t="s">
        <v>382</v>
      </c>
      <c r="K134" s="106" t="s">
        <v>383</v>
      </c>
      <c r="L134" s="106" t="s">
        <v>384</v>
      </c>
      <c r="M134" s="106" t="s">
        <v>378</v>
      </c>
      <c r="N134" s="106" t="s">
        <v>385</v>
      </c>
      <c r="O134" s="106" t="s">
        <v>386</v>
      </c>
      <c r="P134" s="106" t="s">
        <v>387</v>
      </c>
    </row>
    <row r="135" spans="4:16" s="3" customFormat="1" ht="12.75">
      <c r="D135" s="105" t="s">
        <v>388</v>
      </c>
      <c r="E135" s="106" t="s">
        <v>389</v>
      </c>
      <c r="F135" s="106" t="s">
        <v>390</v>
      </c>
      <c r="G135" s="106" t="s">
        <v>391</v>
      </c>
      <c r="H135" s="106" t="s">
        <v>392</v>
      </c>
      <c r="I135" s="106" t="s">
        <v>393</v>
      </c>
      <c r="J135" s="106" t="s">
        <v>394</v>
      </c>
      <c r="K135" s="106" t="s">
        <v>395</v>
      </c>
      <c r="L135" s="106" t="s">
        <v>396</v>
      </c>
      <c r="M135" s="106" t="s">
        <v>397</v>
      </c>
      <c r="N135" s="106" t="s">
        <v>398</v>
      </c>
      <c r="O135" s="106" t="s">
        <v>399</v>
      </c>
      <c r="P135" s="106" t="s">
        <v>400</v>
      </c>
    </row>
    <row r="136" spans="4:16" s="3" customFormat="1" ht="12.75">
      <c r="D136" s="105" t="s">
        <v>401</v>
      </c>
      <c r="E136" s="106" t="s">
        <v>402</v>
      </c>
      <c r="F136" s="106" t="s">
        <v>403</v>
      </c>
      <c r="G136" s="106" t="s">
        <v>404</v>
      </c>
      <c r="H136" s="106" t="s">
        <v>405</v>
      </c>
      <c r="I136" s="106" t="s">
        <v>406</v>
      </c>
      <c r="J136" s="106" t="s">
        <v>407</v>
      </c>
      <c r="K136" s="106" t="s">
        <v>408</v>
      </c>
      <c r="L136" s="106" t="s">
        <v>409</v>
      </c>
      <c r="M136" s="106" t="s">
        <v>410</v>
      </c>
      <c r="N136" s="106" t="s">
        <v>411</v>
      </c>
      <c r="O136" s="106" t="s">
        <v>412</v>
      </c>
      <c r="P136" s="106" t="s">
        <v>413</v>
      </c>
    </row>
    <row r="137" spans="4:16" s="3" customFormat="1" ht="12.75">
      <c r="D137" s="105" t="s">
        <v>414</v>
      </c>
      <c r="E137" s="106" t="s">
        <v>415</v>
      </c>
      <c r="F137" s="106" t="s">
        <v>416</v>
      </c>
      <c r="G137" s="106" t="s">
        <v>417</v>
      </c>
      <c r="H137" s="106" t="s">
        <v>418</v>
      </c>
      <c r="I137" s="106" t="s">
        <v>419</v>
      </c>
      <c r="J137" s="106" t="s">
        <v>420</v>
      </c>
      <c r="K137" s="106" t="s">
        <v>421</v>
      </c>
      <c r="L137" s="106" t="s">
        <v>422</v>
      </c>
      <c r="M137" s="106" t="s">
        <v>423</v>
      </c>
      <c r="N137" s="106" t="s">
        <v>424</v>
      </c>
      <c r="O137" s="106" t="s">
        <v>425</v>
      </c>
      <c r="P137" s="106" t="s">
        <v>426</v>
      </c>
    </row>
    <row r="138" spans="4:16" s="3" customFormat="1" ht="12.75">
      <c r="D138" s="356"/>
      <c r="E138" s="356"/>
      <c r="F138" s="356"/>
      <c r="G138" s="356"/>
      <c r="H138" s="356"/>
      <c r="I138" s="356"/>
      <c r="J138" s="356"/>
      <c r="K138" s="356"/>
      <c r="L138" s="356"/>
      <c r="M138" s="356"/>
      <c r="N138" s="356"/>
      <c r="O138" s="356"/>
      <c r="P138" s="356"/>
    </row>
    <row r="139" spans="4:16" s="3" customFormat="1" ht="12.75">
      <c r="D139" s="105" t="s">
        <v>427</v>
      </c>
      <c r="E139" s="106" t="s">
        <v>428</v>
      </c>
      <c r="F139" s="106" t="s">
        <v>429</v>
      </c>
      <c r="G139" s="106" t="s">
        <v>430</v>
      </c>
      <c r="H139" s="106" t="s">
        <v>431</v>
      </c>
      <c r="I139" s="106" t="s">
        <v>432</v>
      </c>
      <c r="J139" s="106" t="s">
        <v>433</v>
      </c>
      <c r="K139" s="106" t="s">
        <v>434</v>
      </c>
      <c r="L139" s="106" t="s">
        <v>435</v>
      </c>
      <c r="M139" s="106" t="s">
        <v>436</v>
      </c>
      <c r="N139" s="106" t="s">
        <v>437</v>
      </c>
      <c r="O139" s="106" t="s">
        <v>438</v>
      </c>
      <c r="P139" s="106" t="s">
        <v>439</v>
      </c>
    </row>
    <row r="140" spans="4:16" s="3" customFormat="1" ht="12.75">
      <c r="D140" s="105" t="s">
        <v>440</v>
      </c>
      <c r="E140" s="106" t="s">
        <v>441</v>
      </c>
      <c r="F140" s="106" t="s">
        <v>442</v>
      </c>
      <c r="G140" s="106" t="s">
        <v>443</v>
      </c>
      <c r="H140" s="106" t="s">
        <v>444</v>
      </c>
      <c r="I140" s="106" t="s">
        <v>445</v>
      </c>
      <c r="J140" s="106" t="s">
        <v>446</v>
      </c>
      <c r="K140" s="106" t="s">
        <v>447</v>
      </c>
      <c r="L140" s="106" t="s">
        <v>448</v>
      </c>
      <c r="M140" s="106" t="s">
        <v>449</v>
      </c>
      <c r="N140" s="106" t="s">
        <v>450</v>
      </c>
      <c r="O140" s="106" t="s">
        <v>451</v>
      </c>
      <c r="P140" s="106" t="s">
        <v>452</v>
      </c>
    </row>
    <row r="141" spans="4:16" s="3" customFormat="1" ht="12.75">
      <c r="D141" s="105" t="s">
        <v>453</v>
      </c>
      <c r="E141" s="106" t="s">
        <v>454</v>
      </c>
      <c r="F141" s="106" t="s">
        <v>455</v>
      </c>
      <c r="G141" s="106" t="s">
        <v>456</v>
      </c>
      <c r="H141" s="106" t="s">
        <v>457</v>
      </c>
      <c r="I141" s="106" t="s">
        <v>458</v>
      </c>
      <c r="J141" s="106" t="s">
        <v>459</v>
      </c>
      <c r="K141" s="106" t="s">
        <v>460</v>
      </c>
      <c r="L141" s="106" t="s">
        <v>461</v>
      </c>
      <c r="M141" s="106" t="s">
        <v>462</v>
      </c>
      <c r="N141" s="106" t="s">
        <v>463</v>
      </c>
      <c r="O141" s="106" t="s">
        <v>464</v>
      </c>
      <c r="P141" s="106" t="s">
        <v>465</v>
      </c>
    </row>
    <row r="142" spans="4:16" s="3" customFormat="1" ht="12.75">
      <c r="D142" s="105" t="s">
        <v>466</v>
      </c>
      <c r="E142" s="106" t="s">
        <v>467</v>
      </c>
      <c r="F142" s="106" t="s">
        <v>468</v>
      </c>
      <c r="G142" s="106" t="s">
        <v>469</v>
      </c>
      <c r="H142" s="106" t="s">
        <v>470</v>
      </c>
      <c r="I142" s="106" t="s">
        <v>471</v>
      </c>
      <c r="J142" s="106" t="s">
        <v>472</v>
      </c>
      <c r="K142" s="106" t="s">
        <v>473</v>
      </c>
      <c r="L142" s="106" t="s">
        <v>474</v>
      </c>
      <c r="M142" s="106" t="s">
        <v>475</v>
      </c>
      <c r="N142" s="106" t="s">
        <v>476</v>
      </c>
      <c r="O142" s="106" t="s">
        <v>477</v>
      </c>
      <c r="P142" s="106" t="s">
        <v>478</v>
      </c>
    </row>
    <row r="143" spans="4:16" s="3" customFormat="1" ht="12.75">
      <c r="D143" s="105" t="s">
        <v>479</v>
      </c>
      <c r="E143" s="106" t="s">
        <v>480</v>
      </c>
      <c r="F143" s="106" t="s">
        <v>481</v>
      </c>
      <c r="G143" s="106" t="s">
        <v>482</v>
      </c>
      <c r="H143" s="106" t="s">
        <v>483</v>
      </c>
      <c r="I143" s="106" t="s">
        <v>484</v>
      </c>
      <c r="J143" s="106" t="s">
        <v>485</v>
      </c>
      <c r="K143" s="106" t="s">
        <v>486</v>
      </c>
      <c r="L143" s="106" t="s">
        <v>487</v>
      </c>
      <c r="M143" s="106" t="s">
        <v>488</v>
      </c>
      <c r="N143" s="106" t="s">
        <v>489</v>
      </c>
      <c r="O143" s="106" t="s">
        <v>490</v>
      </c>
      <c r="P143" s="106" t="s">
        <v>491</v>
      </c>
    </row>
    <row r="144" spans="4:16" s="3" customFormat="1" ht="12.75">
      <c r="D144" s="356"/>
      <c r="E144" s="356"/>
      <c r="F144" s="356"/>
      <c r="G144" s="356"/>
      <c r="H144" s="356"/>
      <c r="I144" s="356"/>
      <c r="J144" s="356"/>
      <c r="K144" s="356"/>
      <c r="L144" s="356"/>
      <c r="M144" s="356"/>
      <c r="N144" s="356"/>
      <c r="O144" s="356"/>
      <c r="P144" s="356"/>
    </row>
    <row r="145" spans="4:16" s="3" customFormat="1" ht="12.75">
      <c r="D145" s="105" t="s">
        <v>492</v>
      </c>
      <c r="E145" s="106" t="s">
        <v>493</v>
      </c>
      <c r="F145" s="106" t="s">
        <v>494</v>
      </c>
      <c r="G145" s="106" t="s">
        <v>495</v>
      </c>
      <c r="H145" s="106" t="s">
        <v>496</v>
      </c>
      <c r="I145" s="106" t="s">
        <v>497</v>
      </c>
      <c r="J145" s="106" t="s">
        <v>498</v>
      </c>
      <c r="K145" s="106" t="s">
        <v>499</v>
      </c>
      <c r="L145" s="106" t="s">
        <v>500</v>
      </c>
      <c r="M145" s="106" t="s">
        <v>501</v>
      </c>
      <c r="N145" s="106" t="s">
        <v>502</v>
      </c>
      <c r="O145" s="106" t="s">
        <v>503</v>
      </c>
      <c r="P145" s="106" t="s">
        <v>504</v>
      </c>
    </row>
    <row r="146" spans="4:16" s="3" customFormat="1" ht="12.75">
      <c r="D146" s="105" t="s">
        <v>505</v>
      </c>
      <c r="E146" s="106" t="s">
        <v>506</v>
      </c>
      <c r="F146" s="106" t="s">
        <v>507</v>
      </c>
      <c r="G146" s="106" t="s">
        <v>508</v>
      </c>
      <c r="H146" s="106" t="s">
        <v>509</v>
      </c>
      <c r="I146" s="106" t="s">
        <v>510</v>
      </c>
      <c r="J146" s="106" t="s">
        <v>511</v>
      </c>
      <c r="K146" s="106" t="s">
        <v>512</v>
      </c>
      <c r="L146" s="106" t="s">
        <v>513</v>
      </c>
      <c r="M146" s="106" t="s">
        <v>514</v>
      </c>
      <c r="N146" s="106" t="s">
        <v>515</v>
      </c>
      <c r="O146" s="106" t="s">
        <v>516</v>
      </c>
      <c r="P146" s="106" t="s">
        <v>517</v>
      </c>
    </row>
    <row r="147" spans="4:16" s="3" customFormat="1" ht="12.75">
      <c r="D147" s="105" t="s">
        <v>518</v>
      </c>
      <c r="E147" s="106" t="s">
        <v>519</v>
      </c>
      <c r="F147" s="106" t="s">
        <v>520</v>
      </c>
      <c r="G147" s="106" t="s">
        <v>521</v>
      </c>
      <c r="H147" s="106" t="s">
        <v>522</v>
      </c>
      <c r="I147" s="106" t="s">
        <v>523</v>
      </c>
      <c r="J147" s="106" t="s">
        <v>524</v>
      </c>
      <c r="K147" s="106" t="s">
        <v>525</v>
      </c>
      <c r="L147" s="106" t="s">
        <v>526</v>
      </c>
      <c r="M147" s="106" t="s">
        <v>527</v>
      </c>
      <c r="N147" s="106" t="s">
        <v>528</v>
      </c>
      <c r="O147" s="106" t="s">
        <v>529</v>
      </c>
      <c r="P147" s="106" t="s">
        <v>530</v>
      </c>
    </row>
    <row r="148" spans="4:16" s="3" customFormat="1" ht="12.75">
      <c r="D148" s="105" t="s">
        <v>531</v>
      </c>
      <c r="E148" s="106" t="s">
        <v>532</v>
      </c>
      <c r="F148" s="106" t="s">
        <v>533</v>
      </c>
      <c r="G148" s="106" t="s">
        <v>534</v>
      </c>
      <c r="H148" s="106" t="s">
        <v>535</v>
      </c>
      <c r="I148" s="106" t="s">
        <v>536</v>
      </c>
      <c r="J148" s="106" t="s">
        <v>537</v>
      </c>
      <c r="K148" s="106" t="s">
        <v>538</v>
      </c>
      <c r="L148" s="106" t="s">
        <v>539</v>
      </c>
      <c r="M148" s="106" t="s">
        <v>540</v>
      </c>
      <c r="N148" s="106" t="s">
        <v>541</v>
      </c>
      <c r="O148" s="106" t="s">
        <v>542</v>
      </c>
      <c r="P148" s="106" t="s">
        <v>543</v>
      </c>
    </row>
    <row r="149" spans="4:16" s="3" customFormat="1" ht="12.75">
      <c r="D149" s="105" t="s">
        <v>544</v>
      </c>
      <c r="E149" s="106" t="s">
        <v>545</v>
      </c>
      <c r="F149" s="106" t="s">
        <v>546</v>
      </c>
      <c r="G149" s="106" t="s">
        <v>547</v>
      </c>
      <c r="H149" s="106" t="s">
        <v>548</v>
      </c>
      <c r="I149" s="106" t="s">
        <v>549</v>
      </c>
      <c r="J149" s="106" t="s">
        <v>550</v>
      </c>
      <c r="K149" s="106" t="s">
        <v>551</v>
      </c>
      <c r="L149" s="106" t="s">
        <v>552</v>
      </c>
      <c r="M149" s="106" t="s">
        <v>553</v>
      </c>
      <c r="N149" s="106" t="s">
        <v>554</v>
      </c>
      <c r="O149" s="106" t="s">
        <v>555</v>
      </c>
      <c r="P149" s="106" t="s">
        <v>556</v>
      </c>
    </row>
    <row r="150" spans="4:16" s="3" customFormat="1" ht="12.75">
      <c r="D150" s="356"/>
      <c r="E150" s="356"/>
      <c r="F150" s="356"/>
      <c r="G150" s="356"/>
      <c r="H150" s="356"/>
      <c r="I150" s="356"/>
      <c r="J150" s="356"/>
      <c r="K150" s="356"/>
      <c r="L150" s="356"/>
      <c r="M150" s="356"/>
      <c r="N150" s="356"/>
      <c r="O150" s="356"/>
      <c r="P150" s="356"/>
    </row>
    <row r="151" spans="4:16" s="3" customFormat="1" ht="12.75">
      <c r="D151" s="105" t="s">
        <v>557</v>
      </c>
      <c r="E151" s="106" t="s">
        <v>558</v>
      </c>
      <c r="F151" s="106" t="s">
        <v>559</v>
      </c>
      <c r="G151" s="106" t="s">
        <v>560</v>
      </c>
      <c r="H151" s="106" t="s">
        <v>561</v>
      </c>
      <c r="I151" s="106" t="s">
        <v>562</v>
      </c>
      <c r="J151" s="106" t="s">
        <v>563</v>
      </c>
      <c r="K151" s="106" t="s">
        <v>564</v>
      </c>
      <c r="L151" s="106" t="s">
        <v>565</v>
      </c>
      <c r="M151" s="106" t="s">
        <v>566</v>
      </c>
      <c r="N151" s="106" t="s">
        <v>567</v>
      </c>
      <c r="O151" s="106" t="s">
        <v>568</v>
      </c>
      <c r="P151" s="106" t="s">
        <v>569</v>
      </c>
    </row>
    <row r="152" spans="4:16" s="3" customFormat="1" ht="12.75">
      <c r="D152" s="105" t="s">
        <v>570</v>
      </c>
      <c r="E152" s="106" t="s">
        <v>571</v>
      </c>
      <c r="F152" s="106" t="s">
        <v>572</v>
      </c>
      <c r="G152" s="106" t="s">
        <v>573</v>
      </c>
      <c r="H152" s="106" t="s">
        <v>574</v>
      </c>
      <c r="I152" s="106" t="s">
        <v>575</v>
      </c>
      <c r="J152" s="106" t="s">
        <v>576</v>
      </c>
      <c r="K152" s="106" t="s">
        <v>577</v>
      </c>
      <c r="L152" s="106" t="s">
        <v>578</v>
      </c>
      <c r="M152" s="106" t="s">
        <v>579</v>
      </c>
      <c r="N152" s="106" t="s">
        <v>580</v>
      </c>
      <c r="O152" s="106" t="s">
        <v>581</v>
      </c>
      <c r="P152" s="106" t="s">
        <v>582</v>
      </c>
    </row>
    <row r="153" spans="4:16" s="3" customFormat="1" ht="12.75">
      <c r="D153" s="105" t="s">
        <v>583</v>
      </c>
      <c r="E153" s="106" t="s">
        <v>584</v>
      </c>
      <c r="F153" s="106" t="s">
        <v>585</v>
      </c>
      <c r="G153" s="106" t="s">
        <v>586</v>
      </c>
      <c r="H153" s="106" t="s">
        <v>587</v>
      </c>
      <c r="I153" s="106" t="s">
        <v>588</v>
      </c>
      <c r="J153" s="106" t="s">
        <v>589</v>
      </c>
      <c r="K153" s="106" t="s">
        <v>590</v>
      </c>
      <c r="L153" s="106" t="s">
        <v>591</v>
      </c>
      <c r="M153" s="106" t="s">
        <v>592</v>
      </c>
      <c r="N153" s="106" t="s">
        <v>593</v>
      </c>
      <c r="O153" s="106" t="s">
        <v>594</v>
      </c>
      <c r="P153" s="106" t="s">
        <v>595</v>
      </c>
    </row>
    <row r="154" spans="4:16" s="3" customFormat="1" ht="12.75">
      <c r="D154" s="105" t="s">
        <v>596</v>
      </c>
      <c r="E154" s="106" t="s">
        <v>597</v>
      </c>
      <c r="F154" s="106" t="s">
        <v>598</v>
      </c>
      <c r="G154" s="106" t="s">
        <v>599</v>
      </c>
      <c r="H154" s="106" t="s">
        <v>600</v>
      </c>
      <c r="I154" s="106" t="s">
        <v>601</v>
      </c>
      <c r="J154" s="106" t="s">
        <v>602</v>
      </c>
      <c r="K154" s="106" t="s">
        <v>603</v>
      </c>
      <c r="L154" s="106" t="s">
        <v>604</v>
      </c>
      <c r="M154" s="106" t="s">
        <v>605</v>
      </c>
      <c r="N154" s="106" t="s">
        <v>606</v>
      </c>
      <c r="O154" s="106" t="s">
        <v>607</v>
      </c>
      <c r="P154" s="106" t="s">
        <v>608</v>
      </c>
    </row>
    <row r="155" spans="4:16" s="3" customFormat="1" ht="12.75">
      <c r="D155" s="105" t="s">
        <v>609</v>
      </c>
      <c r="E155" s="106" t="s">
        <v>610</v>
      </c>
      <c r="F155" s="106" t="s">
        <v>611</v>
      </c>
      <c r="G155" s="106" t="s">
        <v>612</v>
      </c>
      <c r="H155" s="106" t="s">
        <v>613</v>
      </c>
      <c r="I155" s="106" t="s">
        <v>614</v>
      </c>
      <c r="J155" s="106" t="s">
        <v>615</v>
      </c>
      <c r="K155" s="106" t="s">
        <v>616</v>
      </c>
      <c r="L155" s="106" t="s">
        <v>617</v>
      </c>
      <c r="M155" s="106" t="s">
        <v>618</v>
      </c>
      <c r="N155" s="106" t="s">
        <v>619</v>
      </c>
      <c r="O155" s="106" t="s">
        <v>620</v>
      </c>
      <c r="P155" s="106" t="s">
        <v>621</v>
      </c>
    </row>
    <row r="156" spans="4:16" s="3" customFormat="1" ht="12.75">
      <c r="D156" s="356"/>
      <c r="E156" s="356"/>
      <c r="F156" s="356"/>
      <c r="G156" s="356"/>
      <c r="H156" s="356"/>
      <c r="I156" s="356"/>
      <c r="J156" s="356"/>
      <c r="K156" s="356"/>
      <c r="L156" s="356"/>
      <c r="M156" s="356"/>
      <c r="N156" s="356"/>
      <c r="O156" s="356"/>
      <c r="P156" s="356"/>
    </row>
    <row r="157" spans="4:16" s="3" customFormat="1" ht="12.75">
      <c r="D157" s="105" t="s">
        <v>622</v>
      </c>
      <c r="E157" s="106" t="s">
        <v>623</v>
      </c>
      <c r="F157" s="106" t="s">
        <v>624</v>
      </c>
      <c r="G157" s="106" t="s">
        <v>625</v>
      </c>
      <c r="H157" s="106" t="s">
        <v>626</v>
      </c>
      <c r="I157" s="106" t="s">
        <v>627</v>
      </c>
      <c r="J157" s="106" t="s">
        <v>628</v>
      </c>
      <c r="K157" s="106" t="s">
        <v>629</v>
      </c>
      <c r="L157" s="106" t="s">
        <v>630</v>
      </c>
      <c r="M157" s="106" t="s">
        <v>631</v>
      </c>
      <c r="N157" s="106" t="s">
        <v>632</v>
      </c>
      <c r="O157" s="106" t="s">
        <v>633</v>
      </c>
      <c r="P157" s="106" t="s">
        <v>634</v>
      </c>
    </row>
    <row r="158" spans="4:16" s="3" customFormat="1" ht="12.75">
      <c r="D158" s="105" t="s">
        <v>635</v>
      </c>
      <c r="E158" s="106" t="s">
        <v>636</v>
      </c>
      <c r="F158" s="106" t="s">
        <v>637</v>
      </c>
      <c r="G158" s="106" t="s">
        <v>638</v>
      </c>
      <c r="H158" s="106" t="s">
        <v>639</v>
      </c>
      <c r="I158" s="106" t="s">
        <v>640</v>
      </c>
      <c r="J158" s="106" t="s">
        <v>641</v>
      </c>
      <c r="K158" s="106" t="s">
        <v>642</v>
      </c>
      <c r="L158" s="106" t="s">
        <v>643</v>
      </c>
      <c r="M158" s="106" t="s">
        <v>644</v>
      </c>
      <c r="N158" s="106" t="s">
        <v>645</v>
      </c>
      <c r="O158" s="106" t="s">
        <v>646</v>
      </c>
      <c r="P158" s="106" t="s">
        <v>647</v>
      </c>
    </row>
    <row r="159" spans="4:16" s="3" customFormat="1" ht="12.75">
      <c r="D159" s="105" t="s">
        <v>648</v>
      </c>
      <c r="E159" s="106" t="s">
        <v>649</v>
      </c>
      <c r="F159" s="106" t="s">
        <v>681</v>
      </c>
      <c r="G159" s="106" t="s">
        <v>682</v>
      </c>
      <c r="H159" s="106" t="s">
        <v>683</v>
      </c>
      <c r="I159" s="106" t="s">
        <v>832</v>
      </c>
      <c r="J159" s="106" t="s">
        <v>833</v>
      </c>
      <c r="K159" s="106" t="s">
        <v>857</v>
      </c>
      <c r="L159" s="106" t="s">
        <v>860</v>
      </c>
      <c r="M159" s="106" t="s">
        <v>861</v>
      </c>
      <c r="N159" s="106" t="s">
        <v>881</v>
      </c>
      <c r="O159" s="106" t="s">
        <v>889</v>
      </c>
      <c r="P159" s="106" t="s">
        <v>890</v>
      </c>
    </row>
    <row r="160" spans="4:16">
      <c r="D160" s="105" t="s">
        <v>887</v>
      </c>
      <c r="E160" s="106" t="s">
        <v>888</v>
      </c>
      <c r="F160" s="106" t="s">
        <v>1099</v>
      </c>
      <c r="G160" s="106" t="s">
        <v>939</v>
      </c>
      <c r="H160" s="106" t="s">
        <v>940</v>
      </c>
      <c r="I160" s="106" t="s">
        <v>972</v>
      </c>
      <c r="J160" s="106" t="s">
        <v>973</v>
      </c>
      <c r="K160" s="106" t="s">
        <v>987</v>
      </c>
      <c r="L160" s="106" t="s">
        <v>1054</v>
      </c>
      <c r="M160" s="106" t="s">
        <v>1061</v>
      </c>
      <c r="N160" s="106" t="s">
        <v>1062</v>
      </c>
      <c r="O160" s="106" t="s">
        <v>1095</v>
      </c>
      <c r="P160" s="106" t="s">
        <v>1096</v>
      </c>
    </row>
    <row r="161" spans="4:14">
      <c r="D161" s="105" t="s">
        <v>1097</v>
      </c>
      <c r="E161" s="106" t="s">
        <v>1098</v>
      </c>
      <c r="F161" s="106" t="s">
        <v>1204</v>
      </c>
      <c r="G161" s="106" t="s">
        <v>1205</v>
      </c>
      <c r="H161" s="106" t="s">
        <v>1222</v>
      </c>
      <c r="I161" s="106" t="s">
        <v>1262</v>
      </c>
      <c r="J161" s="106" t="s">
        <v>1263</v>
      </c>
      <c r="K161" s="106" t="s">
        <v>1264</v>
      </c>
      <c r="L161" s="106" t="s">
        <v>1297</v>
      </c>
      <c r="M161" s="106" t="s">
        <v>1298</v>
      </c>
      <c r="N161" s="106">
        <v>75.63</v>
      </c>
    </row>
    <row r="163" spans="4:14">
      <c r="D163" s="102"/>
    </row>
  </sheetData>
  <mergeCells count="19">
    <mergeCell ref="D103:S103"/>
    <mergeCell ref="D104:S104"/>
    <mergeCell ref="D14:D15"/>
    <mergeCell ref="D138:P138"/>
    <mergeCell ref="D144:P144"/>
    <mergeCell ref="D150:P150"/>
    <mergeCell ref="D156:P156"/>
    <mergeCell ref="B5:B7"/>
    <mergeCell ref="B109:B111"/>
    <mergeCell ref="D120:P120"/>
    <mergeCell ref="D126:P126"/>
    <mergeCell ref="D132:P132"/>
    <mergeCell ref="E14:E15"/>
    <mergeCell ref="F14:I14"/>
    <mergeCell ref="J14:K14"/>
    <mergeCell ref="L14:R14"/>
    <mergeCell ref="D12:I12"/>
    <mergeCell ref="D16:R16"/>
    <mergeCell ref="D102:K102"/>
  </mergeCells>
  <phoneticPr fontId="95" type="noConversion"/>
  <hyperlinks>
    <hyperlink ref="D7" r:id="rId1" xr:uid="{9F4C1C0F-BFB3-4EF9-9390-978AD5BC15E8}"/>
    <hyperlink ref="D111" r:id="rId2" xr:uid="{82958D4F-B621-418D-AD44-E3530253B686}"/>
  </hyperlinks>
  <pageMargins left="0.511811024" right="0.511811024" top="0.78740157499999996" bottom="0.78740157499999996" header="0.31496062000000002" footer="0.31496062000000002"/>
  <pageSetup paperSize="9" orientation="portrait" r:id="rId3"/>
  <ignoredErrors>
    <ignoredError sqref="D117:P157 D159 D158 E159 E158:P158 E160:E161 F159:P159 F160:P160" numberStoredAsText="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20</vt:i4>
      </vt:variant>
      <vt:variant>
        <vt:lpstr>Intervalos Nomeados</vt:lpstr>
      </vt:variant>
      <vt:variant>
        <vt:i4>2</vt:i4>
      </vt:variant>
    </vt:vector>
  </HeadingPairs>
  <TitlesOfParts>
    <vt:vector size="22" baseType="lpstr">
      <vt:lpstr>Sumário</vt:lpstr>
      <vt:lpstr>Balanço Patrimonial</vt:lpstr>
      <vt:lpstr>DRE (resumida)</vt:lpstr>
      <vt:lpstr>DRE (detalhada)</vt:lpstr>
      <vt:lpstr>Fluxo de Caixa</vt:lpstr>
      <vt:lpstr>Imob e Intang</vt:lpstr>
      <vt:lpstr>Realização</vt:lpstr>
      <vt:lpstr>Lifting Cost</vt:lpstr>
      <vt:lpstr>Referências de Preço Petróleo</vt:lpstr>
      <vt:lpstr>Impostos</vt:lpstr>
      <vt:lpstr>QDC  Gás </vt:lpstr>
      <vt:lpstr>Tabela de Conversão</vt:lpstr>
      <vt:lpstr>Hedge</vt:lpstr>
      <vt:lpstr>Aquisições</vt:lpstr>
      <vt:lpstr>Produção WI</vt:lpstr>
      <vt:lpstr>Certificação de Reservas</vt:lpstr>
      <vt:lpstr>Receita</vt:lpstr>
      <vt:lpstr>Custos</vt:lpstr>
      <vt:lpstr>Opex</vt:lpstr>
      <vt:lpstr>Capex</vt:lpstr>
      <vt:lpstr>'Lifting Cost'!Area_de_impressao</vt:lpstr>
      <vt:lpstr>Sumário!Area_de_impressao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Virginia Ferraz Ribeiro</dc:creator>
  <cp:lastModifiedBy>Hermann Guimaraes Duarte Goulart</cp:lastModifiedBy>
  <cp:lastPrinted>2023-08-08T12:37:17Z</cp:lastPrinted>
  <dcterms:created xsi:type="dcterms:W3CDTF">2022-01-10T14:49:26Z</dcterms:created>
  <dcterms:modified xsi:type="dcterms:W3CDTF">2024-11-11T13:57:15Z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2022-02-02T17:58:25Z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6c18a244-d8c1-4915-b4e0-0b53796bad68</vt:lpwstr>
  </property>
  <property fmtid="{D5CDD505-2E9C-101B-9397-08002B2CF9AE}" pid="8" name="MSIP_Label_ea60d57e-af5b-4752-ac57-3e4f28ca11dc_ContentBits">
    <vt:lpwstr>0</vt:lpwstr>
  </property>
</Properties>
</file>